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8E37EE03-D5EC-4E3B-B499-C03C16F77407}" xr6:coauthVersionLast="47" xr6:coauthVersionMax="47" xr10:uidLastSave="{00000000-0000-0000-0000-000000000000}"/>
  <bookViews>
    <workbookView xWindow="372" yWindow="0" windowWidth="22668" windowHeight="12240" tabRatio="664" xr2:uid="{00000000-000D-0000-FFFF-FFFF00000000}"/>
  </bookViews>
  <sheets>
    <sheet name="RSD_NewBuildings" sheetId="20" r:id="rId1"/>
    <sheet name="RSD_SpHeat" sheetId="8" r:id="rId2"/>
    <sheet name="RSD_SpCool" sheetId="12" r:id="rId3"/>
    <sheet name="RSD_WaterHeat" sheetId="13" r:id="rId4"/>
    <sheet name="RSD_Cook" sheetId="14" r:id="rId5"/>
    <sheet name="RSD_ElcAppliances" sheetId="15" r:id="rId6"/>
    <sheet name="RSD_Retrofits" sheetId="21" r:id="rId7"/>
    <sheet name="Commodities" sheetId="17" r:id="rId8"/>
    <sheet name="General" sheetId="18" state="hidden" r:id="rId9"/>
  </sheets>
  <externalReferences>
    <externalReference r:id="rId10"/>
  </externalReferences>
  <definedNames>
    <definedName name="_xlnm._FilterDatabase" localSheetId="4" hidden="1">RSD_Cook!$S$5:$T$60</definedName>
    <definedName name="_xlnm._FilterDatabase" localSheetId="5" hidden="1">RSD_ElcAppliances!$R$5:$U$136</definedName>
    <definedName name="_xlnm._FilterDatabase" localSheetId="1" hidden="1">RSD_SpHeat!$Y$5:$AC$154</definedName>
    <definedName name="_xlnm._FilterDatabase" localSheetId="3" hidden="1">RSD_WaterHeat!$T$5:$X$64</definedName>
    <definedName name="BASE_YEAR">General!$F$1</definedName>
    <definedName name="END_YEAR">General!$F$2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9" i="8" l="1"/>
  <c r="R268" i="8"/>
  <c r="R227" i="8"/>
  <c r="R186" i="8"/>
  <c r="R145" i="8"/>
  <c r="R104" i="8"/>
  <c r="R63" i="8"/>
  <c r="R22" i="8"/>
  <c r="G24" i="8"/>
  <c r="G94" i="13" l="1"/>
  <c r="G82" i="13"/>
  <c r="G70" i="13"/>
  <c r="G58" i="13"/>
  <c r="G46" i="13"/>
  <c r="G34" i="13"/>
  <c r="G22" i="13"/>
  <c r="G10" i="13"/>
  <c r="K35" i="12"/>
  <c r="J35" i="12"/>
  <c r="G173" i="15" l="1"/>
  <c r="G170" i="15"/>
  <c r="G167" i="15"/>
  <c r="G164" i="15"/>
  <c r="G161" i="15"/>
  <c r="G158" i="15"/>
  <c r="G155" i="15"/>
  <c r="G141" i="15"/>
  <c r="G138" i="15"/>
  <c r="G135" i="15"/>
  <c r="G132" i="15"/>
  <c r="G129" i="15"/>
  <c r="G126" i="15"/>
  <c r="G123" i="15"/>
  <c r="G108" i="15"/>
  <c r="G104" i="15"/>
  <c r="G100" i="15"/>
  <c r="G96" i="15"/>
  <c r="G92" i="15"/>
  <c r="G88" i="15"/>
  <c r="G84" i="15"/>
  <c r="G69" i="15"/>
  <c r="G66" i="15"/>
  <c r="G63" i="15"/>
  <c r="G60" i="15"/>
  <c r="G57" i="15"/>
  <c r="G54" i="15"/>
  <c r="G51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0" i="15"/>
  <c r="G77" i="14"/>
  <c r="G74" i="14"/>
  <c r="G71" i="14"/>
  <c r="G68" i="14"/>
  <c r="G65" i="14"/>
  <c r="G62" i="14"/>
  <c r="G59" i="14"/>
  <c r="G56" i="14"/>
  <c r="G53" i="14"/>
  <c r="G50" i="14"/>
  <c r="G47" i="14"/>
  <c r="G44" i="14"/>
  <c r="G41" i="14"/>
  <c r="G38" i="14"/>
  <c r="G35" i="14"/>
  <c r="G32" i="14"/>
  <c r="G29" i="14"/>
  <c r="G26" i="14"/>
  <c r="G23" i="14"/>
  <c r="G20" i="14"/>
  <c r="G17" i="14"/>
  <c r="G103" i="13"/>
  <c r="G100" i="13"/>
  <c r="G98" i="13"/>
  <c r="G97" i="13"/>
  <c r="G95" i="13"/>
  <c r="G93" i="13"/>
  <c r="G92" i="13"/>
  <c r="G91" i="13"/>
  <c r="G88" i="13"/>
  <c r="G86" i="13"/>
  <c r="G85" i="13"/>
  <c r="G83" i="13"/>
  <c r="G81" i="13"/>
  <c r="G80" i="13"/>
  <c r="G79" i="13"/>
  <c r="G76" i="13"/>
  <c r="G74" i="13"/>
  <c r="G73" i="13"/>
  <c r="G71" i="13"/>
  <c r="G69" i="13"/>
  <c r="G68" i="13"/>
  <c r="G67" i="13"/>
  <c r="G64" i="13"/>
  <c r="G62" i="13"/>
  <c r="G61" i="13"/>
  <c r="G59" i="13"/>
  <c r="G57" i="13"/>
  <c r="G56" i="13"/>
  <c r="G55" i="13"/>
  <c r="G52" i="13"/>
  <c r="G50" i="13"/>
  <c r="G49" i="13"/>
  <c r="G47" i="13"/>
  <c r="G45" i="13"/>
  <c r="G44" i="13"/>
  <c r="G43" i="13"/>
  <c r="G40" i="13"/>
  <c r="G38" i="13"/>
  <c r="G37" i="13"/>
  <c r="G35" i="13"/>
  <c r="G33" i="13"/>
  <c r="G32" i="13"/>
  <c r="G31" i="13"/>
  <c r="G28" i="13"/>
  <c r="G26" i="13"/>
  <c r="G25" i="13"/>
  <c r="G23" i="13"/>
  <c r="G21" i="13"/>
  <c r="G20" i="13"/>
  <c r="G14" i="13"/>
  <c r="G45" i="12"/>
  <c r="G44" i="12"/>
  <c r="G40" i="12"/>
  <c r="G39" i="12"/>
  <c r="G29" i="12"/>
  <c r="G28" i="12"/>
  <c r="G24" i="12"/>
  <c r="G23" i="12"/>
  <c r="G19" i="12"/>
  <c r="G18" i="12"/>
  <c r="G14" i="12"/>
  <c r="G13" i="12"/>
  <c r="G276" i="8"/>
  <c r="G275" i="8"/>
  <c r="G273" i="8"/>
  <c r="G272" i="8"/>
  <c r="G317" i="8"/>
  <c r="G316" i="8"/>
  <c r="G314" i="8"/>
  <c r="G313" i="8"/>
  <c r="G235" i="8"/>
  <c r="G234" i="8"/>
  <c r="G232" i="8"/>
  <c r="G231" i="8"/>
  <c r="G194" i="8"/>
  <c r="G193" i="8"/>
  <c r="G191" i="8"/>
  <c r="G190" i="8"/>
  <c r="G153" i="8"/>
  <c r="G152" i="8"/>
  <c r="G150" i="8"/>
  <c r="G149" i="8"/>
  <c r="G112" i="8"/>
  <c r="G111" i="8"/>
  <c r="G109" i="8"/>
  <c r="G108" i="8"/>
  <c r="G71" i="8"/>
  <c r="G70" i="8"/>
  <c r="G68" i="8"/>
  <c r="G67" i="8"/>
  <c r="G30" i="8"/>
  <c r="G29" i="8"/>
  <c r="G27" i="8"/>
  <c r="G26" i="8"/>
  <c r="G308" i="8"/>
  <c r="G307" i="8"/>
  <c r="G267" i="8"/>
  <c r="G266" i="8"/>
  <c r="G226" i="8"/>
  <c r="G225" i="8"/>
  <c r="G185" i="8"/>
  <c r="G184" i="8"/>
  <c r="G144" i="8"/>
  <c r="G143" i="8"/>
  <c r="G103" i="8"/>
  <c r="G102" i="8"/>
  <c r="G62" i="8"/>
  <c r="G61" i="8"/>
  <c r="G21" i="8"/>
  <c r="G20" i="8"/>
  <c r="G304" i="8"/>
  <c r="G303" i="8"/>
  <c r="G263" i="8"/>
  <c r="G262" i="8"/>
  <c r="G222" i="8"/>
  <c r="G221" i="8"/>
  <c r="G181" i="8"/>
  <c r="G180" i="8"/>
  <c r="G140" i="8"/>
  <c r="G139" i="8"/>
  <c r="G99" i="8"/>
  <c r="G98" i="8"/>
  <c r="G58" i="8"/>
  <c r="G57" i="8"/>
  <c r="G17" i="8"/>
  <c r="G16" i="8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03" i="13"/>
  <c r="F102" i="13"/>
  <c r="F100" i="13"/>
  <c r="F101" i="13" s="1"/>
  <c r="F98" i="13"/>
  <c r="F99" i="13" s="1"/>
  <c r="F97" i="13"/>
  <c r="F96" i="13"/>
  <c r="F95" i="13"/>
  <c r="F94" i="13"/>
  <c r="F93" i="13"/>
  <c r="F92" i="13"/>
  <c r="F91" i="13"/>
  <c r="F90" i="13"/>
  <c r="F88" i="13"/>
  <c r="F89" i="13" s="1"/>
  <c r="F86" i="13"/>
  <c r="F87" i="13" s="1"/>
  <c r="F85" i="13"/>
  <c r="F84" i="13"/>
  <c r="F83" i="13"/>
  <c r="F82" i="13"/>
  <c r="F81" i="13"/>
  <c r="F80" i="13"/>
  <c r="F79" i="13"/>
  <c r="F78" i="13"/>
  <c r="F76" i="13"/>
  <c r="F77" i="13" s="1"/>
  <c r="F74" i="13"/>
  <c r="F75" i="13" s="1"/>
  <c r="F73" i="13"/>
  <c r="F72" i="13"/>
  <c r="F71" i="13"/>
  <c r="F70" i="13"/>
  <c r="F69" i="13"/>
  <c r="F68" i="13"/>
  <c r="F67" i="13"/>
  <c r="F66" i="13"/>
  <c r="F64" i="13"/>
  <c r="F65" i="13" s="1"/>
  <c r="F62" i="13"/>
  <c r="F63" i="13" s="1"/>
  <c r="F61" i="13"/>
  <c r="F60" i="13"/>
  <c r="F59" i="13"/>
  <c r="F58" i="13"/>
  <c r="F57" i="13"/>
  <c r="F56" i="13"/>
  <c r="F55" i="13"/>
  <c r="F54" i="13"/>
  <c r="F52" i="13"/>
  <c r="F53" i="13" s="1"/>
  <c r="F50" i="13"/>
  <c r="F51" i="13" s="1"/>
  <c r="F49" i="13"/>
  <c r="F48" i="13"/>
  <c r="F47" i="13"/>
  <c r="F46" i="13"/>
  <c r="F45" i="13"/>
  <c r="F44" i="13"/>
  <c r="F43" i="13"/>
  <c r="F42" i="13"/>
  <c r="F40" i="13"/>
  <c r="F41" i="13" s="1"/>
  <c r="F38" i="13"/>
  <c r="F39" i="13" s="1"/>
  <c r="F37" i="13"/>
  <c r="F36" i="13"/>
  <c r="F35" i="13"/>
  <c r="F34" i="13"/>
  <c r="F33" i="13"/>
  <c r="F32" i="13"/>
  <c r="F31" i="13"/>
  <c r="F30" i="13"/>
  <c r="F28" i="13"/>
  <c r="F29" i="13" s="1"/>
  <c r="F26" i="13"/>
  <c r="F27" i="13" s="1"/>
  <c r="F25" i="13"/>
  <c r="F24" i="13"/>
  <c r="F23" i="13"/>
  <c r="F22" i="13"/>
  <c r="F21" i="13"/>
  <c r="F20" i="13"/>
  <c r="G16" i="13"/>
  <c r="G11" i="13"/>
  <c r="G9" i="12"/>
  <c r="G8" i="12"/>
  <c r="G33" i="12"/>
  <c r="G34" i="12"/>
  <c r="G329" i="8"/>
  <c r="G327" i="8"/>
  <c r="G325" i="8"/>
  <c r="F325" i="8" s="1"/>
  <c r="F326" i="8" s="1"/>
  <c r="G323" i="8"/>
  <c r="F323" i="8"/>
  <c r="F324" i="8" s="1"/>
  <c r="G321" i="8"/>
  <c r="F321" i="8" s="1"/>
  <c r="F322" i="8" s="1"/>
  <c r="G319" i="8"/>
  <c r="F319" i="8"/>
  <c r="F320" i="8" s="1"/>
  <c r="F317" i="8"/>
  <c r="F318" i="8" s="1"/>
  <c r="F316" i="8"/>
  <c r="F314" i="8"/>
  <c r="F315" i="8" s="1"/>
  <c r="F313" i="8"/>
  <c r="G311" i="8"/>
  <c r="F311" i="8" s="1"/>
  <c r="F312" i="8" s="1"/>
  <c r="G310" i="8"/>
  <c r="F310" i="8" s="1"/>
  <c r="F309" i="8"/>
  <c r="F308" i="8"/>
  <c r="F307" i="8"/>
  <c r="G306" i="8"/>
  <c r="F306" i="8" s="1"/>
  <c r="F304" i="8"/>
  <c r="F305" i="8" s="1"/>
  <c r="F303" i="8"/>
  <c r="G301" i="8"/>
  <c r="F301" i="8" s="1"/>
  <c r="F302" i="8" s="1"/>
  <c r="G300" i="8"/>
  <c r="F300" i="8" s="1"/>
  <c r="G299" i="8"/>
  <c r="F299" i="8" s="1"/>
  <c r="G298" i="8"/>
  <c r="F298" i="8" s="1"/>
  <c r="G297" i="8"/>
  <c r="F297" i="8" s="1"/>
  <c r="G247" i="8"/>
  <c r="G245" i="8"/>
  <c r="F244" i="8"/>
  <c r="G243" i="8"/>
  <c r="F243" i="8"/>
  <c r="F242" i="8"/>
  <c r="G241" i="8"/>
  <c r="F241" i="8"/>
  <c r="G239" i="8"/>
  <c r="F239" i="8"/>
  <c r="F240" i="8" s="1"/>
  <c r="G237" i="8"/>
  <c r="F237" i="8"/>
  <c r="F238" i="8" s="1"/>
  <c r="F235" i="8"/>
  <c r="F236" i="8" s="1"/>
  <c r="F234" i="8"/>
  <c r="F232" i="8"/>
  <c r="F233" i="8" s="1"/>
  <c r="F231" i="8"/>
  <c r="G229" i="8"/>
  <c r="F229" i="8"/>
  <c r="F230" i="8" s="1"/>
  <c r="G228" i="8"/>
  <c r="F228" i="8"/>
  <c r="F227" i="8"/>
  <c r="F226" i="8"/>
  <c r="F225" i="8"/>
  <c r="G224" i="8"/>
  <c r="F224" i="8"/>
  <c r="F222" i="8"/>
  <c r="F223" i="8" s="1"/>
  <c r="F221" i="8"/>
  <c r="F220" i="8"/>
  <c r="G219" i="8"/>
  <c r="F219" i="8"/>
  <c r="G218" i="8"/>
  <c r="F218" i="8" s="1"/>
  <c r="G217" i="8"/>
  <c r="F217" i="8"/>
  <c r="G216" i="8"/>
  <c r="F216" i="8"/>
  <c r="G215" i="8"/>
  <c r="F215" i="8"/>
  <c r="G288" i="8"/>
  <c r="G286" i="8"/>
  <c r="F285" i="8"/>
  <c r="G284" i="8"/>
  <c r="F284" i="8"/>
  <c r="F283" i="8"/>
  <c r="G282" i="8"/>
  <c r="F282" i="8"/>
  <c r="G280" i="8"/>
  <c r="F280" i="8"/>
  <c r="F281" i="8" s="1"/>
  <c r="G278" i="8"/>
  <c r="F278" i="8"/>
  <c r="F279" i="8" s="1"/>
  <c r="F276" i="8"/>
  <c r="F277" i="8" s="1"/>
  <c r="F275" i="8"/>
  <c r="F273" i="8"/>
  <c r="F274" i="8" s="1"/>
  <c r="F272" i="8"/>
  <c r="G270" i="8"/>
  <c r="F270" i="8" s="1"/>
  <c r="F271" i="8" s="1"/>
  <c r="G269" i="8"/>
  <c r="F269" i="8"/>
  <c r="F268" i="8"/>
  <c r="F267" i="8"/>
  <c r="F266" i="8"/>
  <c r="G265" i="8"/>
  <c r="F265" i="8"/>
  <c r="F263" i="8"/>
  <c r="F264" i="8" s="1"/>
  <c r="F262" i="8"/>
  <c r="F261" i="8"/>
  <c r="G260" i="8"/>
  <c r="F260" i="8"/>
  <c r="G259" i="8"/>
  <c r="F259" i="8" s="1"/>
  <c r="G258" i="8"/>
  <c r="F258" i="8"/>
  <c r="G257" i="8"/>
  <c r="F257" i="8"/>
  <c r="G256" i="8"/>
  <c r="F256" i="8"/>
  <c r="G255" i="8"/>
  <c r="F255" i="8" s="1"/>
  <c r="G254" i="8"/>
  <c r="F254" i="8"/>
  <c r="G206" i="8"/>
  <c r="G204" i="8"/>
  <c r="F203" i="8"/>
  <c r="G202" i="8"/>
  <c r="F202" i="8"/>
  <c r="G200" i="8"/>
  <c r="F200" i="8"/>
  <c r="F201" i="8" s="1"/>
  <c r="F199" i="8"/>
  <c r="G198" i="8"/>
  <c r="F198" i="8"/>
  <c r="G196" i="8"/>
  <c r="F196" i="8" s="1"/>
  <c r="F197" i="8" s="1"/>
  <c r="F194" i="8"/>
  <c r="F195" i="8" s="1"/>
  <c r="F193" i="8"/>
  <c r="F191" i="8"/>
  <c r="F192" i="8" s="1"/>
  <c r="F190" i="8"/>
  <c r="F189" i="8"/>
  <c r="G188" i="8"/>
  <c r="F188" i="8"/>
  <c r="G187" i="8"/>
  <c r="F187" i="8"/>
  <c r="F186" i="8"/>
  <c r="F185" i="8"/>
  <c r="F184" i="8"/>
  <c r="G183" i="8"/>
  <c r="F183" i="8"/>
  <c r="F181" i="8"/>
  <c r="F182" i="8" s="1"/>
  <c r="F180" i="8"/>
  <c r="F179" i="8"/>
  <c r="G178" i="8"/>
  <c r="F178" i="8"/>
  <c r="G177" i="8"/>
  <c r="F177" i="8" s="1"/>
  <c r="G176" i="8"/>
  <c r="F176" i="8"/>
  <c r="G175" i="8"/>
  <c r="F175" i="8"/>
  <c r="G174" i="8"/>
  <c r="F174" i="8"/>
  <c r="G173" i="8"/>
  <c r="F173" i="8" s="1"/>
  <c r="G172" i="8"/>
  <c r="F172" i="8"/>
  <c r="G165" i="8"/>
  <c r="G163" i="8"/>
  <c r="G161" i="8"/>
  <c r="F161" i="8" s="1"/>
  <c r="F162" i="8" s="1"/>
  <c r="G159" i="8"/>
  <c r="F159" i="8"/>
  <c r="F160" i="8" s="1"/>
  <c r="G157" i="8"/>
  <c r="F157" i="8" s="1"/>
  <c r="F158" i="8" s="1"/>
  <c r="G155" i="8"/>
  <c r="F155" i="8"/>
  <c r="F156" i="8" s="1"/>
  <c r="F153" i="8"/>
  <c r="F154" i="8" s="1"/>
  <c r="F152" i="8"/>
  <c r="F150" i="8"/>
  <c r="F151" i="8" s="1"/>
  <c r="F149" i="8"/>
  <c r="G147" i="8"/>
  <c r="F147" i="8" s="1"/>
  <c r="F148" i="8" s="1"/>
  <c r="G146" i="8"/>
  <c r="F146" i="8" s="1"/>
  <c r="G145" i="8"/>
  <c r="F145" i="8" s="1"/>
  <c r="F144" i="8"/>
  <c r="F143" i="8"/>
  <c r="G142" i="8"/>
  <c r="F142" i="8" s="1"/>
  <c r="F140" i="8"/>
  <c r="F141" i="8" s="1"/>
  <c r="F139" i="8"/>
  <c r="G137" i="8"/>
  <c r="F137" i="8" s="1"/>
  <c r="F138" i="8" s="1"/>
  <c r="G136" i="8"/>
  <c r="F136" i="8" s="1"/>
  <c r="G135" i="8"/>
  <c r="F135" i="8" s="1"/>
  <c r="G134" i="8"/>
  <c r="F134" i="8" s="1"/>
  <c r="G133" i="8"/>
  <c r="F133" i="8" s="1"/>
  <c r="F132" i="8"/>
  <c r="F131" i="8"/>
  <c r="G124" i="8"/>
  <c r="G122" i="8"/>
  <c r="G120" i="8"/>
  <c r="F120" i="8" s="1"/>
  <c r="F121" i="8" s="1"/>
  <c r="G118" i="8"/>
  <c r="F118" i="8"/>
  <c r="F119" i="8" s="1"/>
  <c r="G116" i="8"/>
  <c r="F116" i="8" s="1"/>
  <c r="F117" i="8" s="1"/>
  <c r="G114" i="8"/>
  <c r="F114" i="8"/>
  <c r="F115" i="8" s="1"/>
  <c r="F112" i="8"/>
  <c r="F113" i="8" s="1"/>
  <c r="F111" i="8"/>
  <c r="F109" i="8"/>
  <c r="F110" i="8" s="1"/>
  <c r="F108" i="8"/>
  <c r="G106" i="8"/>
  <c r="F106" i="8" s="1"/>
  <c r="F107" i="8" s="1"/>
  <c r="G105" i="8"/>
  <c r="F105" i="8" s="1"/>
  <c r="F104" i="8"/>
  <c r="F103" i="8"/>
  <c r="F102" i="8"/>
  <c r="G101" i="8"/>
  <c r="F101" i="8" s="1"/>
  <c r="F100" i="8"/>
  <c r="F99" i="8"/>
  <c r="F98" i="8"/>
  <c r="G96" i="8"/>
  <c r="F96" i="8" s="1"/>
  <c r="F97" i="8" s="1"/>
  <c r="G95" i="8"/>
  <c r="F95" i="8" s="1"/>
  <c r="G94" i="8"/>
  <c r="F94" i="8" s="1"/>
  <c r="G93" i="8"/>
  <c r="F93" i="8" s="1"/>
  <c r="G92" i="8"/>
  <c r="F92" i="8" s="1"/>
  <c r="G91" i="8"/>
  <c r="F91" i="8" s="1"/>
  <c r="G90" i="8"/>
  <c r="F90" i="8" s="1"/>
  <c r="G83" i="8"/>
  <c r="G81" i="8"/>
  <c r="G79" i="8"/>
  <c r="F79" i="8"/>
  <c r="F80" i="8" s="1"/>
  <c r="G77" i="8"/>
  <c r="F77" i="8"/>
  <c r="F78" i="8" s="1"/>
  <c r="G75" i="8"/>
  <c r="F75" i="8" s="1"/>
  <c r="F76" i="8" s="1"/>
  <c r="G73" i="8"/>
  <c r="F73" i="8"/>
  <c r="F74" i="8" s="1"/>
  <c r="F71" i="8"/>
  <c r="F72" i="8" s="1"/>
  <c r="F70" i="8"/>
  <c r="F68" i="8"/>
  <c r="F69" i="8" s="1"/>
  <c r="F67" i="8"/>
  <c r="G65" i="8"/>
  <c r="F65" i="8" s="1"/>
  <c r="F66" i="8" s="1"/>
  <c r="G64" i="8"/>
  <c r="F64" i="8"/>
  <c r="G63" i="8"/>
  <c r="F63" i="8"/>
  <c r="F62" i="8"/>
  <c r="F61" i="8"/>
  <c r="G60" i="8"/>
  <c r="F60" i="8"/>
  <c r="F58" i="8"/>
  <c r="F59" i="8" s="1"/>
  <c r="F57" i="8"/>
  <c r="G55" i="8"/>
  <c r="F55" i="8"/>
  <c r="F56" i="8" s="1"/>
  <c r="G54" i="8"/>
  <c r="F54" i="8"/>
  <c r="G53" i="8"/>
  <c r="F53" i="8" s="1"/>
  <c r="G52" i="8"/>
  <c r="F52" i="8" s="1"/>
  <c r="G51" i="8"/>
  <c r="F51" i="8"/>
  <c r="G50" i="8"/>
  <c r="F50" i="8" s="1"/>
  <c r="G49" i="8"/>
  <c r="F49" i="8" s="1"/>
  <c r="G38" i="8"/>
  <c r="G36" i="8"/>
  <c r="G32" i="8"/>
  <c r="G12" i="8"/>
  <c r="G296" i="8" l="1"/>
  <c r="G295" i="8"/>
  <c r="G214" i="8"/>
  <c r="G213" i="8"/>
  <c r="Y182" i="8" l="1"/>
  <c r="Y157" i="8"/>
  <c r="Y132" i="8"/>
  <c r="Y107" i="8"/>
  <c r="Y82" i="8"/>
  <c r="Y57" i="8"/>
  <c r="Y32" i="8"/>
  <c r="Y7" i="8"/>
  <c r="D175" i="15" l="1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9" i="14"/>
  <c r="D78" i="14"/>
  <c r="D77" i="14"/>
  <c r="D70" i="14"/>
  <c r="D69" i="14"/>
  <c r="D68" i="14"/>
  <c r="D61" i="14"/>
  <c r="D60" i="14"/>
  <c r="D59" i="14"/>
  <c r="D52" i="14"/>
  <c r="D51" i="14"/>
  <c r="D50" i="14"/>
  <c r="D43" i="14"/>
  <c r="D42" i="14"/>
  <c r="D41" i="14"/>
  <c r="D34" i="14"/>
  <c r="D33" i="14"/>
  <c r="D32" i="14"/>
  <c r="D25" i="14"/>
  <c r="D24" i="14"/>
  <c r="D23" i="14"/>
  <c r="D16" i="14"/>
  <c r="D15" i="14"/>
  <c r="D14" i="14"/>
  <c r="D98" i="13"/>
  <c r="D93" i="13"/>
  <c r="D92" i="13"/>
  <c r="D86" i="13"/>
  <c r="D81" i="13"/>
  <c r="D80" i="13"/>
  <c r="D74" i="13"/>
  <c r="D69" i="13"/>
  <c r="D68" i="13"/>
  <c r="D62" i="13"/>
  <c r="D57" i="13"/>
  <c r="D56" i="13"/>
  <c r="D50" i="13"/>
  <c r="D45" i="13"/>
  <c r="D44" i="13"/>
  <c r="D38" i="13"/>
  <c r="D33" i="13"/>
  <c r="D32" i="13"/>
  <c r="D28" i="13"/>
  <c r="D26" i="13"/>
  <c r="D21" i="13"/>
  <c r="D20" i="13"/>
  <c r="D14" i="13"/>
  <c r="D9" i="13"/>
  <c r="D8" i="13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325" i="8"/>
  <c r="D323" i="8"/>
  <c r="D321" i="8"/>
  <c r="D319" i="8"/>
  <c r="D317" i="8"/>
  <c r="D316" i="8"/>
  <c r="D314" i="8"/>
  <c r="D313" i="8"/>
  <c r="D311" i="8"/>
  <c r="D310" i="8"/>
  <c r="D309" i="8"/>
  <c r="D284" i="8"/>
  <c r="D282" i="8"/>
  <c r="D280" i="8"/>
  <c r="D278" i="8"/>
  <c r="D276" i="8"/>
  <c r="D275" i="8"/>
  <c r="D273" i="8"/>
  <c r="D272" i="8"/>
  <c r="D270" i="8"/>
  <c r="D269" i="8"/>
  <c r="D268" i="8"/>
  <c r="D243" i="8"/>
  <c r="D241" i="8"/>
  <c r="D239" i="8"/>
  <c r="D237" i="8"/>
  <c r="D235" i="8"/>
  <c r="D234" i="8"/>
  <c r="D232" i="8"/>
  <c r="D231" i="8"/>
  <c r="D229" i="8"/>
  <c r="D228" i="8"/>
  <c r="D227" i="8"/>
  <c r="D202" i="8"/>
  <c r="D200" i="8"/>
  <c r="D198" i="8"/>
  <c r="D196" i="8"/>
  <c r="D194" i="8"/>
  <c r="D193" i="8"/>
  <c r="D191" i="8"/>
  <c r="D190" i="8"/>
  <c r="D188" i="8"/>
  <c r="D187" i="8"/>
  <c r="D186" i="8"/>
  <c r="D161" i="8"/>
  <c r="D159" i="8"/>
  <c r="D157" i="8"/>
  <c r="D155" i="8"/>
  <c r="D153" i="8"/>
  <c r="D152" i="8"/>
  <c r="D150" i="8"/>
  <c r="D149" i="8"/>
  <c r="D147" i="8"/>
  <c r="D146" i="8"/>
  <c r="D145" i="8"/>
  <c r="D120" i="8"/>
  <c r="D118" i="8"/>
  <c r="D116" i="8"/>
  <c r="D114" i="8"/>
  <c r="D112" i="8"/>
  <c r="D111" i="8"/>
  <c r="D109" i="8"/>
  <c r="D108" i="8"/>
  <c r="D106" i="8"/>
  <c r="D105" i="8"/>
  <c r="D104" i="8"/>
  <c r="D79" i="8"/>
  <c r="D77" i="8"/>
  <c r="D75" i="8"/>
  <c r="D73" i="8"/>
  <c r="D71" i="8"/>
  <c r="D70" i="8"/>
  <c r="D68" i="8"/>
  <c r="D67" i="8"/>
  <c r="D65" i="8"/>
  <c r="D64" i="8"/>
  <c r="D63" i="8"/>
  <c r="D38" i="8"/>
  <c r="D36" i="8"/>
  <c r="D34" i="8"/>
  <c r="D32" i="8"/>
  <c r="D30" i="8"/>
  <c r="D29" i="8"/>
  <c r="D27" i="8"/>
  <c r="D26" i="8"/>
  <c r="D24" i="8"/>
  <c r="D23" i="8"/>
  <c r="D22" i="8"/>
  <c r="F68" i="15" l="1"/>
  <c r="F67" i="15"/>
  <c r="F66" i="15"/>
  <c r="D97" i="13" l="1"/>
  <c r="D85" i="13"/>
  <c r="D73" i="13"/>
  <c r="D61" i="13"/>
  <c r="D49" i="13"/>
  <c r="D37" i="13"/>
  <c r="D25" i="13"/>
  <c r="D13" i="13"/>
  <c r="D308" i="8"/>
  <c r="D307" i="8"/>
  <c r="D306" i="8"/>
  <c r="D267" i="8"/>
  <c r="D266" i="8"/>
  <c r="D265" i="8"/>
  <c r="D226" i="8"/>
  <c r="D225" i="8"/>
  <c r="D224" i="8"/>
  <c r="D185" i="8"/>
  <c r="D184" i="8"/>
  <c r="D183" i="8"/>
  <c r="D142" i="8"/>
  <c r="D143" i="8" s="1"/>
  <c r="D144" i="8" s="1"/>
  <c r="D101" i="8"/>
  <c r="D102" i="8" s="1"/>
  <c r="D103" i="8" s="1"/>
  <c r="D60" i="8"/>
  <c r="D61" i="8" s="1"/>
  <c r="D62" i="8" s="1"/>
  <c r="D21" i="8"/>
  <c r="D20" i="8"/>
  <c r="D19" i="8"/>
  <c r="J39" i="15" l="1"/>
  <c r="H39" i="15"/>
  <c r="J38" i="15"/>
  <c r="H38" i="15"/>
  <c r="J37" i="15"/>
  <c r="H37" i="15"/>
  <c r="J36" i="15"/>
  <c r="H36" i="15"/>
  <c r="J35" i="15"/>
  <c r="H35" i="15"/>
  <c r="J34" i="15"/>
  <c r="H34" i="15"/>
  <c r="J33" i="15"/>
  <c r="H33" i="15"/>
  <c r="J32" i="15"/>
  <c r="H32" i="15"/>
  <c r="J31" i="15"/>
  <c r="H31" i="15"/>
  <c r="J30" i="15"/>
  <c r="H30" i="15"/>
  <c r="J29" i="15"/>
  <c r="H29" i="15"/>
  <c r="J28" i="15"/>
  <c r="H28" i="15"/>
  <c r="J27" i="15"/>
  <c r="H27" i="15"/>
  <c r="J26" i="15"/>
  <c r="H26" i="15"/>
  <c r="J25" i="15"/>
  <c r="H25" i="15"/>
  <c r="J24" i="15"/>
  <c r="H24" i="15"/>
  <c r="J23" i="15"/>
  <c r="H23" i="15"/>
  <c r="J22" i="15"/>
  <c r="H22" i="15"/>
  <c r="J21" i="15"/>
  <c r="H21" i="15"/>
  <c r="J20" i="15"/>
  <c r="H20" i="15"/>
  <c r="J19" i="15"/>
  <c r="H19" i="15"/>
  <c r="J18" i="15"/>
  <c r="H18" i="15"/>
  <c r="J17" i="15"/>
  <c r="H17" i="15"/>
  <c r="J16" i="15"/>
  <c r="H16" i="15"/>
  <c r="J15" i="15"/>
  <c r="H15" i="15"/>
  <c r="J14" i="15"/>
  <c r="H14" i="15"/>
  <c r="J13" i="15"/>
  <c r="H13" i="15"/>
  <c r="J12" i="15"/>
  <c r="H12" i="15"/>
  <c r="J9" i="15"/>
  <c r="J11" i="15"/>
  <c r="H9" i="15"/>
  <c r="H11" i="15"/>
  <c r="J10" i="15"/>
  <c r="H10" i="15"/>
  <c r="J8" i="15"/>
  <c r="H8" i="15"/>
  <c r="O329" i="8" l="1"/>
  <c r="N329" i="8"/>
  <c r="H329" i="8"/>
  <c r="D329" i="8"/>
  <c r="I328" i="8"/>
  <c r="I330" i="8" s="1"/>
  <c r="E328" i="8"/>
  <c r="E330" i="8" s="1"/>
  <c r="R327" i="8"/>
  <c r="R329" i="8" s="1"/>
  <c r="Q327" i="8"/>
  <c r="Q329" i="8" s="1"/>
  <c r="P327" i="8"/>
  <c r="P329" i="8" s="1"/>
  <c r="O327" i="8"/>
  <c r="N327" i="8"/>
  <c r="H327" i="8"/>
  <c r="E327" i="8"/>
  <c r="E329" i="8" s="1"/>
  <c r="D327" i="8"/>
  <c r="C329" i="8"/>
  <c r="B329" i="8"/>
  <c r="C327" i="8"/>
  <c r="B327" i="8"/>
  <c r="R288" i="8"/>
  <c r="D288" i="8"/>
  <c r="I287" i="8"/>
  <c r="I289" i="8" s="1"/>
  <c r="R286" i="8"/>
  <c r="Q286" i="8"/>
  <c r="Q288" i="8" s="1"/>
  <c r="P286" i="8"/>
  <c r="P288" i="8" s="1"/>
  <c r="H286" i="8"/>
  <c r="H288" i="8" s="1"/>
  <c r="I248" i="8"/>
  <c r="I246" i="8"/>
  <c r="R245" i="8"/>
  <c r="R247" i="8" s="1"/>
  <c r="Q245" i="8"/>
  <c r="Q247" i="8" s="1"/>
  <c r="P245" i="8"/>
  <c r="P247" i="8" s="1"/>
  <c r="H245" i="8"/>
  <c r="H247" i="8" s="1"/>
  <c r="H206" i="8"/>
  <c r="I205" i="8"/>
  <c r="I207" i="8" s="1"/>
  <c r="R204" i="8"/>
  <c r="R206" i="8" s="1"/>
  <c r="Q204" i="8"/>
  <c r="Q206" i="8" s="1"/>
  <c r="P204" i="8"/>
  <c r="P206" i="8" s="1"/>
  <c r="H204" i="8"/>
  <c r="I164" i="8"/>
  <c r="I166" i="8" s="1"/>
  <c r="R163" i="8"/>
  <c r="R165" i="8" s="1"/>
  <c r="Q163" i="8"/>
  <c r="Q165" i="8" s="1"/>
  <c r="P163" i="8"/>
  <c r="P165" i="8" s="1"/>
  <c r="H163" i="8"/>
  <c r="H165" i="8" s="1"/>
  <c r="H124" i="8"/>
  <c r="I123" i="8"/>
  <c r="I125" i="8" s="1"/>
  <c r="R122" i="8"/>
  <c r="R124" i="8" s="1"/>
  <c r="Q122" i="8"/>
  <c r="Q124" i="8" s="1"/>
  <c r="P122" i="8"/>
  <c r="P124" i="8" s="1"/>
  <c r="H122" i="8"/>
  <c r="I82" i="8"/>
  <c r="I84" i="8" s="1"/>
  <c r="R81" i="8"/>
  <c r="R83" i="8" s="1"/>
  <c r="Q81" i="8"/>
  <c r="Q83" i="8" s="1"/>
  <c r="P81" i="8"/>
  <c r="P83" i="8" s="1"/>
  <c r="H81" i="8"/>
  <c r="H83" i="8" s="1"/>
  <c r="Y206" i="8"/>
  <c r="Y205" i="8"/>
  <c r="Y181" i="8"/>
  <c r="B288" i="8" s="1"/>
  <c r="Y180" i="8"/>
  <c r="B286" i="8" s="1"/>
  <c r="Y156" i="8"/>
  <c r="B247" i="8" s="1"/>
  <c r="Y155" i="8"/>
  <c r="B245" i="8" s="1"/>
  <c r="Y131" i="8"/>
  <c r="B206" i="8" s="1"/>
  <c r="Y130" i="8"/>
  <c r="B204" i="8" s="1"/>
  <c r="Y106" i="8"/>
  <c r="B165" i="8" s="1"/>
  <c r="Y105" i="8"/>
  <c r="B163" i="8" s="1"/>
  <c r="Y81" i="8"/>
  <c r="B124" i="8" s="1"/>
  <c r="Y80" i="8"/>
  <c r="B122" i="8" s="1"/>
  <c r="Y56" i="8"/>
  <c r="B83" i="8" s="1"/>
  <c r="Y55" i="8"/>
  <c r="B81" i="8" s="1"/>
  <c r="Y31" i="8"/>
  <c r="B42" i="8" s="1"/>
  <c r="Y30" i="8"/>
  <c r="B40" i="8" s="1"/>
  <c r="I43" i="8"/>
  <c r="I41" i="8"/>
  <c r="H40" i="8"/>
  <c r="H42" i="8" s="1"/>
  <c r="R40" i="8"/>
  <c r="R42" i="8" s="1"/>
  <c r="Q40" i="8"/>
  <c r="Q42" i="8" s="1"/>
  <c r="P40" i="8"/>
  <c r="P42" i="8" s="1"/>
  <c r="G42" i="8"/>
  <c r="G40" i="8"/>
  <c r="D42" i="8"/>
  <c r="D83" i="8" s="1"/>
  <c r="D124" i="8" s="1"/>
  <c r="D165" i="8" s="1"/>
  <c r="D206" i="8" s="1"/>
  <c r="D247" i="8" s="1"/>
  <c r="D40" i="8"/>
  <c r="D81" i="8" s="1"/>
  <c r="D122" i="8" s="1"/>
  <c r="D163" i="8" s="1"/>
  <c r="D204" i="8" s="1"/>
  <c r="D245" i="8" s="1"/>
  <c r="D286" i="8" s="1"/>
  <c r="Z206" i="8"/>
  <c r="Z205" i="8"/>
  <c r="AB206" i="8"/>
  <c r="AA206" i="8"/>
  <c r="AB205" i="8"/>
  <c r="AA205" i="8"/>
  <c r="Z181" i="8"/>
  <c r="C288" i="8" s="1"/>
  <c r="Z180" i="8"/>
  <c r="C286" i="8" s="1"/>
  <c r="AB181" i="8"/>
  <c r="AA181" i="8"/>
  <c r="AB180" i="8"/>
  <c r="AA180" i="8"/>
  <c r="Z156" i="8"/>
  <c r="C247" i="8" s="1"/>
  <c r="Z155" i="8"/>
  <c r="C245" i="8" s="1"/>
  <c r="AB156" i="8"/>
  <c r="AA156" i="8"/>
  <c r="AB155" i="8"/>
  <c r="AA155" i="8"/>
  <c r="Z131" i="8"/>
  <c r="C206" i="8" s="1"/>
  <c r="Z130" i="8"/>
  <c r="C204" i="8" s="1"/>
  <c r="AB131" i="8"/>
  <c r="AA131" i="8"/>
  <c r="AB130" i="8"/>
  <c r="AA130" i="8"/>
  <c r="Z106" i="8"/>
  <c r="C165" i="8" s="1"/>
  <c r="Z105" i="8"/>
  <c r="C163" i="8" s="1"/>
  <c r="AB106" i="8"/>
  <c r="AA106" i="8"/>
  <c r="AB105" i="8"/>
  <c r="AA105" i="8"/>
  <c r="Z81" i="8"/>
  <c r="C124" i="8" s="1"/>
  <c r="Z80" i="8"/>
  <c r="C122" i="8" s="1"/>
  <c r="AB81" i="8"/>
  <c r="AA81" i="8"/>
  <c r="AB80" i="8"/>
  <c r="AA80" i="8"/>
  <c r="Z56" i="8"/>
  <c r="C83" i="8" s="1"/>
  <c r="Z55" i="8"/>
  <c r="C81" i="8" s="1"/>
  <c r="AB56" i="8"/>
  <c r="AA56" i="8"/>
  <c r="AB55" i="8"/>
  <c r="AA55" i="8"/>
  <c r="Z31" i="8"/>
  <c r="C42" i="8" s="1"/>
  <c r="Z30" i="8"/>
  <c r="C40" i="8" s="1"/>
  <c r="AB31" i="8"/>
  <c r="AA31" i="8"/>
  <c r="AB30" i="8"/>
  <c r="AA30" i="8"/>
  <c r="J143" i="15" l="1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M103" i="13"/>
  <c r="K103" i="13"/>
  <c r="M102" i="13"/>
  <c r="K102" i="13"/>
  <c r="M100" i="13"/>
  <c r="L100" i="13"/>
  <c r="K100" i="13"/>
  <c r="M98" i="13"/>
  <c r="L98" i="13"/>
  <c r="K98" i="13"/>
  <c r="M97" i="13"/>
  <c r="L97" i="13"/>
  <c r="K97" i="13"/>
  <c r="M96" i="13"/>
  <c r="M95" i="13"/>
  <c r="M94" i="13"/>
  <c r="K94" i="13"/>
  <c r="K95" i="13" s="1"/>
  <c r="K96" i="13" s="1"/>
  <c r="M93" i="13"/>
  <c r="K93" i="13"/>
  <c r="M92" i="13"/>
  <c r="K92" i="13"/>
  <c r="M91" i="13"/>
  <c r="K91" i="13"/>
  <c r="M90" i="13"/>
  <c r="K90" i="13"/>
  <c r="M88" i="13"/>
  <c r="L88" i="13"/>
  <c r="K88" i="13"/>
  <c r="M86" i="13"/>
  <c r="L86" i="13"/>
  <c r="K86" i="13"/>
  <c r="M85" i="13"/>
  <c r="L85" i="13"/>
  <c r="K85" i="13"/>
  <c r="M84" i="13"/>
  <c r="M83" i="13"/>
  <c r="K83" i="13"/>
  <c r="K84" i="13" s="1"/>
  <c r="M82" i="13"/>
  <c r="K82" i="13"/>
  <c r="M81" i="13"/>
  <c r="K81" i="13"/>
  <c r="M80" i="13"/>
  <c r="K80" i="13"/>
  <c r="M79" i="13"/>
  <c r="K79" i="13"/>
  <c r="M78" i="13"/>
  <c r="K78" i="13"/>
  <c r="M76" i="13"/>
  <c r="L76" i="13"/>
  <c r="K76" i="13"/>
  <c r="M74" i="13"/>
  <c r="L74" i="13"/>
  <c r="K74" i="13"/>
  <c r="M73" i="13"/>
  <c r="L73" i="13"/>
  <c r="K73" i="13"/>
  <c r="M72" i="13"/>
  <c r="M71" i="13"/>
  <c r="K71" i="13"/>
  <c r="K72" i="13" s="1"/>
  <c r="M70" i="13"/>
  <c r="K70" i="13"/>
  <c r="M69" i="13"/>
  <c r="K69" i="13"/>
  <c r="M68" i="13"/>
  <c r="K68" i="13"/>
  <c r="M67" i="13"/>
  <c r="K67" i="13"/>
  <c r="M66" i="13"/>
  <c r="K66" i="13"/>
  <c r="M64" i="13"/>
  <c r="L64" i="13"/>
  <c r="K64" i="13"/>
  <c r="M62" i="13"/>
  <c r="L62" i="13"/>
  <c r="K62" i="13"/>
  <c r="M61" i="13"/>
  <c r="L61" i="13"/>
  <c r="K61" i="13"/>
  <c r="M60" i="13"/>
  <c r="M59" i="13"/>
  <c r="M58" i="13"/>
  <c r="K58" i="13"/>
  <c r="K59" i="13" s="1"/>
  <c r="K60" i="13" s="1"/>
  <c r="M57" i="13"/>
  <c r="K57" i="13"/>
  <c r="M56" i="13"/>
  <c r="K56" i="13"/>
  <c r="M55" i="13"/>
  <c r="K55" i="13"/>
  <c r="M54" i="13"/>
  <c r="K54" i="13"/>
  <c r="M52" i="13"/>
  <c r="L52" i="13"/>
  <c r="K52" i="13"/>
  <c r="M50" i="13"/>
  <c r="L50" i="13"/>
  <c r="K50" i="13"/>
  <c r="M49" i="13"/>
  <c r="L49" i="13"/>
  <c r="K49" i="13"/>
  <c r="M48" i="13"/>
  <c r="M47" i="13"/>
  <c r="M46" i="13"/>
  <c r="K46" i="13"/>
  <c r="K47" i="13" s="1"/>
  <c r="K48" i="13" s="1"/>
  <c r="M45" i="13"/>
  <c r="K45" i="13"/>
  <c r="M44" i="13"/>
  <c r="K44" i="13"/>
  <c r="M43" i="13"/>
  <c r="K43" i="13"/>
  <c r="M42" i="13"/>
  <c r="K42" i="13"/>
  <c r="M40" i="13"/>
  <c r="L40" i="13"/>
  <c r="K40" i="13"/>
  <c r="M38" i="13"/>
  <c r="L38" i="13"/>
  <c r="K38" i="13"/>
  <c r="M37" i="13"/>
  <c r="L37" i="13"/>
  <c r="K37" i="13"/>
  <c r="M36" i="13"/>
  <c r="M35" i="13"/>
  <c r="M34" i="13"/>
  <c r="K34" i="13"/>
  <c r="K35" i="13" s="1"/>
  <c r="K36" i="13" s="1"/>
  <c r="M33" i="13"/>
  <c r="K33" i="13"/>
  <c r="M32" i="13"/>
  <c r="K32" i="13"/>
  <c r="M31" i="13"/>
  <c r="K31" i="13"/>
  <c r="M30" i="13"/>
  <c r="K30" i="13"/>
  <c r="M28" i="13"/>
  <c r="L28" i="13"/>
  <c r="K28" i="13"/>
  <c r="M26" i="13"/>
  <c r="L26" i="13"/>
  <c r="K26" i="13"/>
  <c r="M25" i="13"/>
  <c r="L25" i="13"/>
  <c r="K25" i="13"/>
  <c r="M24" i="13"/>
  <c r="M23" i="13"/>
  <c r="M22" i="13"/>
  <c r="K22" i="13"/>
  <c r="K23" i="13" s="1"/>
  <c r="K24" i="13" s="1"/>
  <c r="M21" i="13"/>
  <c r="K21" i="13"/>
  <c r="M20" i="13"/>
  <c r="K20" i="13"/>
  <c r="K16" i="13"/>
  <c r="K14" i="13"/>
  <c r="K13" i="13"/>
  <c r="K12" i="13"/>
  <c r="K11" i="13"/>
  <c r="K10" i="13"/>
  <c r="K9" i="13"/>
  <c r="K8" i="13"/>
  <c r="N22" i="8"/>
  <c r="O22" i="8" s="1"/>
  <c r="K19" i="13"/>
  <c r="K18" i="13"/>
  <c r="D102" i="13"/>
  <c r="D90" i="13"/>
  <c r="D78" i="13"/>
  <c r="D66" i="13"/>
  <c r="D54" i="13"/>
  <c r="D42" i="13"/>
  <c r="D30" i="13"/>
  <c r="D18" i="13"/>
  <c r="T85" i="13"/>
  <c r="T75" i="13"/>
  <c r="T65" i="13"/>
  <c r="T55" i="13"/>
  <c r="T45" i="13"/>
  <c r="T35" i="13"/>
  <c r="T25" i="13"/>
  <c r="T15" i="13"/>
  <c r="K14" i="12"/>
  <c r="K19" i="12" s="1"/>
  <c r="K24" i="12" s="1"/>
  <c r="K29" i="12" s="1"/>
  <c r="N45" i="12"/>
  <c r="N40" i="12"/>
  <c r="N34" i="12"/>
  <c r="N29" i="12"/>
  <c r="N24" i="12"/>
  <c r="N19" i="12"/>
  <c r="N14" i="12"/>
  <c r="N9" i="12"/>
  <c r="J318" i="8"/>
  <c r="J315" i="8"/>
  <c r="J312" i="8"/>
  <c r="J277" i="8"/>
  <c r="J274" i="8"/>
  <c r="J271" i="8"/>
  <c r="J236" i="8"/>
  <c r="J233" i="8"/>
  <c r="J230" i="8"/>
  <c r="J195" i="8"/>
  <c r="J192" i="8"/>
  <c r="J189" i="8"/>
  <c r="J154" i="8"/>
  <c r="J151" i="8"/>
  <c r="J148" i="8"/>
  <c r="J113" i="8"/>
  <c r="J110" i="8"/>
  <c r="J107" i="8"/>
  <c r="J72" i="8"/>
  <c r="J69" i="8"/>
  <c r="J66" i="8"/>
  <c r="J31" i="8"/>
  <c r="J28" i="8"/>
  <c r="J25" i="8"/>
  <c r="N317" i="8"/>
  <c r="N316" i="8"/>
  <c r="N314" i="8"/>
  <c r="N313" i="8"/>
  <c r="N311" i="8"/>
  <c r="N310" i="8"/>
  <c r="N309" i="8"/>
  <c r="O309" i="8" s="1"/>
  <c r="O308" i="8"/>
  <c r="N308" i="8"/>
  <c r="H308" i="8"/>
  <c r="O307" i="8"/>
  <c r="N307" i="8"/>
  <c r="H307" i="8"/>
  <c r="O306" i="8"/>
  <c r="N306" i="8"/>
  <c r="O304" i="8"/>
  <c r="N304" i="8"/>
  <c r="O303" i="8"/>
  <c r="N303" i="8"/>
  <c r="O301" i="8"/>
  <c r="N301" i="8"/>
  <c r="O300" i="8"/>
  <c r="N300" i="8"/>
  <c r="O299" i="8"/>
  <c r="O298" i="8"/>
  <c r="O297" i="8"/>
  <c r="O296" i="8"/>
  <c r="O295" i="8"/>
  <c r="N276" i="8"/>
  <c r="N275" i="8"/>
  <c r="N273" i="8"/>
  <c r="N272" i="8"/>
  <c r="N270" i="8"/>
  <c r="N269" i="8"/>
  <c r="N268" i="8"/>
  <c r="O268" i="8" s="1"/>
  <c r="O267" i="8"/>
  <c r="N267" i="8"/>
  <c r="H267" i="8"/>
  <c r="O266" i="8"/>
  <c r="N266" i="8"/>
  <c r="H266" i="8"/>
  <c r="O265" i="8"/>
  <c r="N265" i="8"/>
  <c r="O263" i="8"/>
  <c r="O286" i="8" s="1"/>
  <c r="O288" i="8" s="1"/>
  <c r="N263" i="8"/>
  <c r="N286" i="8" s="1"/>
  <c r="N288" i="8" s="1"/>
  <c r="O262" i="8"/>
  <c r="N262" i="8"/>
  <c r="O260" i="8"/>
  <c r="N260" i="8"/>
  <c r="O259" i="8"/>
  <c r="N259" i="8"/>
  <c r="O258" i="8"/>
  <c r="O257" i="8"/>
  <c r="O256" i="8"/>
  <c r="O255" i="8"/>
  <c r="O254" i="8"/>
  <c r="N235" i="8"/>
  <c r="N234" i="8"/>
  <c r="N232" i="8"/>
  <c r="N231" i="8"/>
  <c r="N229" i="8"/>
  <c r="N228" i="8"/>
  <c r="N227" i="8"/>
  <c r="O227" i="8" s="1"/>
  <c r="O226" i="8"/>
  <c r="N226" i="8"/>
  <c r="H226" i="8"/>
  <c r="O225" i="8"/>
  <c r="N225" i="8"/>
  <c r="H225" i="8"/>
  <c r="O224" i="8"/>
  <c r="N224" i="8"/>
  <c r="O222" i="8"/>
  <c r="O245" i="8" s="1"/>
  <c r="O247" i="8" s="1"/>
  <c r="N222" i="8"/>
  <c r="N245" i="8" s="1"/>
  <c r="N247" i="8" s="1"/>
  <c r="O221" i="8"/>
  <c r="N221" i="8"/>
  <c r="O219" i="8"/>
  <c r="N219" i="8"/>
  <c r="O218" i="8"/>
  <c r="N218" i="8"/>
  <c r="O217" i="8"/>
  <c r="O216" i="8"/>
  <c r="O215" i="8"/>
  <c r="O214" i="8"/>
  <c r="O213" i="8"/>
  <c r="N194" i="8"/>
  <c r="N193" i="8"/>
  <c r="N191" i="8"/>
  <c r="N190" i="8"/>
  <c r="N188" i="8"/>
  <c r="N187" i="8"/>
  <c r="N186" i="8"/>
  <c r="O186" i="8" s="1"/>
  <c r="O185" i="8"/>
  <c r="N185" i="8"/>
  <c r="H185" i="8"/>
  <c r="O184" i="8"/>
  <c r="N184" i="8"/>
  <c r="H184" i="8"/>
  <c r="O183" i="8"/>
  <c r="N183" i="8"/>
  <c r="O181" i="8"/>
  <c r="O204" i="8" s="1"/>
  <c r="O206" i="8" s="1"/>
  <c r="N181" i="8"/>
  <c r="N204" i="8" s="1"/>
  <c r="N206" i="8" s="1"/>
  <c r="O180" i="8"/>
  <c r="N180" i="8"/>
  <c r="O178" i="8"/>
  <c r="N178" i="8"/>
  <c r="O177" i="8"/>
  <c r="N177" i="8"/>
  <c r="O176" i="8"/>
  <c r="O175" i="8"/>
  <c r="O174" i="8"/>
  <c r="O173" i="8"/>
  <c r="O172" i="8"/>
  <c r="N153" i="8"/>
  <c r="N152" i="8"/>
  <c r="N150" i="8"/>
  <c r="N149" i="8"/>
  <c r="N147" i="8"/>
  <c r="N146" i="8"/>
  <c r="N145" i="8"/>
  <c r="O145" i="8" s="1"/>
  <c r="O144" i="8"/>
  <c r="N144" i="8"/>
  <c r="H144" i="8"/>
  <c r="O143" i="8"/>
  <c r="N143" i="8"/>
  <c r="H143" i="8"/>
  <c r="O142" i="8"/>
  <c r="N142" i="8"/>
  <c r="O140" i="8"/>
  <c r="O163" i="8" s="1"/>
  <c r="O165" i="8" s="1"/>
  <c r="N140" i="8"/>
  <c r="N163" i="8" s="1"/>
  <c r="N165" i="8" s="1"/>
  <c r="O139" i="8"/>
  <c r="N139" i="8"/>
  <c r="O137" i="8"/>
  <c r="N137" i="8"/>
  <c r="O136" i="8"/>
  <c r="N136" i="8"/>
  <c r="O135" i="8"/>
  <c r="O134" i="8"/>
  <c r="O133" i="8"/>
  <c r="O132" i="8"/>
  <c r="O131" i="8"/>
  <c r="N112" i="8"/>
  <c r="N111" i="8"/>
  <c r="N109" i="8"/>
  <c r="N108" i="8"/>
  <c r="N106" i="8"/>
  <c r="N105" i="8"/>
  <c r="N104" i="8"/>
  <c r="O104" i="8" s="1"/>
  <c r="O103" i="8"/>
  <c r="N103" i="8"/>
  <c r="H103" i="8"/>
  <c r="O102" i="8"/>
  <c r="N102" i="8"/>
  <c r="H102" i="8"/>
  <c r="O101" i="8"/>
  <c r="N101" i="8"/>
  <c r="O99" i="8"/>
  <c r="O122" i="8" s="1"/>
  <c r="O124" i="8" s="1"/>
  <c r="N99" i="8"/>
  <c r="N122" i="8" s="1"/>
  <c r="N124" i="8" s="1"/>
  <c r="O98" i="8"/>
  <c r="N98" i="8"/>
  <c r="O96" i="8"/>
  <c r="N96" i="8"/>
  <c r="O95" i="8"/>
  <c r="N95" i="8"/>
  <c r="O94" i="8"/>
  <c r="O93" i="8"/>
  <c r="O92" i="8"/>
  <c r="O91" i="8"/>
  <c r="O90" i="8"/>
  <c r="N71" i="8"/>
  <c r="N70" i="8"/>
  <c r="N68" i="8"/>
  <c r="N67" i="8"/>
  <c r="N65" i="8"/>
  <c r="N64" i="8"/>
  <c r="N63" i="8"/>
  <c r="O63" i="8" s="1"/>
  <c r="O62" i="8"/>
  <c r="N62" i="8"/>
  <c r="H62" i="8"/>
  <c r="O61" i="8"/>
  <c r="N61" i="8"/>
  <c r="H61" i="8"/>
  <c r="O60" i="8"/>
  <c r="N60" i="8"/>
  <c r="O58" i="8"/>
  <c r="O81" i="8" s="1"/>
  <c r="O83" i="8" s="1"/>
  <c r="N58" i="8"/>
  <c r="N81" i="8" s="1"/>
  <c r="N83" i="8" s="1"/>
  <c r="O57" i="8"/>
  <c r="N57" i="8"/>
  <c r="O55" i="8"/>
  <c r="N55" i="8"/>
  <c r="O54" i="8"/>
  <c r="N54" i="8"/>
  <c r="O53" i="8"/>
  <c r="O52" i="8"/>
  <c r="O51" i="8"/>
  <c r="O50" i="8"/>
  <c r="O49" i="8"/>
  <c r="O9" i="8"/>
  <c r="O12" i="8"/>
  <c r="O11" i="8"/>
  <c r="O10" i="8"/>
  <c r="O8" i="8"/>
  <c r="D295" i="8"/>
  <c r="D254" i="8"/>
  <c r="D213" i="8"/>
  <c r="D172" i="8"/>
  <c r="D131" i="8"/>
  <c r="D90" i="8"/>
  <c r="D49" i="8"/>
  <c r="D8" i="8"/>
  <c r="O21" i="8"/>
  <c r="O20" i="8"/>
  <c r="O19" i="8"/>
  <c r="N30" i="8"/>
  <c r="N29" i="8"/>
  <c r="J11" i="12" s="1"/>
  <c r="J12" i="12" s="1"/>
  <c r="N27" i="8"/>
  <c r="N26" i="8"/>
  <c r="J8" i="12" s="1"/>
  <c r="K8" i="12" s="1"/>
  <c r="K13" i="12" s="1"/>
  <c r="K18" i="12" s="1"/>
  <c r="K23" i="12" s="1"/>
  <c r="K28" i="12" s="1"/>
  <c r="N24" i="8"/>
  <c r="N23" i="8"/>
  <c r="J10" i="12" l="1"/>
  <c r="J15" i="12" s="1"/>
  <c r="J20" i="12" s="1"/>
  <c r="J25" i="12" s="1"/>
  <c r="J30" i="12" s="1"/>
  <c r="J36" i="12" s="1"/>
  <c r="J13" i="12"/>
  <c r="J18" i="12" s="1"/>
  <c r="J23" i="12" s="1"/>
  <c r="J28" i="12" s="1"/>
  <c r="J33" i="12" s="1"/>
  <c r="J17" i="12"/>
  <c r="J22" i="12" s="1"/>
  <c r="J27" i="12" s="1"/>
  <c r="J32" i="12" s="1"/>
  <c r="J43" i="12" s="1"/>
  <c r="J48" i="12" s="1"/>
  <c r="K12" i="12"/>
  <c r="K17" i="12" s="1"/>
  <c r="K22" i="12" s="1"/>
  <c r="K27" i="12" s="1"/>
  <c r="K32" i="12" s="1"/>
  <c r="K38" i="12" s="1"/>
  <c r="K11" i="12"/>
  <c r="K16" i="12" s="1"/>
  <c r="K21" i="12" s="1"/>
  <c r="K26" i="12" s="1"/>
  <c r="K31" i="12" s="1"/>
  <c r="K42" i="12" s="1"/>
  <c r="K47" i="12" s="1"/>
  <c r="J16" i="12"/>
  <c r="J21" i="12" s="1"/>
  <c r="J26" i="12" s="1"/>
  <c r="J31" i="12" s="1"/>
  <c r="J37" i="12" s="1"/>
  <c r="K39" i="12"/>
  <c r="K44" i="12" s="1"/>
  <c r="K33" i="12"/>
  <c r="K40" i="12"/>
  <c r="K45" i="12" s="1"/>
  <c r="K34" i="12"/>
  <c r="K10" i="12" l="1"/>
  <c r="K15" i="12" s="1"/>
  <c r="K20" i="12" s="1"/>
  <c r="K25" i="12" s="1"/>
  <c r="K30" i="12" s="1"/>
  <c r="K36" i="12" s="1"/>
  <c r="J41" i="12"/>
  <c r="J46" i="12" s="1"/>
  <c r="J38" i="12"/>
  <c r="K37" i="12"/>
  <c r="J39" i="12"/>
  <c r="J44" i="12" s="1"/>
  <c r="J42" i="12"/>
  <c r="J47" i="12" s="1"/>
  <c r="K43" i="12"/>
  <c r="K48" i="12" s="1"/>
  <c r="O17" i="8"/>
  <c r="O40" i="8" s="1"/>
  <c r="O42" i="8" s="1"/>
  <c r="O16" i="8"/>
  <c r="O14" i="8"/>
  <c r="O13" i="8"/>
  <c r="N17" i="8"/>
  <c r="N40" i="8" s="1"/>
  <c r="N42" i="8" s="1"/>
  <c r="N16" i="8"/>
  <c r="N14" i="8"/>
  <c r="N13" i="8"/>
  <c r="N21" i="8"/>
  <c r="N20" i="8"/>
  <c r="N19" i="8"/>
  <c r="T82" i="13"/>
  <c r="T72" i="13"/>
  <c r="T62" i="13"/>
  <c r="T52" i="13"/>
  <c r="T42" i="13"/>
  <c r="T32" i="13"/>
  <c r="T22" i="13"/>
  <c r="T12" i="13"/>
  <c r="Y193" i="8"/>
  <c r="Y192" i="8"/>
  <c r="Y191" i="8"/>
  <c r="Y168" i="8"/>
  <c r="Y167" i="8"/>
  <c r="Y166" i="8"/>
  <c r="Y143" i="8"/>
  <c r="Y142" i="8"/>
  <c r="Y141" i="8"/>
  <c r="Y118" i="8"/>
  <c r="Y117" i="8"/>
  <c r="Y116" i="8"/>
  <c r="Y93" i="8"/>
  <c r="Y92" i="8"/>
  <c r="Y91" i="8"/>
  <c r="Y68" i="8"/>
  <c r="Y67" i="8"/>
  <c r="Y66" i="8"/>
  <c r="Y43" i="8"/>
  <c r="Y42" i="8"/>
  <c r="Y41" i="8"/>
  <c r="Y18" i="8"/>
  <c r="Y17" i="8"/>
  <c r="Y16" i="8"/>
  <c r="K41" i="12" l="1"/>
  <c r="K46" i="12" s="1"/>
  <c r="Z7" i="8"/>
  <c r="R8" i="17" l="1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7" i="17"/>
  <c r="J174" i="15"/>
  <c r="J175" i="15" s="1"/>
  <c r="J173" i="15"/>
  <c r="J170" i="15"/>
  <c r="J171" i="15" s="1"/>
  <c r="J172" i="15" s="1"/>
  <c r="J168" i="15"/>
  <c r="J169" i="15" s="1"/>
  <c r="J167" i="15"/>
  <c r="J164" i="15"/>
  <c r="J165" i="15" s="1"/>
  <c r="J166" i="15" s="1"/>
  <c r="J162" i="15"/>
  <c r="J163" i="15" s="1"/>
  <c r="J161" i="15"/>
  <c r="J158" i="15"/>
  <c r="J159" i="15" s="1"/>
  <c r="J160" i="15" s="1"/>
  <c r="J155" i="15"/>
  <c r="J156" i="15" s="1"/>
  <c r="J157" i="15" s="1"/>
  <c r="J152" i="15"/>
  <c r="J153" i="15" s="1"/>
  <c r="J154" i="15" s="1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M19" i="13"/>
  <c r="M18" i="13"/>
  <c r="M16" i="13"/>
  <c r="L16" i="13"/>
  <c r="M14" i="13"/>
  <c r="L14" i="13"/>
  <c r="M13" i="13"/>
  <c r="L13" i="13"/>
  <c r="M12" i="13"/>
  <c r="M11" i="13"/>
  <c r="M10" i="13"/>
  <c r="M9" i="13"/>
  <c r="M8" i="13"/>
  <c r="J9" i="12"/>
  <c r="J14" i="12" s="1"/>
  <c r="J19" i="12" s="1"/>
  <c r="J24" i="12" s="1"/>
  <c r="J29" i="12" s="1"/>
  <c r="H8" i="20"/>
  <c r="J34" i="12" l="1"/>
  <c r="J40" i="12"/>
  <c r="J45" i="12" s="1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N14" i="20"/>
  <c r="N13" i="20"/>
  <c r="N12" i="20"/>
  <c r="N11" i="20"/>
  <c r="N10" i="20"/>
  <c r="N9" i="20"/>
  <c r="N8" i="20"/>
  <c r="N7" i="20"/>
  <c r="G56" i="21" l="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E54" i="21"/>
  <c r="E55" i="21" s="1"/>
  <c r="E56" i="21" s="1"/>
  <c r="E51" i="21"/>
  <c r="E52" i="21" s="1"/>
  <c r="E53" i="21" s="1"/>
  <c r="E48" i="21"/>
  <c r="E49" i="21" s="1"/>
  <c r="E50" i="21" s="1"/>
  <c r="E46" i="21"/>
  <c r="E47" i="21" s="1"/>
  <c r="E45" i="21"/>
  <c r="E42" i="21"/>
  <c r="E43" i="21" s="1"/>
  <c r="E44" i="21" s="1"/>
  <c r="E39" i="21"/>
  <c r="E40" i="21" s="1"/>
  <c r="E41" i="21" s="1"/>
  <c r="E36" i="21"/>
  <c r="E37" i="21" s="1"/>
  <c r="E38" i="21" s="1"/>
  <c r="E33" i="21"/>
  <c r="E34" i="21" s="1"/>
  <c r="E35" i="21" s="1"/>
  <c r="C33" i="21"/>
  <c r="C34" i="21"/>
  <c r="C35" i="21"/>
  <c r="C36" i="21"/>
  <c r="C37" i="21"/>
  <c r="C38" i="21"/>
  <c r="C39" i="21"/>
  <c r="C40" i="21"/>
  <c r="C41" i="21"/>
  <c r="C42" i="21"/>
  <c r="C43" i="21"/>
  <c r="C44" i="21"/>
  <c r="B45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M54" i="21"/>
  <c r="W54" i="21" s="1"/>
  <c r="E138" i="21" s="1"/>
  <c r="M51" i="21"/>
  <c r="W51" i="21" s="1"/>
  <c r="E135" i="21" s="1"/>
  <c r="M48" i="21"/>
  <c r="W48" i="21" s="1"/>
  <c r="E132" i="21" s="1"/>
  <c r="M45" i="21"/>
  <c r="W45" i="21" s="1"/>
  <c r="E129" i="21" s="1"/>
  <c r="M42" i="21"/>
  <c r="W42" i="21" s="1"/>
  <c r="E126" i="21" s="1"/>
  <c r="M39" i="21"/>
  <c r="W39" i="21" s="1"/>
  <c r="E123" i="21" s="1"/>
  <c r="M36" i="21"/>
  <c r="W36" i="21" s="1"/>
  <c r="E120" i="21" s="1"/>
  <c r="M33" i="21"/>
  <c r="W33" i="21" s="1"/>
  <c r="E117" i="21" s="1"/>
  <c r="M55" i="21"/>
  <c r="W55" i="21" s="1"/>
  <c r="E139" i="21" s="1"/>
  <c r="M52" i="21"/>
  <c r="W52" i="21" s="1"/>
  <c r="E136" i="21" s="1"/>
  <c r="M49" i="21"/>
  <c r="W49" i="21" s="1"/>
  <c r="E133" i="21" s="1"/>
  <c r="M46" i="21"/>
  <c r="W46" i="21" s="1"/>
  <c r="E130" i="21" s="1"/>
  <c r="M43" i="21"/>
  <c r="W43" i="21" s="1"/>
  <c r="E127" i="21" s="1"/>
  <c r="M40" i="21"/>
  <c r="W40" i="21" s="1"/>
  <c r="E124" i="21" s="1"/>
  <c r="M37" i="21"/>
  <c r="W37" i="21" s="1"/>
  <c r="E121" i="21" s="1"/>
  <c r="M34" i="21"/>
  <c r="W34" i="21" s="1"/>
  <c r="E118" i="21" s="1"/>
  <c r="M56" i="21"/>
  <c r="W56" i="21" s="1"/>
  <c r="E140" i="21" s="1"/>
  <c r="M53" i="21"/>
  <c r="W53" i="21" s="1"/>
  <c r="E137" i="21" s="1"/>
  <c r="M50" i="21"/>
  <c r="W50" i="21" s="1"/>
  <c r="E134" i="21" s="1"/>
  <c r="M47" i="21"/>
  <c r="W47" i="21" s="1"/>
  <c r="E131" i="21" s="1"/>
  <c r="M44" i="21"/>
  <c r="W44" i="21" s="1"/>
  <c r="E128" i="21" s="1"/>
  <c r="M41" i="21"/>
  <c r="W41" i="21" s="1"/>
  <c r="E125" i="21" s="1"/>
  <c r="M38" i="21"/>
  <c r="W38" i="21" s="1"/>
  <c r="E122" i="21" s="1"/>
  <c r="M35" i="21"/>
  <c r="W35" i="21" s="1"/>
  <c r="E119" i="21" s="1"/>
  <c r="M32" i="21"/>
  <c r="W32" i="21" s="1"/>
  <c r="E116" i="21" s="1"/>
  <c r="M29" i="21"/>
  <c r="W29" i="21" s="1"/>
  <c r="M26" i="21"/>
  <c r="W26" i="21" s="1"/>
  <c r="M23" i="21"/>
  <c r="W23" i="21" s="1"/>
  <c r="M20" i="21"/>
  <c r="W20" i="21" s="1"/>
  <c r="M17" i="21"/>
  <c r="W17" i="21" s="1"/>
  <c r="M14" i="21"/>
  <c r="W14" i="21" s="1"/>
  <c r="M11" i="21"/>
  <c r="W11" i="21" s="1"/>
  <c r="M31" i="21"/>
  <c r="W31" i="21" s="1"/>
  <c r="M28" i="21"/>
  <c r="W28" i="21" s="1"/>
  <c r="M25" i="21"/>
  <c r="W25" i="21" s="1"/>
  <c r="M22" i="21"/>
  <c r="W22" i="21" s="1"/>
  <c r="M19" i="21"/>
  <c r="W19" i="21" s="1"/>
  <c r="M16" i="21"/>
  <c r="W16" i="21" s="1"/>
  <c r="M13" i="21"/>
  <c r="W13" i="21" s="1"/>
  <c r="M10" i="21"/>
  <c r="W10" i="21" s="1"/>
  <c r="M30" i="21"/>
  <c r="W30" i="21" s="1"/>
  <c r="M27" i="21"/>
  <c r="W27" i="21" s="1"/>
  <c r="M24" i="21"/>
  <c r="W24" i="21" s="1"/>
  <c r="M21" i="21"/>
  <c r="W21" i="21" s="1"/>
  <c r="M18" i="21"/>
  <c r="W18" i="21" s="1"/>
  <c r="M15" i="21"/>
  <c r="W15" i="21" s="1"/>
  <c r="M12" i="21"/>
  <c r="W12" i="21" s="1"/>
  <c r="M9" i="21"/>
  <c r="P56" i="21"/>
  <c r="O56" i="21"/>
  <c r="P55" i="21"/>
  <c r="O55" i="21"/>
  <c r="P54" i="21"/>
  <c r="O54" i="21"/>
  <c r="P53" i="21"/>
  <c r="O53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P34" i="21"/>
  <c r="O34" i="21"/>
  <c r="P33" i="21"/>
  <c r="O33" i="21"/>
  <c r="B50" i="21" l="1"/>
  <c r="D51" i="21"/>
  <c r="B46" i="21"/>
  <c r="B38" i="21"/>
  <c r="B51" i="21"/>
  <c r="D45" i="21"/>
  <c r="B54" i="21"/>
  <c r="D56" i="21"/>
  <c r="B56" i="21"/>
  <c r="D55" i="21"/>
  <c r="B55" i="21"/>
  <c r="D54" i="21"/>
  <c r="D53" i="21"/>
  <c r="D52" i="21"/>
  <c r="B53" i="21"/>
  <c r="B52" i="21"/>
  <c r="B49" i="21"/>
  <c r="D48" i="21"/>
  <c r="D49" i="21"/>
  <c r="D50" i="21"/>
  <c r="B48" i="21"/>
  <c r="D47" i="21"/>
  <c r="B47" i="21"/>
  <c r="D46" i="21"/>
  <c r="B44" i="21"/>
  <c r="D43" i="21"/>
  <c r="B43" i="21"/>
  <c r="D42" i="21"/>
  <c r="D44" i="21"/>
  <c r="B42" i="21"/>
  <c r="B39" i="21"/>
  <c r="B41" i="21"/>
  <c r="D40" i="21"/>
  <c r="D41" i="21"/>
  <c r="B40" i="21"/>
  <c r="D39" i="21"/>
  <c r="B37" i="21"/>
  <c r="D36" i="21"/>
  <c r="D38" i="21"/>
  <c r="B36" i="21"/>
  <c r="D37" i="21"/>
  <c r="B35" i="21"/>
  <c r="D34" i="21"/>
  <c r="B34" i="21"/>
  <c r="D33" i="21"/>
  <c r="D35" i="21"/>
  <c r="B33" i="21"/>
  <c r="H21" i="8"/>
  <c r="H20" i="8"/>
  <c r="E69" i="15" l="1"/>
  <c r="E66" i="15"/>
  <c r="E63" i="15"/>
  <c r="E60" i="15"/>
  <c r="E57" i="15"/>
  <c r="E30" i="21" l="1"/>
  <c r="E31" i="21" s="1"/>
  <c r="E32" i="21" s="1"/>
  <c r="E27" i="21"/>
  <c r="E28" i="21" s="1"/>
  <c r="E29" i="21" s="1"/>
  <c r="E24" i="21"/>
  <c r="E25" i="21" s="1"/>
  <c r="E26" i="21" s="1"/>
  <c r="E21" i="21"/>
  <c r="E22" i="21" s="1"/>
  <c r="E23" i="21" s="1"/>
  <c r="E18" i="21"/>
  <c r="E19" i="21" s="1"/>
  <c r="E20" i="21" s="1"/>
  <c r="E15" i="21"/>
  <c r="E16" i="21" s="1"/>
  <c r="E17" i="21" s="1"/>
  <c r="E12" i="21"/>
  <c r="E13" i="21" s="1"/>
  <c r="E14" i="21" s="1"/>
  <c r="E9" i="21"/>
  <c r="E10" i="21" s="1"/>
  <c r="E11" i="21" s="1"/>
  <c r="B32" i="21"/>
  <c r="D31" i="21"/>
  <c r="B30" i="21"/>
  <c r="B29" i="21"/>
  <c r="B28" i="21"/>
  <c r="B27" i="21"/>
  <c r="P32" i="21"/>
  <c r="O32" i="21"/>
  <c r="C32" i="21"/>
  <c r="P31" i="21"/>
  <c r="O31" i="21"/>
  <c r="C31" i="21"/>
  <c r="P30" i="21"/>
  <c r="O30" i="21"/>
  <c r="C30" i="21"/>
  <c r="P29" i="21"/>
  <c r="O29" i="21"/>
  <c r="C29" i="21"/>
  <c r="P28" i="21"/>
  <c r="O28" i="21"/>
  <c r="C28" i="21"/>
  <c r="P27" i="21"/>
  <c r="O27" i="21"/>
  <c r="C27" i="21"/>
  <c r="E173" i="15"/>
  <c r="E174" i="15" s="1"/>
  <c r="E175" i="15" s="1"/>
  <c r="E170" i="15"/>
  <c r="E171" i="15" s="1"/>
  <c r="E172" i="15" s="1"/>
  <c r="E167" i="15"/>
  <c r="E164" i="15"/>
  <c r="E161" i="15"/>
  <c r="E158" i="15"/>
  <c r="E155" i="15"/>
  <c r="E152" i="15"/>
  <c r="C172" i="15"/>
  <c r="E141" i="15"/>
  <c r="E142" i="15" s="1"/>
  <c r="E143" i="15" s="1"/>
  <c r="E138" i="15"/>
  <c r="E139" i="15" s="1"/>
  <c r="E140" i="15" s="1"/>
  <c r="E135" i="15"/>
  <c r="E132" i="15"/>
  <c r="E129" i="15"/>
  <c r="E126" i="15"/>
  <c r="E123" i="15"/>
  <c r="E120" i="15"/>
  <c r="C137" i="15"/>
  <c r="C136" i="15"/>
  <c r="C135" i="15"/>
  <c r="E108" i="15"/>
  <c r="E109" i="15" s="1"/>
  <c r="E110" i="15" s="1"/>
  <c r="E111" i="15" s="1"/>
  <c r="E104" i="15"/>
  <c r="E105" i="15" s="1"/>
  <c r="E106" i="15" s="1"/>
  <c r="E107" i="15" s="1"/>
  <c r="E100" i="15"/>
  <c r="E96" i="15"/>
  <c r="E92" i="15"/>
  <c r="E88" i="15"/>
  <c r="E84" i="15"/>
  <c r="E80" i="15"/>
  <c r="E70" i="15"/>
  <c r="E71" i="15" s="1"/>
  <c r="E67" i="15"/>
  <c r="E68" i="15" s="1"/>
  <c r="E64" i="15"/>
  <c r="E65" i="15" s="1"/>
  <c r="E61" i="15"/>
  <c r="E62" i="15" s="1"/>
  <c r="E58" i="15"/>
  <c r="E59" i="15" s="1"/>
  <c r="E54" i="15"/>
  <c r="E55" i="15" s="1"/>
  <c r="E56" i="15" s="1"/>
  <c r="E51" i="15"/>
  <c r="E52" i="15" s="1"/>
  <c r="E53" i="15" s="1"/>
  <c r="E48" i="15"/>
  <c r="E49" i="15" s="1"/>
  <c r="E50" i="15" s="1"/>
  <c r="E36" i="15"/>
  <c r="E37" i="15" s="1"/>
  <c r="E38" i="15" s="1"/>
  <c r="E39" i="15" s="1"/>
  <c r="E32" i="15"/>
  <c r="E33" i="15" s="1"/>
  <c r="E34" i="15" s="1"/>
  <c r="E35" i="15" s="1"/>
  <c r="E28" i="15"/>
  <c r="E29" i="15" s="1"/>
  <c r="E30" i="15" s="1"/>
  <c r="E31" i="15" s="1"/>
  <c r="E24" i="15"/>
  <c r="E25" i="15" s="1"/>
  <c r="E26" i="15" s="1"/>
  <c r="E27" i="15" s="1"/>
  <c r="E20" i="15"/>
  <c r="E21" i="15" s="1"/>
  <c r="E22" i="15" s="1"/>
  <c r="E23" i="15" s="1"/>
  <c r="E16" i="15"/>
  <c r="E17" i="15" s="1"/>
  <c r="E18" i="15" s="1"/>
  <c r="E19" i="15" s="1"/>
  <c r="E12" i="15"/>
  <c r="E13" i="15" s="1"/>
  <c r="E14" i="15" s="1"/>
  <c r="E15" i="15" s="1"/>
  <c r="E8" i="15"/>
  <c r="E9" i="15" s="1"/>
  <c r="E10" i="15" s="1"/>
  <c r="E11" i="15" s="1"/>
  <c r="C175" i="15"/>
  <c r="C174" i="15"/>
  <c r="C173" i="15"/>
  <c r="C171" i="15"/>
  <c r="C170" i="15"/>
  <c r="C143" i="15"/>
  <c r="C142" i="15"/>
  <c r="C141" i="15"/>
  <c r="C140" i="15"/>
  <c r="C139" i="15"/>
  <c r="C138" i="15"/>
  <c r="C111" i="15"/>
  <c r="C110" i="15"/>
  <c r="C109" i="15"/>
  <c r="C108" i="15"/>
  <c r="C107" i="15"/>
  <c r="C106" i="15"/>
  <c r="C105" i="15"/>
  <c r="C104" i="15"/>
  <c r="C71" i="15"/>
  <c r="C70" i="15"/>
  <c r="C69" i="15"/>
  <c r="C68" i="15"/>
  <c r="C67" i="15"/>
  <c r="C66" i="15"/>
  <c r="C36" i="15"/>
  <c r="C39" i="15"/>
  <c r="C38" i="15"/>
  <c r="C37" i="15"/>
  <c r="C31" i="15"/>
  <c r="C30" i="15"/>
  <c r="C29" i="15"/>
  <c r="C28" i="15"/>
  <c r="C131" i="15"/>
  <c r="C130" i="15"/>
  <c r="C129" i="15"/>
  <c r="C125" i="15"/>
  <c r="C124" i="15"/>
  <c r="C123" i="15"/>
  <c r="C35" i="15"/>
  <c r="C34" i="15"/>
  <c r="C33" i="15"/>
  <c r="C32" i="15"/>
  <c r="C134" i="15"/>
  <c r="C133" i="15"/>
  <c r="C132" i="15"/>
  <c r="C128" i="15"/>
  <c r="C127" i="15"/>
  <c r="C126" i="15"/>
  <c r="C122" i="15"/>
  <c r="C121" i="15"/>
  <c r="C120" i="15"/>
  <c r="R142" i="15"/>
  <c r="B175" i="15" s="1"/>
  <c r="R141" i="15"/>
  <c r="B174" i="15" s="1"/>
  <c r="R140" i="15"/>
  <c r="B173" i="15" s="1"/>
  <c r="R139" i="15"/>
  <c r="B172" i="15" s="1"/>
  <c r="R138" i="15"/>
  <c r="B171" i="15" s="1"/>
  <c r="R137" i="15"/>
  <c r="B170" i="15" s="1"/>
  <c r="R136" i="15"/>
  <c r="R135" i="15"/>
  <c r="R134" i="15"/>
  <c r="R133" i="15"/>
  <c r="R132" i="15"/>
  <c r="R131" i="15"/>
  <c r="R130" i="15"/>
  <c r="R129" i="15"/>
  <c r="R128" i="15"/>
  <c r="R127" i="15"/>
  <c r="R126" i="15"/>
  <c r="R125" i="15"/>
  <c r="R124" i="15"/>
  <c r="R123" i="15"/>
  <c r="R122" i="15"/>
  <c r="R121" i="15"/>
  <c r="R120" i="15"/>
  <c r="R119" i="15"/>
  <c r="R118" i="15"/>
  <c r="B143" i="15" s="1"/>
  <c r="R117" i="15"/>
  <c r="B142" i="15" s="1"/>
  <c r="R116" i="15"/>
  <c r="B141" i="15" s="1"/>
  <c r="R115" i="15"/>
  <c r="B140" i="15" s="1"/>
  <c r="R114" i="15"/>
  <c r="B139" i="15" s="1"/>
  <c r="R113" i="15"/>
  <c r="B138" i="15" s="1"/>
  <c r="R112" i="15"/>
  <c r="B137" i="15" s="1"/>
  <c r="R111" i="15"/>
  <c r="B136" i="15" s="1"/>
  <c r="R110" i="15"/>
  <c r="B135" i="15" s="1"/>
  <c r="R109" i="15"/>
  <c r="B134" i="15" s="1"/>
  <c r="R108" i="15"/>
  <c r="B133" i="15" s="1"/>
  <c r="R107" i="15"/>
  <c r="B132" i="15" s="1"/>
  <c r="R106" i="15"/>
  <c r="B131" i="15" s="1"/>
  <c r="R105" i="15"/>
  <c r="B130" i="15" s="1"/>
  <c r="R104" i="15"/>
  <c r="B129" i="15" s="1"/>
  <c r="R103" i="15"/>
  <c r="B128" i="15" s="1"/>
  <c r="R102" i="15"/>
  <c r="B127" i="15" s="1"/>
  <c r="R101" i="15"/>
  <c r="B126" i="15" s="1"/>
  <c r="R100" i="15"/>
  <c r="B125" i="15" s="1"/>
  <c r="R99" i="15"/>
  <c r="B124" i="15" s="1"/>
  <c r="R98" i="15"/>
  <c r="B123" i="15" s="1"/>
  <c r="R97" i="15"/>
  <c r="B122" i="15" s="1"/>
  <c r="R96" i="15"/>
  <c r="B121" i="15" s="1"/>
  <c r="R95" i="15"/>
  <c r="U142" i="15"/>
  <c r="T142" i="15"/>
  <c r="U141" i="15"/>
  <c r="T141" i="15"/>
  <c r="U140" i="15"/>
  <c r="T140" i="15"/>
  <c r="U139" i="15"/>
  <c r="T139" i="15"/>
  <c r="U138" i="15"/>
  <c r="T138" i="15"/>
  <c r="U137" i="15"/>
  <c r="T137" i="15"/>
  <c r="U118" i="15"/>
  <c r="T118" i="15"/>
  <c r="U117" i="15"/>
  <c r="T117" i="15"/>
  <c r="U116" i="15"/>
  <c r="T116" i="15"/>
  <c r="U115" i="15"/>
  <c r="T115" i="15"/>
  <c r="U114" i="15"/>
  <c r="T114" i="15"/>
  <c r="U113" i="15"/>
  <c r="T113" i="15"/>
  <c r="R94" i="15"/>
  <c r="B111" i="15" s="1"/>
  <c r="R93" i="15"/>
  <c r="B110" i="15" s="1"/>
  <c r="R92" i="15"/>
  <c r="B109" i="15" s="1"/>
  <c r="R91" i="15"/>
  <c r="B108" i="15" s="1"/>
  <c r="R90" i="15"/>
  <c r="B107" i="15" s="1"/>
  <c r="R89" i="15"/>
  <c r="B106" i="15" s="1"/>
  <c r="R88" i="15"/>
  <c r="B105" i="15" s="1"/>
  <c r="R87" i="15"/>
  <c r="B104" i="15" s="1"/>
  <c r="W9" i="21" l="1"/>
  <c r="E93" i="21" s="1"/>
  <c r="E115" i="21"/>
  <c r="B31" i="21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U94" i="15"/>
  <c r="T94" i="15"/>
  <c r="U93" i="15"/>
  <c r="T93" i="15"/>
  <c r="U92" i="15"/>
  <c r="T92" i="15"/>
  <c r="U91" i="15"/>
  <c r="T91" i="15"/>
  <c r="U90" i="15"/>
  <c r="T90" i="15"/>
  <c r="U89" i="15"/>
  <c r="T89" i="15"/>
  <c r="U88" i="15"/>
  <c r="T88" i="15"/>
  <c r="U87" i="15"/>
  <c r="T87" i="15"/>
  <c r="R62" i="15"/>
  <c r="B71" i="15" s="1"/>
  <c r="R61" i="15"/>
  <c r="B70" i="15" s="1"/>
  <c r="R60" i="15"/>
  <c r="B69" i="15" s="1"/>
  <c r="R59" i="15"/>
  <c r="B68" i="15" s="1"/>
  <c r="R58" i="15"/>
  <c r="B67" i="15" s="1"/>
  <c r="R57" i="15"/>
  <c r="B66" i="15" s="1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U62" i="15"/>
  <c r="T62" i="15"/>
  <c r="U61" i="15"/>
  <c r="T61" i="15"/>
  <c r="U60" i="15"/>
  <c r="T60" i="15"/>
  <c r="U59" i="15"/>
  <c r="T59" i="15"/>
  <c r="U58" i="15"/>
  <c r="T58" i="15"/>
  <c r="U57" i="15"/>
  <c r="T57" i="15"/>
  <c r="R38" i="15"/>
  <c r="B39" i="15" s="1"/>
  <c r="R37" i="15"/>
  <c r="B38" i="15" s="1"/>
  <c r="R36" i="15"/>
  <c r="B37" i="15" s="1"/>
  <c r="R35" i="15"/>
  <c r="B36" i="15" s="1"/>
  <c r="R34" i="15"/>
  <c r="B35" i="15" s="1"/>
  <c r="R33" i="15"/>
  <c r="B34" i="15" s="1"/>
  <c r="R32" i="15"/>
  <c r="B33" i="15" s="1"/>
  <c r="R31" i="15"/>
  <c r="B32" i="15" s="1"/>
  <c r="U38" i="15"/>
  <c r="T38" i="15"/>
  <c r="U37" i="15"/>
  <c r="T37" i="15"/>
  <c r="U36" i="15"/>
  <c r="T36" i="15"/>
  <c r="U35" i="15"/>
  <c r="T35" i="15"/>
  <c r="R30" i="15"/>
  <c r="B31" i="15" s="1"/>
  <c r="R29" i="15"/>
  <c r="B30" i="15" s="1"/>
  <c r="R28" i="15"/>
  <c r="B29" i="15" s="1"/>
  <c r="R27" i="15"/>
  <c r="B28" i="15" s="1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C78" i="14"/>
  <c r="C77" i="14"/>
  <c r="C76" i="14"/>
  <c r="C75" i="14"/>
  <c r="C73" i="14"/>
  <c r="C72" i="14"/>
  <c r="C66" i="14"/>
  <c r="E71" i="14"/>
  <c r="E72" i="14" s="1"/>
  <c r="E73" i="14" s="1"/>
  <c r="E74" i="14" s="1"/>
  <c r="E75" i="14" s="1"/>
  <c r="E76" i="14" s="1"/>
  <c r="E77" i="14" s="1"/>
  <c r="E78" i="14" s="1"/>
  <c r="E79" i="14" s="1"/>
  <c r="E62" i="14"/>
  <c r="E63" i="14" s="1"/>
  <c r="E64" i="14" s="1"/>
  <c r="E65" i="14" s="1"/>
  <c r="E66" i="14" s="1"/>
  <c r="E67" i="14" s="1"/>
  <c r="E68" i="14" s="1"/>
  <c r="E69" i="14" s="1"/>
  <c r="E70" i="14" s="1"/>
  <c r="E53" i="14"/>
  <c r="E54" i="14" s="1"/>
  <c r="E55" i="14" s="1"/>
  <c r="E56" i="14" s="1"/>
  <c r="E57" i="14" s="1"/>
  <c r="E58" i="14" s="1"/>
  <c r="E59" i="14" s="1"/>
  <c r="E60" i="14" s="1"/>
  <c r="E61" i="14" s="1"/>
  <c r="E44" i="14"/>
  <c r="E45" i="14" s="1"/>
  <c r="E46" i="14" s="1"/>
  <c r="E47" i="14" s="1"/>
  <c r="E48" i="14" s="1"/>
  <c r="E49" i="14" s="1"/>
  <c r="E50" i="14" s="1"/>
  <c r="E51" i="14" s="1"/>
  <c r="E52" i="14" s="1"/>
  <c r="E35" i="14"/>
  <c r="E36" i="14" s="1"/>
  <c r="E37" i="14" s="1"/>
  <c r="E38" i="14" s="1"/>
  <c r="E39" i="14" s="1"/>
  <c r="E40" i="14" s="1"/>
  <c r="E41" i="14" s="1"/>
  <c r="E42" i="14" s="1"/>
  <c r="E43" i="14" s="1"/>
  <c r="E26" i="14"/>
  <c r="E27" i="14" s="1"/>
  <c r="E28" i="14" s="1"/>
  <c r="E29" i="14" s="1"/>
  <c r="E30" i="14" s="1"/>
  <c r="E31" i="14" s="1"/>
  <c r="E32" i="14" s="1"/>
  <c r="E33" i="14" s="1"/>
  <c r="E34" i="14" s="1"/>
  <c r="E17" i="14"/>
  <c r="E8" i="14"/>
  <c r="E9" i="14" s="1"/>
  <c r="E10" i="14" s="1"/>
  <c r="E11" i="14" s="1"/>
  <c r="E12" i="14" s="1"/>
  <c r="E13" i="14" s="1"/>
  <c r="E14" i="14" s="1"/>
  <c r="E15" i="14" s="1"/>
  <c r="E16" i="14" s="1"/>
  <c r="E18" i="14"/>
  <c r="E19" i="14" s="1"/>
  <c r="E20" i="14" s="1"/>
  <c r="E21" i="14" s="1"/>
  <c r="E22" i="14" s="1"/>
  <c r="E23" i="14" s="1"/>
  <c r="E24" i="14" s="1"/>
  <c r="E25" i="14" s="1"/>
  <c r="C79" i="14"/>
  <c r="D76" i="14"/>
  <c r="D75" i="14"/>
  <c r="D74" i="14"/>
  <c r="C74" i="14"/>
  <c r="D73" i="14"/>
  <c r="D72" i="14"/>
  <c r="D71" i="14"/>
  <c r="C71" i="14"/>
  <c r="C70" i="14"/>
  <c r="C69" i="14"/>
  <c r="C68" i="14"/>
  <c r="D67" i="14"/>
  <c r="C67" i="14"/>
  <c r="D66" i="14"/>
  <c r="D65" i="14"/>
  <c r="C65" i="14"/>
  <c r="D64" i="14"/>
  <c r="C64" i="14"/>
  <c r="D63" i="14"/>
  <c r="C63" i="14"/>
  <c r="D62" i="14"/>
  <c r="C62" i="14"/>
  <c r="S78" i="14"/>
  <c r="B79" i="14" s="1"/>
  <c r="S77" i="14"/>
  <c r="B78" i="14" s="1"/>
  <c r="S76" i="14"/>
  <c r="B77" i="14" s="1"/>
  <c r="S75" i="14"/>
  <c r="B76" i="14" s="1"/>
  <c r="S74" i="14"/>
  <c r="B75" i="14" s="1"/>
  <c r="S73" i="14"/>
  <c r="B74" i="14" s="1"/>
  <c r="S72" i="14"/>
  <c r="B73" i="14" s="1"/>
  <c r="S71" i="14"/>
  <c r="B72" i="14" s="1"/>
  <c r="S70" i="14"/>
  <c r="B71" i="14" s="1"/>
  <c r="S69" i="14"/>
  <c r="B70" i="14" s="1"/>
  <c r="S68" i="14"/>
  <c r="B69" i="14" s="1"/>
  <c r="S67" i="14"/>
  <c r="B68" i="14" s="1"/>
  <c r="S66" i="14"/>
  <c r="B67" i="14" s="1"/>
  <c r="S65" i="14"/>
  <c r="B66" i="14" s="1"/>
  <c r="S64" i="14"/>
  <c r="B65" i="14" s="1"/>
  <c r="S63" i="14"/>
  <c r="B64" i="14" s="1"/>
  <c r="S62" i="14"/>
  <c r="B63" i="14" s="1"/>
  <c r="S61" i="14"/>
  <c r="B62" i="14" s="1"/>
  <c r="V78" i="14"/>
  <c r="U78" i="14"/>
  <c r="V77" i="14"/>
  <c r="U77" i="14"/>
  <c r="V76" i="14"/>
  <c r="U76" i="14"/>
  <c r="V75" i="14"/>
  <c r="U75" i="14"/>
  <c r="V74" i="14"/>
  <c r="U74" i="14"/>
  <c r="V73" i="14"/>
  <c r="U73" i="14"/>
  <c r="V72" i="14"/>
  <c r="U72" i="14"/>
  <c r="V71" i="14"/>
  <c r="U71" i="14"/>
  <c r="V70" i="14"/>
  <c r="U70" i="14"/>
  <c r="V69" i="14"/>
  <c r="U69" i="14"/>
  <c r="V68" i="14"/>
  <c r="U68" i="14"/>
  <c r="V67" i="14"/>
  <c r="U67" i="14"/>
  <c r="V66" i="14"/>
  <c r="U66" i="14"/>
  <c r="V65" i="14"/>
  <c r="U65" i="14"/>
  <c r="V64" i="14"/>
  <c r="U64" i="14"/>
  <c r="V63" i="14"/>
  <c r="U63" i="14"/>
  <c r="V62" i="14"/>
  <c r="U62" i="14"/>
  <c r="V61" i="14"/>
  <c r="U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D27" i="21" l="1"/>
  <c r="E111" i="21"/>
  <c r="D32" i="21"/>
  <c r="D30" i="21"/>
  <c r="E114" i="21"/>
  <c r="D28" i="21"/>
  <c r="E112" i="21"/>
  <c r="D29" i="21"/>
  <c r="E113" i="21"/>
  <c r="E44" i="13"/>
  <c r="C56" i="13"/>
  <c r="C57" i="13"/>
  <c r="C58" i="13"/>
  <c r="C59" i="13"/>
  <c r="C60" i="13"/>
  <c r="C61" i="13"/>
  <c r="C62" i="13"/>
  <c r="C64" i="13"/>
  <c r="C66" i="13"/>
  <c r="C67" i="13"/>
  <c r="C44" i="13"/>
  <c r="C45" i="13"/>
  <c r="C46" i="13"/>
  <c r="C47" i="13"/>
  <c r="C48" i="13"/>
  <c r="C49" i="13"/>
  <c r="C50" i="13"/>
  <c r="C52" i="13"/>
  <c r="C54" i="13"/>
  <c r="C55" i="13"/>
  <c r="E92" i="13"/>
  <c r="E100" i="13" s="1"/>
  <c r="E102" i="13" s="1"/>
  <c r="E103" i="13" s="1"/>
  <c r="E80" i="13"/>
  <c r="E88" i="13" s="1"/>
  <c r="E90" i="13" s="1"/>
  <c r="E91" i="13" s="1"/>
  <c r="C88" i="13"/>
  <c r="C90" i="13"/>
  <c r="C91" i="13"/>
  <c r="C92" i="13"/>
  <c r="C93" i="13"/>
  <c r="C94" i="13"/>
  <c r="C95" i="13"/>
  <c r="C96" i="13"/>
  <c r="C97" i="13"/>
  <c r="C98" i="13"/>
  <c r="C100" i="13"/>
  <c r="C102" i="13"/>
  <c r="C103" i="13"/>
  <c r="C80" i="13"/>
  <c r="C81" i="13"/>
  <c r="C82" i="13"/>
  <c r="C83" i="13"/>
  <c r="C84" i="13"/>
  <c r="C85" i="13"/>
  <c r="C86" i="13"/>
  <c r="D103" i="13"/>
  <c r="D101" i="13"/>
  <c r="D100" i="13"/>
  <c r="D99" i="13"/>
  <c r="D96" i="13"/>
  <c r="D95" i="13"/>
  <c r="D94" i="13"/>
  <c r="D91" i="13"/>
  <c r="D89" i="13"/>
  <c r="D88" i="13"/>
  <c r="D87" i="13"/>
  <c r="D84" i="13"/>
  <c r="D83" i="13"/>
  <c r="D82" i="13"/>
  <c r="C78" i="13"/>
  <c r="C79" i="13"/>
  <c r="E68" i="13"/>
  <c r="E56" i="13"/>
  <c r="E32" i="13"/>
  <c r="E20" i="13"/>
  <c r="E8" i="13"/>
  <c r="E81" i="13" l="1"/>
  <c r="E85" i="13"/>
  <c r="E93" i="13"/>
  <c r="E97" i="13"/>
  <c r="E96" i="13"/>
  <c r="E95" i="13"/>
  <c r="E84" i="13"/>
  <c r="E83" i="13"/>
  <c r="E82" i="13"/>
  <c r="E86" i="13"/>
  <c r="E94" i="13"/>
  <c r="E98" i="13"/>
  <c r="D79" i="13"/>
  <c r="D67" i="13"/>
  <c r="D55" i="13"/>
  <c r="C42" i="13"/>
  <c r="C43" i="13"/>
  <c r="D43" i="13"/>
  <c r="D31" i="13"/>
  <c r="D19" i="13"/>
  <c r="C30" i="13"/>
  <c r="C31" i="13"/>
  <c r="C19" i="13"/>
  <c r="C18" i="13"/>
  <c r="T86" i="13"/>
  <c r="B103" i="13" s="1"/>
  <c r="B102" i="13"/>
  <c r="W86" i="13"/>
  <c r="V86" i="13"/>
  <c r="W85" i="13"/>
  <c r="V85" i="13"/>
  <c r="T76" i="13"/>
  <c r="B91" i="13" s="1"/>
  <c r="B90" i="13"/>
  <c r="W76" i="13"/>
  <c r="V76" i="13"/>
  <c r="W75" i="13"/>
  <c r="V75" i="13"/>
  <c r="T66" i="13"/>
  <c r="B79" i="13" s="1"/>
  <c r="B78" i="13"/>
  <c r="W66" i="13"/>
  <c r="V66" i="13"/>
  <c r="W65" i="13"/>
  <c r="V65" i="13"/>
  <c r="T56" i="13"/>
  <c r="B67" i="13" s="1"/>
  <c r="B66" i="13"/>
  <c r="W56" i="13"/>
  <c r="V56" i="13"/>
  <c r="W55" i="13"/>
  <c r="V55" i="13"/>
  <c r="T46" i="13"/>
  <c r="B55" i="13" s="1"/>
  <c r="B54" i="13"/>
  <c r="W46" i="13"/>
  <c r="V46" i="13"/>
  <c r="W45" i="13"/>
  <c r="V45" i="13"/>
  <c r="T36" i="13"/>
  <c r="B43" i="13" s="1"/>
  <c r="B42" i="13"/>
  <c r="W36" i="13"/>
  <c r="V36" i="13"/>
  <c r="W35" i="13"/>
  <c r="V35" i="13"/>
  <c r="T26" i="13"/>
  <c r="B31" i="13" s="1"/>
  <c r="B30" i="13"/>
  <c r="W26" i="13"/>
  <c r="V26" i="13"/>
  <c r="W25" i="13"/>
  <c r="V25" i="13"/>
  <c r="T16" i="13"/>
  <c r="B19" i="13" s="1"/>
  <c r="B18" i="13"/>
  <c r="V15" i="13"/>
  <c r="W15" i="13"/>
  <c r="V16" i="13"/>
  <c r="W16" i="13"/>
  <c r="T84" i="13" l="1"/>
  <c r="B100" i="13" s="1"/>
  <c r="T83" i="13"/>
  <c r="B98" i="13" s="1"/>
  <c r="B97" i="13"/>
  <c r="T81" i="13"/>
  <c r="B96" i="13" s="1"/>
  <c r="T80" i="13"/>
  <c r="B95" i="13" s="1"/>
  <c r="T79" i="13"/>
  <c r="B94" i="13" s="1"/>
  <c r="T78" i="13"/>
  <c r="B93" i="13" s="1"/>
  <c r="T77" i="13"/>
  <c r="B92" i="13" s="1"/>
  <c r="T74" i="13"/>
  <c r="B88" i="13" s="1"/>
  <c r="T73" i="13"/>
  <c r="B86" i="13" s="1"/>
  <c r="B85" i="13"/>
  <c r="T71" i="13"/>
  <c r="B84" i="13" s="1"/>
  <c r="T70" i="13"/>
  <c r="B83" i="13" s="1"/>
  <c r="T69" i="13"/>
  <c r="B82" i="13" s="1"/>
  <c r="T68" i="13"/>
  <c r="B81" i="13" s="1"/>
  <c r="T67" i="13"/>
  <c r="B80" i="13" s="1"/>
  <c r="T64" i="13"/>
  <c r="T63" i="13"/>
  <c r="T61" i="13"/>
  <c r="T60" i="13"/>
  <c r="T59" i="13"/>
  <c r="T58" i="13"/>
  <c r="T57" i="13"/>
  <c r="T54" i="13"/>
  <c r="B64" i="13" s="1"/>
  <c r="T53" i="13"/>
  <c r="B62" i="13" s="1"/>
  <c r="B61" i="13"/>
  <c r="T51" i="13"/>
  <c r="B60" i="13" s="1"/>
  <c r="T50" i="13"/>
  <c r="B59" i="13" s="1"/>
  <c r="T49" i="13"/>
  <c r="B58" i="13" s="1"/>
  <c r="T48" i="13"/>
  <c r="B57" i="13" s="1"/>
  <c r="T47" i="13"/>
  <c r="B56" i="13" s="1"/>
  <c r="T44" i="13"/>
  <c r="B52" i="13" s="1"/>
  <c r="T43" i="13"/>
  <c r="B50" i="13" s="1"/>
  <c r="B49" i="13"/>
  <c r="T41" i="13"/>
  <c r="B48" i="13" s="1"/>
  <c r="T40" i="13"/>
  <c r="B47" i="13" s="1"/>
  <c r="T39" i="13"/>
  <c r="B46" i="13" s="1"/>
  <c r="T38" i="13"/>
  <c r="B45" i="13" s="1"/>
  <c r="T37" i="13"/>
  <c r="B44" i="13" s="1"/>
  <c r="T34" i="13"/>
  <c r="T33" i="13"/>
  <c r="T31" i="13"/>
  <c r="T30" i="13"/>
  <c r="T29" i="13"/>
  <c r="T28" i="13"/>
  <c r="T27" i="13"/>
  <c r="T24" i="13"/>
  <c r="T23" i="13"/>
  <c r="T21" i="13"/>
  <c r="T20" i="13"/>
  <c r="T19" i="13"/>
  <c r="T18" i="13"/>
  <c r="T17" i="13"/>
  <c r="T14" i="13"/>
  <c r="T13" i="13"/>
  <c r="T11" i="13"/>
  <c r="T10" i="13"/>
  <c r="T9" i="13"/>
  <c r="T8" i="13"/>
  <c r="T7" i="13"/>
  <c r="Y204" i="8"/>
  <c r="Y203" i="8"/>
  <c r="Y202" i="8"/>
  <c r="Y201" i="8"/>
  <c r="Y200" i="8"/>
  <c r="Y199" i="8"/>
  <c r="Y198" i="8"/>
  <c r="Y197" i="8"/>
  <c r="Y196" i="8"/>
  <c r="Y195" i="8"/>
  <c r="Y194" i="8"/>
  <c r="Y190" i="8"/>
  <c r="Y189" i="8"/>
  <c r="Y188" i="8"/>
  <c r="Y187" i="8"/>
  <c r="Y186" i="8"/>
  <c r="Y185" i="8"/>
  <c r="Y184" i="8"/>
  <c r="Y183" i="8"/>
  <c r="Y179" i="8"/>
  <c r="Y178" i="8"/>
  <c r="Y177" i="8"/>
  <c r="Y176" i="8"/>
  <c r="Y175" i="8"/>
  <c r="Y174" i="8"/>
  <c r="Y173" i="8"/>
  <c r="Y172" i="8"/>
  <c r="Y171" i="8"/>
  <c r="Y170" i="8"/>
  <c r="Y169" i="8"/>
  <c r="Y165" i="8"/>
  <c r="Y164" i="8"/>
  <c r="Y163" i="8"/>
  <c r="Y162" i="8"/>
  <c r="Y161" i="8"/>
  <c r="Y160" i="8"/>
  <c r="Y159" i="8"/>
  <c r="Y158" i="8"/>
  <c r="Y154" i="8"/>
  <c r="Y153" i="8"/>
  <c r="Y152" i="8"/>
  <c r="Y151" i="8"/>
  <c r="Y150" i="8"/>
  <c r="Y149" i="8"/>
  <c r="Y148" i="8"/>
  <c r="Y147" i="8"/>
  <c r="Y146" i="8"/>
  <c r="Y145" i="8"/>
  <c r="Y144" i="8"/>
  <c r="Y140" i="8"/>
  <c r="Y139" i="8"/>
  <c r="Y138" i="8"/>
  <c r="Y137" i="8"/>
  <c r="Y136" i="8"/>
  <c r="Y135" i="8"/>
  <c r="Y134" i="8"/>
  <c r="Y133" i="8"/>
  <c r="Y129" i="8"/>
  <c r="Y128" i="8"/>
  <c r="Y127" i="8"/>
  <c r="Y126" i="8"/>
  <c r="Y125" i="8"/>
  <c r="Y124" i="8"/>
  <c r="Y123" i="8"/>
  <c r="Y122" i="8"/>
  <c r="Y121" i="8"/>
  <c r="Y120" i="8"/>
  <c r="Y119" i="8"/>
  <c r="Y115" i="8"/>
  <c r="Y114" i="8"/>
  <c r="Y113" i="8"/>
  <c r="Y112" i="8"/>
  <c r="Y111" i="8"/>
  <c r="Y110" i="8"/>
  <c r="Y109" i="8"/>
  <c r="Y108" i="8"/>
  <c r="Y104" i="8"/>
  <c r="Y103" i="8"/>
  <c r="Y102" i="8"/>
  <c r="Y101" i="8"/>
  <c r="Y100" i="8"/>
  <c r="Y99" i="8"/>
  <c r="Y98" i="8"/>
  <c r="Y97" i="8"/>
  <c r="Y96" i="8"/>
  <c r="Y95" i="8"/>
  <c r="Y94" i="8"/>
  <c r="Y90" i="8"/>
  <c r="Y89" i="8"/>
  <c r="Y88" i="8"/>
  <c r="Y87" i="8"/>
  <c r="Y86" i="8"/>
  <c r="Y85" i="8"/>
  <c r="Y84" i="8"/>
  <c r="Y83" i="8"/>
  <c r="Y79" i="8"/>
  <c r="Y78" i="8"/>
  <c r="Y77" i="8"/>
  <c r="Y76" i="8"/>
  <c r="Y75" i="8"/>
  <c r="Y74" i="8"/>
  <c r="Y73" i="8"/>
  <c r="Y72" i="8"/>
  <c r="Y71" i="8"/>
  <c r="Y70" i="8"/>
  <c r="Y69" i="8"/>
  <c r="Y65" i="8"/>
  <c r="Y64" i="8"/>
  <c r="Y63" i="8"/>
  <c r="Y62" i="8"/>
  <c r="Y61" i="8"/>
  <c r="Y60" i="8"/>
  <c r="Y59" i="8"/>
  <c r="Y58" i="8"/>
  <c r="Y54" i="8"/>
  <c r="Y53" i="8"/>
  <c r="Y52" i="8"/>
  <c r="Y51" i="8"/>
  <c r="Y50" i="8"/>
  <c r="Y49" i="8"/>
  <c r="Y48" i="8"/>
  <c r="Y47" i="8"/>
  <c r="Y46" i="8"/>
  <c r="Y45" i="8"/>
  <c r="Y44" i="8"/>
  <c r="Y40" i="8"/>
  <c r="Y39" i="8"/>
  <c r="Y38" i="8"/>
  <c r="Y37" i="8"/>
  <c r="Y36" i="8"/>
  <c r="Y35" i="8"/>
  <c r="Y34" i="8"/>
  <c r="Y33" i="8"/>
  <c r="Y29" i="8"/>
  <c r="Y28" i="8"/>
  <c r="Y27" i="8"/>
  <c r="Y26" i="8"/>
  <c r="Y25" i="8"/>
  <c r="Y24" i="8"/>
  <c r="Y23" i="8"/>
  <c r="Y22" i="8"/>
  <c r="Y21" i="8"/>
  <c r="Y20" i="8"/>
  <c r="Y19" i="8"/>
  <c r="Y15" i="8"/>
  <c r="Y14" i="8"/>
  <c r="Y13" i="8"/>
  <c r="Y12" i="8"/>
  <c r="Y11" i="8"/>
  <c r="Y10" i="8"/>
  <c r="Y9" i="8"/>
  <c r="Y8" i="8"/>
  <c r="W84" i="13"/>
  <c r="V84" i="13"/>
  <c r="W83" i="13"/>
  <c r="V83" i="13"/>
  <c r="W82" i="13"/>
  <c r="V82" i="13"/>
  <c r="W81" i="13"/>
  <c r="V81" i="13"/>
  <c r="W80" i="13"/>
  <c r="V80" i="13"/>
  <c r="W79" i="13"/>
  <c r="V79" i="13"/>
  <c r="W78" i="13"/>
  <c r="V78" i="13"/>
  <c r="W77" i="13"/>
  <c r="V77" i="13"/>
  <c r="W74" i="13"/>
  <c r="V74" i="13"/>
  <c r="W73" i="13"/>
  <c r="V73" i="13"/>
  <c r="W72" i="13"/>
  <c r="V72" i="13"/>
  <c r="W71" i="13"/>
  <c r="V71" i="13"/>
  <c r="W70" i="13"/>
  <c r="V70" i="13"/>
  <c r="W69" i="13"/>
  <c r="V69" i="13"/>
  <c r="W68" i="13"/>
  <c r="V68" i="13"/>
  <c r="W67" i="13"/>
  <c r="V67" i="13"/>
  <c r="E28" i="12"/>
  <c r="E39" i="12"/>
  <c r="E40" i="12" s="1"/>
  <c r="E44" i="12"/>
  <c r="E45" i="12" s="1"/>
  <c r="E46" i="12" s="1"/>
  <c r="E47" i="12" s="1"/>
  <c r="E33" i="12"/>
  <c r="E23" i="12"/>
  <c r="E18" i="12"/>
  <c r="E13" i="12"/>
  <c r="E8" i="12"/>
  <c r="C48" i="12"/>
  <c r="C47" i="12"/>
  <c r="C46" i="12"/>
  <c r="C45" i="12"/>
  <c r="C44" i="12"/>
  <c r="C43" i="12"/>
  <c r="C42" i="12"/>
  <c r="C41" i="12"/>
  <c r="C40" i="12"/>
  <c r="C39" i="12"/>
  <c r="U47" i="12"/>
  <c r="B48" i="12" s="1"/>
  <c r="U46" i="12"/>
  <c r="B47" i="12" s="1"/>
  <c r="U45" i="12"/>
  <c r="B46" i="12" s="1"/>
  <c r="U44" i="12"/>
  <c r="B45" i="12" s="1"/>
  <c r="U43" i="12"/>
  <c r="B44" i="12" s="1"/>
  <c r="U42" i="12"/>
  <c r="B43" i="12" s="1"/>
  <c r="U41" i="12"/>
  <c r="B42" i="12" s="1"/>
  <c r="U40" i="12"/>
  <c r="B41" i="12" s="1"/>
  <c r="U39" i="12"/>
  <c r="B40" i="12" s="1"/>
  <c r="U38" i="12"/>
  <c r="B39" i="12" s="1"/>
  <c r="X47" i="12"/>
  <c r="W47" i="12"/>
  <c r="X46" i="12"/>
  <c r="W46" i="12"/>
  <c r="X45" i="12"/>
  <c r="W45" i="12"/>
  <c r="X44" i="12"/>
  <c r="W44" i="12"/>
  <c r="X43" i="12"/>
  <c r="W43" i="12"/>
  <c r="X42" i="12"/>
  <c r="W42" i="12"/>
  <c r="X41" i="12"/>
  <c r="W41" i="12"/>
  <c r="X40" i="12"/>
  <c r="W40" i="12"/>
  <c r="X39" i="12"/>
  <c r="W39" i="12"/>
  <c r="X38" i="12"/>
  <c r="W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E312" i="8"/>
  <c r="J292" i="8" s="1"/>
  <c r="E302" i="8"/>
  <c r="M292" i="8" s="1"/>
  <c r="E295" i="8"/>
  <c r="E296" i="8" s="1"/>
  <c r="E297" i="8" s="1"/>
  <c r="E298" i="8" s="1"/>
  <c r="E299" i="8" s="1"/>
  <c r="E300" i="8" s="1"/>
  <c r="E301" i="8" s="1"/>
  <c r="E303" i="8" s="1"/>
  <c r="E304" i="8" s="1"/>
  <c r="E306" i="8" s="1"/>
  <c r="E307" i="8" s="1"/>
  <c r="E308" i="8" s="1"/>
  <c r="E309" i="8" s="1"/>
  <c r="E310" i="8" s="1"/>
  <c r="E311" i="8" s="1"/>
  <c r="E313" i="8" s="1"/>
  <c r="E314" i="8" s="1"/>
  <c r="E316" i="8" s="1"/>
  <c r="E317" i="8" s="1"/>
  <c r="E271" i="8"/>
  <c r="J251" i="8" s="1"/>
  <c r="E261" i="8"/>
  <c r="E254" i="8"/>
  <c r="E255" i="8" s="1"/>
  <c r="E256" i="8" s="1"/>
  <c r="E257" i="8" s="1"/>
  <c r="E258" i="8" s="1"/>
  <c r="E259" i="8" s="1"/>
  <c r="E260" i="8" s="1"/>
  <c r="E230" i="8"/>
  <c r="E233" i="8" s="1"/>
  <c r="E236" i="8" s="1"/>
  <c r="E240" i="8" s="1"/>
  <c r="E244" i="8" s="1"/>
  <c r="E220" i="8"/>
  <c r="E213" i="8"/>
  <c r="E214" i="8" s="1"/>
  <c r="E215" i="8" s="1"/>
  <c r="E216" i="8" s="1"/>
  <c r="E217" i="8" s="1"/>
  <c r="E218" i="8" s="1"/>
  <c r="E219" i="8" s="1"/>
  <c r="E189" i="8"/>
  <c r="E192" i="8" s="1"/>
  <c r="E195" i="8" s="1"/>
  <c r="E199" i="8" s="1"/>
  <c r="E203" i="8" s="1"/>
  <c r="E179" i="8"/>
  <c r="E172" i="8"/>
  <c r="E173" i="8" s="1"/>
  <c r="E174" i="8" s="1"/>
  <c r="E175" i="8" s="1"/>
  <c r="E176" i="8" s="1"/>
  <c r="E177" i="8" s="1"/>
  <c r="E178" i="8" s="1"/>
  <c r="E148" i="8"/>
  <c r="E151" i="8" s="1"/>
  <c r="E154" i="8" s="1"/>
  <c r="E158" i="8" s="1"/>
  <c r="E162" i="8" s="1"/>
  <c r="E138" i="8"/>
  <c r="E131" i="8"/>
  <c r="E132" i="8" s="1"/>
  <c r="E133" i="8" s="1"/>
  <c r="E134" i="8" s="1"/>
  <c r="E135" i="8" s="1"/>
  <c r="E136" i="8" s="1"/>
  <c r="E137" i="8" s="1"/>
  <c r="E107" i="8"/>
  <c r="E110" i="8" s="1"/>
  <c r="E113" i="8" s="1"/>
  <c r="E117" i="8" s="1"/>
  <c r="E121" i="8" s="1"/>
  <c r="E97" i="8"/>
  <c r="E90" i="8"/>
  <c r="E91" i="8" s="1"/>
  <c r="E92" i="8" s="1"/>
  <c r="E93" i="8" s="1"/>
  <c r="E94" i="8" s="1"/>
  <c r="E95" i="8" s="1"/>
  <c r="E96" i="8" s="1"/>
  <c r="E66" i="8"/>
  <c r="J46" i="8" s="1"/>
  <c r="E56" i="8"/>
  <c r="E49" i="8"/>
  <c r="E50" i="8" s="1"/>
  <c r="E51" i="8" s="1"/>
  <c r="E52" i="8" s="1"/>
  <c r="E53" i="8" s="1"/>
  <c r="E54" i="8" s="1"/>
  <c r="E55" i="8" s="1"/>
  <c r="L292" i="8"/>
  <c r="L251" i="8"/>
  <c r="L210" i="8"/>
  <c r="L169" i="8"/>
  <c r="L128" i="8"/>
  <c r="L87" i="8"/>
  <c r="L46" i="8"/>
  <c r="E8" i="8"/>
  <c r="E25" i="8"/>
  <c r="E28" i="8" s="1"/>
  <c r="E31" i="8" s="1"/>
  <c r="E35" i="8" s="1"/>
  <c r="E39" i="8" s="1"/>
  <c r="E15" i="8"/>
  <c r="I5" i="8" s="1"/>
  <c r="E262" i="8" l="1"/>
  <c r="E263" i="8" s="1"/>
  <c r="E265" i="8" s="1"/>
  <c r="E266" i="8" s="1"/>
  <c r="E267" i="8" s="1"/>
  <c r="E268" i="8" s="1"/>
  <c r="E269" i="8" s="1"/>
  <c r="E270" i="8" s="1"/>
  <c r="E272" i="8" s="1"/>
  <c r="E273" i="8" s="1"/>
  <c r="E275" i="8" s="1"/>
  <c r="E276" i="8" s="1"/>
  <c r="E286" i="8"/>
  <c r="E288" i="8" s="1"/>
  <c r="I251" i="8"/>
  <c r="E287" i="8"/>
  <c r="E289" i="8" s="1"/>
  <c r="E98" i="8"/>
  <c r="E99" i="8" s="1"/>
  <c r="E101" i="8" s="1"/>
  <c r="E102" i="8" s="1"/>
  <c r="E103" i="8" s="1"/>
  <c r="E104" i="8" s="1"/>
  <c r="E105" i="8" s="1"/>
  <c r="E106" i="8" s="1"/>
  <c r="E108" i="8" s="1"/>
  <c r="E109" i="8" s="1"/>
  <c r="E111" i="8" s="1"/>
  <c r="E112" i="8" s="1"/>
  <c r="E122" i="8"/>
  <c r="E124" i="8" s="1"/>
  <c r="M87" i="8"/>
  <c r="E123" i="8"/>
  <c r="E125" i="8" s="1"/>
  <c r="E221" i="8"/>
  <c r="E222" i="8" s="1"/>
  <c r="E224" i="8" s="1"/>
  <c r="E225" i="8" s="1"/>
  <c r="E226" i="8" s="1"/>
  <c r="E227" i="8" s="1"/>
  <c r="E228" i="8" s="1"/>
  <c r="E229" i="8" s="1"/>
  <c r="E231" i="8" s="1"/>
  <c r="E232" i="8" s="1"/>
  <c r="E234" i="8" s="1"/>
  <c r="E235" i="8" s="1"/>
  <c r="E237" i="8" s="1"/>
  <c r="E245" i="8"/>
  <c r="E247" i="8" s="1"/>
  <c r="M210" i="8"/>
  <c r="E246" i="8"/>
  <c r="E248" i="8" s="1"/>
  <c r="E139" i="8"/>
  <c r="E140" i="8" s="1"/>
  <c r="E142" i="8" s="1"/>
  <c r="E143" i="8" s="1"/>
  <c r="E144" i="8" s="1"/>
  <c r="E145" i="8" s="1"/>
  <c r="E146" i="8" s="1"/>
  <c r="E147" i="8" s="1"/>
  <c r="E149" i="8" s="1"/>
  <c r="E150" i="8" s="1"/>
  <c r="E152" i="8" s="1"/>
  <c r="E153" i="8" s="1"/>
  <c r="E157" i="8" s="1"/>
  <c r="E163" i="8"/>
  <c r="E165" i="8" s="1"/>
  <c r="M128" i="8"/>
  <c r="E164" i="8"/>
  <c r="E166" i="8" s="1"/>
  <c r="E57" i="8"/>
  <c r="E58" i="8" s="1"/>
  <c r="E60" i="8" s="1"/>
  <c r="E61" i="8" s="1"/>
  <c r="E62" i="8" s="1"/>
  <c r="E63" i="8" s="1"/>
  <c r="E64" i="8" s="1"/>
  <c r="E65" i="8" s="1"/>
  <c r="E67" i="8" s="1"/>
  <c r="E68" i="8" s="1"/>
  <c r="E70" i="8" s="1"/>
  <c r="E71" i="8" s="1"/>
  <c r="E73" i="8" s="1"/>
  <c r="E81" i="8"/>
  <c r="E83" i="8" s="1"/>
  <c r="M169" i="8"/>
  <c r="E205" i="8"/>
  <c r="E207" i="8" s="1"/>
  <c r="I46" i="8"/>
  <c r="E82" i="8"/>
  <c r="E84" i="8" s="1"/>
  <c r="E180" i="8"/>
  <c r="E181" i="8" s="1"/>
  <c r="E183" i="8" s="1"/>
  <c r="E184" i="8" s="1"/>
  <c r="E185" i="8" s="1"/>
  <c r="E186" i="8" s="1"/>
  <c r="E187" i="8" s="1"/>
  <c r="E188" i="8" s="1"/>
  <c r="E190" i="8" s="1"/>
  <c r="E191" i="8" s="1"/>
  <c r="E193" i="8" s="1"/>
  <c r="E194" i="8" s="1"/>
  <c r="E198" i="8" s="1"/>
  <c r="E204" i="8"/>
  <c r="E206" i="8" s="1"/>
  <c r="J128" i="8"/>
  <c r="I292" i="8"/>
  <c r="E18" i="8"/>
  <c r="E41" i="8" s="1"/>
  <c r="E43" i="8" s="1"/>
  <c r="M5" i="8"/>
  <c r="E305" i="8"/>
  <c r="I169" i="8"/>
  <c r="M251" i="8"/>
  <c r="E182" i="8"/>
  <c r="E274" i="8"/>
  <c r="E277" i="8" s="1"/>
  <c r="E281" i="8" s="1"/>
  <c r="E285" i="8" s="1"/>
  <c r="E41" i="12"/>
  <c r="E42" i="12" s="1"/>
  <c r="E43" i="12" s="1"/>
  <c r="J5" i="8"/>
  <c r="E223" i="8"/>
  <c r="I210" i="8"/>
  <c r="E100" i="8"/>
  <c r="E48" i="12"/>
  <c r="E319" i="8"/>
  <c r="E321" i="8"/>
  <c r="E315" i="8"/>
  <c r="E318" i="8" s="1"/>
  <c r="E322" i="8" s="1"/>
  <c r="E326" i="8" s="1"/>
  <c r="E280" i="8"/>
  <c r="E278" i="8"/>
  <c r="E264" i="8"/>
  <c r="E239" i="8"/>
  <c r="J210" i="8"/>
  <c r="J169" i="8"/>
  <c r="I128" i="8"/>
  <c r="E141" i="8"/>
  <c r="I87" i="8"/>
  <c r="E114" i="8"/>
  <c r="E116" i="8"/>
  <c r="J87" i="8"/>
  <c r="M46" i="8"/>
  <c r="E59" i="8"/>
  <c r="E69" i="8"/>
  <c r="E72" i="8" s="1"/>
  <c r="E76" i="8" s="1"/>
  <c r="E80" i="8" s="1"/>
  <c r="E196" i="8" l="1"/>
  <c r="E75" i="8"/>
  <c r="E155" i="8"/>
  <c r="E325" i="8"/>
  <c r="E323" i="8"/>
  <c r="E284" i="8"/>
  <c r="E282" i="8"/>
  <c r="E243" i="8"/>
  <c r="E241" i="8"/>
  <c r="E202" i="8"/>
  <c r="E200" i="8"/>
  <c r="E161" i="8"/>
  <c r="E159" i="8"/>
  <c r="E120" i="8"/>
  <c r="E118" i="8"/>
  <c r="E79" i="8"/>
  <c r="E77" i="8"/>
  <c r="E9" i="8" l="1"/>
  <c r="E10" i="8" s="1"/>
  <c r="E11" i="8" s="1"/>
  <c r="E12" i="8" s="1"/>
  <c r="E13" i="8" s="1"/>
  <c r="E14" i="8" s="1"/>
  <c r="E16" i="8" s="1"/>
  <c r="E17" i="8" s="1"/>
  <c r="B325" i="8"/>
  <c r="B323" i="8"/>
  <c r="B321" i="8"/>
  <c r="B319" i="8"/>
  <c r="B317" i="8"/>
  <c r="B316" i="8"/>
  <c r="B314" i="8"/>
  <c r="B307" i="8"/>
  <c r="B308" i="8"/>
  <c r="B309" i="8"/>
  <c r="B310" i="8"/>
  <c r="B311" i="8"/>
  <c r="B313" i="8"/>
  <c r="B306" i="8"/>
  <c r="B304" i="8"/>
  <c r="B303" i="8"/>
  <c r="B296" i="8"/>
  <c r="B297" i="8"/>
  <c r="B298" i="8"/>
  <c r="B299" i="8"/>
  <c r="B300" i="8"/>
  <c r="B301" i="8"/>
  <c r="B295" i="8"/>
  <c r="B255" i="8"/>
  <c r="B256" i="8"/>
  <c r="B257" i="8"/>
  <c r="B258" i="8"/>
  <c r="B259" i="8"/>
  <c r="B260" i="8"/>
  <c r="B262" i="8"/>
  <c r="B263" i="8"/>
  <c r="B265" i="8"/>
  <c r="B266" i="8"/>
  <c r="B267" i="8"/>
  <c r="B268" i="8"/>
  <c r="B269" i="8"/>
  <c r="B270" i="8"/>
  <c r="B272" i="8"/>
  <c r="B273" i="8"/>
  <c r="B275" i="8"/>
  <c r="B276" i="8"/>
  <c r="B278" i="8"/>
  <c r="B280" i="8"/>
  <c r="B282" i="8"/>
  <c r="B284" i="8"/>
  <c r="B254" i="8"/>
  <c r="N253" i="8"/>
  <c r="O253" i="8"/>
  <c r="P253" i="8"/>
  <c r="Q253" i="8"/>
  <c r="D255" i="8"/>
  <c r="D256" i="8"/>
  <c r="D257" i="8"/>
  <c r="D258" i="8"/>
  <c r="D259" i="8"/>
  <c r="D260" i="8"/>
  <c r="D262" i="8"/>
  <c r="D263" i="8"/>
  <c r="D279" i="8"/>
  <c r="D281" i="8"/>
  <c r="D283" i="8"/>
  <c r="D285" i="8"/>
  <c r="N294" i="8"/>
  <c r="O294" i="8"/>
  <c r="P294" i="8"/>
  <c r="Q294" i="8"/>
  <c r="D296" i="8"/>
  <c r="D297" i="8"/>
  <c r="D298" i="8"/>
  <c r="D299" i="8"/>
  <c r="D300" i="8"/>
  <c r="D301" i="8"/>
  <c r="D303" i="8"/>
  <c r="D304" i="8"/>
  <c r="D320" i="8"/>
  <c r="D322" i="8"/>
  <c r="D324" i="8"/>
  <c r="D326" i="8"/>
  <c r="D215" i="8"/>
  <c r="D174" i="8"/>
  <c r="D133" i="8"/>
  <c r="D92" i="8"/>
  <c r="D51" i="8"/>
  <c r="E19" i="8" l="1"/>
  <c r="E20" i="8" s="1"/>
  <c r="E21" i="8" s="1"/>
  <c r="E22" i="8" s="1"/>
  <c r="E23" i="8" s="1"/>
  <c r="E24" i="8" s="1"/>
  <c r="E26" i="8" s="1"/>
  <c r="E27" i="8" s="1"/>
  <c r="E29" i="8" s="1"/>
  <c r="E30" i="8" s="1"/>
  <c r="E32" i="8" s="1"/>
  <c r="E40" i="8"/>
  <c r="E42" i="8" s="1"/>
  <c r="D10" i="8"/>
  <c r="C325" i="8"/>
  <c r="C323" i="8"/>
  <c r="C321" i="8"/>
  <c r="C319" i="8"/>
  <c r="C317" i="8"/>
  <c r="C316" i="8"/>
  <c r="C314" i="8"/>
  <c r="C313" i="8"/>
  <c r="C311" i="8"/>
  <c r="C310" i="8"/>
  <c r="C309" i="8"/>
  <c r="C308" i="8"/>
  <c r="C307" i="8"/>
  <c r="C306" i="8"/>
  <c r="C304" i="8"/>
  <c r="C303" i="8"/>
  <c r="C301" i="8"/>
  <c r="C300" i="8"/>
  <c r="C299" i="8"/>
  <c r="C298" i="8"/>
  <c r="C297" i="8"/>
  <c r="C296" i="8"/>
  <c r="C295" i="8"/>
  <c r="C284" i="8"/>
  <c r="C282" i="8"/>
  <c r="C280" i="8"/>
  <c r="C278" i="8"/>
  <c r="C276" i="8"/>
  <c r="C275" i="8"/>
  <c r="C273" i="8"/>
  <c r="C272" i="8"/>
  <c r="C270" i="8"/>
  <c r="C269" i="8"/>
  <c r="C268" i="8"/>
  <c r="C267" i="8"/>
  <c r="C266" i="8"/>
  <c r="C265" i="8"/>
  <c r="C263" i="8"/>
  <c r="C262" i="8"/>
  <c r="C260" i="8"/>
  <c r="C259" i="8"/>
  <c r="C258" i="8"/>
  <c r="C257" i="8"/>
  <c r="C256" i="8"/>
  <c r="C255" i="8"/>
  <c r="C254" i="8"/>
  <c r="C215" i="8"/>
  <c r="C174" i="8"/>
  <c r="C133" i="8"/>
  <c r="C92" i="8"/>
  <c r="C51" i="8"/>
  <c r="C10" i="8"/>
  <c r="AB204" i="8"/>
  <c r="AA204" i="8"/>
  <c r="AB203" i="8"/>
  <c r="AA203" i="8"/>
  <c r="AB202" i="8"/>
  <c r="AA202" i="8"/>
  <c r="AB201" i="8"/>
  <c r="AA201" i="8"/>
  <c r="AB200" i="8"/>
  <c r="AA200" i="8"/>
  <c r="AB199" i="8"/>
  <c r="AA199" i="8"/>
  <c r="AB198" i="8"/>
  <c r="AA198" i="8"/>
  <c r="AB197" i="8"/>
  <c r="AA197" i="8"/>
  <c r="AB196" i="8"/>
  <c r="AA196" i="8"/>
  <c r="AB195" i="8"/>
  <c r="AA195" i="8"/>
  <c r="AB194" i="8"/>
  <c r="AA194" i="8"/>
  <c r="AB193" i="8"/>
  <c r="AA193" i="8"/>
  <c r="AB192" i="8"/>
  <c r="AA192" i="8"/>
  <c r="AB191" i="8"/>
  <c r="AA191" i="8"/>
  <c r="AB190" i="8"/>
  <c r="AA190" i="8"/>
  <c r="AB189" i="8"/>
  <c r="AA189" i="8"/>
  <c r="AB188" i="8"/>
  <c r="AA188" i="8"/>
  <c r="AB187" i="8"/>
  <c r="AA187" i="8"/>
  <c r="AB186" i="8"/>
  <c r="AA186" i="8"/>
  <c r="AB185" i="8"/>
  <c r="AA185" i="8"/>
  <c r="AB184" i="8"/>
  <c r="AA184" i="8"/>
  <c r="AB183" i="8"/>
  <c r="AA183" i="8"/>
  <c r="AB182" i="8"/>
  <c r="AA182" i="8"/>
  <c r="AB179" i="8"/>
  <c r="AA179" i="8"/>
  <c r="AB178" i="8"/>
  <c r="AA178" i="8"/>
  <c r="AB177" i="8"/>
  <c r="AA177" i="8"/>
  <c r="AB176" i="8"/>
  <c r="AA176" i="8"/>
  <c r="AB175" i="8"/>
  <c r="AA175" i="8"/>
  <c r="AB174" i="8"/>
  <c r="AA174" i="8"/>
  <c r="AB173" i="8"/>
  <c r="AA173" i="8"/>
  <c r="AB172" i="8"/>
  <c r="AA172" i="8"/>
  <c r="AB171" i="8"/>
  <c r="AA171" i="8"/>
  <c r="AB170" i="8"/>
  <c r="AA170" i="8"/>
  <c r="AB169" i="8"/>
  <c r="AA169" i="8"/>
  <c r="AB168" i="8"/>
  <c r="AA168" i="8"/>
  <c r="AB167" i="8"/>
  <c r="AA167" i="8"/>
  <c r="AB166" i="8"/>
  <c r="AA166" i="8"/>
  <c r="AB165" i="8"/>
  <c r="AA165" i="8"/>
  <c r="AB164" i="8"/>
  <c r="AA164" i="8"/>
  <c r="AB163" i="8"/>
  <c r="AA163" i="8"/>
  <c r="AB162" i="8"/>
  <c r="AA162" i="8"/>
  <c r="AB161" i="8"/>
  <c r="AA161" i="8"/>
  <c r="AB160" i="8"/>
  <c r="AA160" i="8"/>
  <c r="AB159" i="8"/>
  <c r="AA159" i="8"/>
  <c r="AB158" i="8"/>
  <c r="AA158" i="8"/>
  <c r="AB157" i="8"/>
  <c r="AA157" i="8"/>
  <c r="B215" i="8"/>
  <c r="B174" i="8"/>
  <c r="B133" i="8"/>
  <c r="B92" i="8"/>
  <c r="B51" i="8"/>
  <c r="B10" i="8"/>
  <c r="AA134" i="8"/>
  <c r="AB134" i="8"/>
  <c r="AA109" i="8"/>
  <c r="AB109" i="8"/>
  <c r="AA84" i="8"/>
  <c r="AB84" i="8"/>
  <c r="AA59" i="8"/>
  <c r="AB59" i="8"/>
  <c r="AB34" i="8"/>
  <c r="AA34" i="8"/>
  <c r="AB9" i="8"/>
  <c r="AA9" i="8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C71" i="20"/>
  <c r="C62" i="20"/>
  <c r="E71" i="20"/>
  <c r="E62" i="20"/>
  <c r="E53" i="20"/>
  <c r="E44" i="20"/>
  <c r="E35" i="20"/>
  <c r="E34" i="8" l="1"/>
  <c r="E36" i="8" s="1"/>
  <c r="B71" i="20"/>
  <c r="B62" i="20"/>
  <c r="B53" i="20"/>
  <c r="E38" i="8" l="1"/>
  <c r="H17" i="20"/>
  <c r="H26" i="20" s="1"/>
  <c r="H35" i="20" s="1"/>
  <c r="H44" i="20" s="1"/>
  <c r="H53" i="20" s="1"/>
  <c r="H62" i="20" s="1"/>
  <c r="H71" i="20" s="1"/>
  <c r="C53" i="20" l="1"/>
  <c r="B25" i="21" l="1"/>
  <c r="O12" i="21" l="1"/>
  <c r="P12" i="21"/>
  <c r="O13" i="21"/>
  <c r="P13" i="21"/>
  <c r="O14" i="21"/>
  <c r="P14" i="21"/>
  <c r="O15" i="21"/>
  <c r="P15" i="21"/>
  <c r="O16" i="21"/>
  <c r="P16" i="21"/>
  <c r="O17" i="21"/>
  <c r="P17" i="21"/>
  <c r="O18" i="21"/>
  <c r="P18" i="21"/>
  <c r="O19" i="21"/>
  <c r="P19" i="21"/>
  <c r="O20" i="21"/>
  <c r="P20" i="21"/>
  <c r="O21" i="21"/>
  <c r="P21" i="21"/>
  <c r="O22" i="21"/>
  <c r="P22" i="21"/>
  <c r="O23" i="21"/>
  <c r="P23" i="21"/>
  <c r="O24" i="21"/>
  <c r="P24" i="21"/>
  <c r="O25" i="21"/>
  <c r="P25" i="21"/>
  <c r="O26" i="21"/>
  <c r="P26" i="21"/>
  <c r="C26" i="21"/>
  <c r="C25" i="21"/>
  <c r="C24" i="21"/>
  <c r="C23" i="21"/>
  <c r="C22" i="21"/>
  <c r="C21" i="21"/>
  <c r="C20" i="21"/>
  <c r="C19" i="21"/>
  <c r="C18" i="21"/>
  <c r="C14" i="21"/>
  <c r="C13" i="21"/>
  <c r="C12" i="21"/>
  <c r="C17" i="21"/>
  <c r="C16" i="21"/>
  <c r="C15" i="21"/>
  <c r="C11" i="21"/>
  <c r="E109" i="21"/>
  <c r="B14" i="21"/>
  <c r="B13" i="21"/>
  <c r="O10" i="21"/>
  <c r="P10" i="21"/>
  <c r="O11" i="21"/>
  <c r="P11" i="21"/>
  <c r="C10" i="21"/>
  <c r="E101" i="21" l="1"/>
  <c r="B17" i="21"/>
  <c r="E102" i="21"/>
  <c r="B18" i="21"/>
  <c r="E106" i="21"/>
  <c r="B22" i="21"/>
  <c r="E105" i="21"/>
  <c r="B21" i="21"/>
  <c r="E100" i="21"/>
  <c r="B16" i="21"/>
  <c r="E104" i="21"/>
  <c r="B20" i="21"/>
  <c r="E108" i="21"/>
  <c r="B24" i="21"/>
  <c r="E110" i="21"/>
  <c r="B26" i="21"/>
  <c r="E99" i="21"/>
  <c r="B15" i="21"/>
  <c r="E103" i="21"/>
  <c r="B19" i="21"/>
  <c r="E107" i="21"/>
  <c r="B23" i="21"/>
  <c r="D25" i="21"/>
  <c r="E95" i="21"/>
  <c r="B11" i="21"/>
  <c r="E94" i="21"/>
  <c r="B10" i="21"/>
  <c r="E96" i="21"/>
  <c r="B12" i="21"/>
  <c r="E98" i="21"/>
  <c r="E97" i="21"/>
  <c r="D20" i="21" l="1"/>
  <c r="D14" i="21"/>
  <c r="D11" i="21"/>
  <c r="D10" i="21"/>
  <c r="D23" i="21"/>
  <c r="D16" i="21"/>
  <c r="D18" i="21"/>
  <c r="D12" i="21"/>
  <c r="D22" i="21"/>
  <c r="D17" i="21"/>
  <c r="D15" i="21"/>
  <c r="D24" i="21"/>
  <c r="D21" i="21"/>
  <c r="D13" i="21"/>
  <c r="D26" i="21"/>
  <c r="D19" i="21"/>
  <c r="B93" i="21"/>
  <c r="C52" i="14" l="1"/>
  <c r="C51" i="14"/>
  <c r="C50" i="14"/>
  <c r="C49" i="14"/>
  <c r="C48" i="14"/>
  <c r="C47" i="14"/>
  <c r="C46" i="14"/>
  <c r="C45" i="14"/>
  <c r="C44" i="14"/>
  <c r="C32" i="12"/>
  <c r="C31" i="12"/>
  <c r="C30" i="12"/>
  <c r="C29" i="12"/>
  <c r="C28" i="12"/>
  <c r="C202" i="8"/>
  <c r="C200" i="8"/>
  <c r="C198" i="8"/>
  <c r="C196" i="8"/>
  <c r="C194" i="8"/>
  <c r="C193" i="8"/>
  <c r="C191" i="8"/>
  <c r="C190" i="8"/>
  <c r="C188" i="8"/>
  <c r="C187" i="8"/>
  <c r="C186" i="8"/>
  <c r="C185" i="8"/>
  <c r="C184" i="8"/>
  <c r="C183" i="8"/>
  <c r="C180" i="8"/>
  <c r="C178" i="8"/>
  <c r="C177" i="8"/>
  <c r="C176" i="8"/>
  <c r="C175" i="8"/>
  <c r="C173" i="8"/>
  <c r="C172" i="8"/>
  <c r="U30" i="15"/>
  <c r="T30" i="15"/>
  <c r="U29" i="15"/>
  <c r="T29" i="15"/>
  <c r="U28" i="15"/>
  <c r="T28" i="15"/>
  <c r="U27" i="15"/>
  <c r="T27" i="15"/>
  <c r="D49" i="14"/>
  <c r="D48" i="14"/>
  <c r="D47" i="14"/>
  <c r="D46" i="14"/>
  <c r="D45" i="14"/>
  <c r="D44" i="14"/>
  <c r="V51" i="14"/>
  <c r="U51" i="14"/>
  <c r="V50" i="14"/>
  <c r="U50" i="14"/>
  <c r="V49" i="14"/>
  <c r="U49" i="14"/>
  <c r="V48" i="14"/>
  <c r="U48" i="14"/>
  <c r="V47" i="14"/>
  <c r="U47" i="14"/>
  <c r="V46" i="14"/>
  <c r="U46" i="14"/>
  <c r="V45" i="14"/>
  <c r="U45" i="14"/>
  <c r="V44" i="14"/>
  <c r="U44" i="14"/>
  <c r="V43" i="14"/>
  <c r="U43" i="14"/>
  <c r="D53" i="13"/>
  <c r="D52" i="13"/>
  <c r="D51" i="13"/>
  <c r="D48" i="13"/>
  <c r="D47" i="13"/>
  <c r="D46" i="13"/>
  <c r="W54" i="13"/>
  <c r="V54" i="13"/>
  <c r="W53" i="13"/>
  <c r="V53" i="13"/>
  <c r="W52" i="13"/>
  <c r="V52" i="13"/>
  <c r="W51" i="13"/>
  <c r="V51" i="13"/>
  <c r="W50" i="13"/>
  <c r="V50" i="13"/>
  <c r="W49" i="13"/>
  <c r="V49" i="13"/>
  <c r="W48" i="13"/>
  <c r="V48" i="13"/>
  <c r="W47" i="13"/>
  <c r="V47" i="13"/>
  <c r="X31" i="12"/>
  <c r="W31" i="12"/>
  <c r="X30" i="12"/>
  <c r="W30" i="12"/>
  <c r="X29" i="12"/>
  <c r="W29" i="12"/>
  <c r="X28" i="12"/>
  <c r="W28" i="12"/>
  <c r="X27" i="12"/>
  <c r="W27" i="12"/>
  <c r="C224" i="8"/>
  <c r="AB141" i="8"/>
  <c r="AA141" i="8"/>
  <c r="AB116" i="8"/>
  <c r="AA116" i="8"/>
  <c r="D203" i="8"/>
  <c r="D201" i="8"/>
  <c r="D199" i="8"/>
  <c r="D197" i="8"/>
  <c r="D181" i="8"/>
  <c r="D180" i="8"/>
  <c r="D178" i="8"/>
  <c r="D177" i="8"/>
  <c r="D176" i="8"/>
  <c r="D175" i="8"/>
  <c r="D173" i="8"/>
  <c r="Q171" i="8"/>
  <c r="P171" i="8"/>
  <c r="O171" i="8"/>
  <c r="N171" i="8"/>
  <c r="AB129" i="8"/>
  <c r="AA129" i="8"/>
  <c r="AB128" i="8"/>
  <c r="AA128" i="8"/>
  <c r="AB127" i="8"/>
  <c r="AA127" i="8"/>
  <c r="AB126" i="8"/>
  <c r="AA126" i="8"/>
  <c r="AB125" i="8"/>
  <c r="AA125" i="8"/>
  <c r="AB124" i="8"/>
  <c r="AA124" i="8"/>
  <c r="AB123" i="8"/>
  <c r="AA123" i="8"/>
  <c r="AB122" i="8"/>
  <c r="AA122" i="8"/>
  <c r="AB121" i="8"/>
  <c r="AA121" i="8"/>
  <c r="AB120" i="8"/>
  <c r="AA120" i="8"/>
  <c r="AB119" i="8"/>
  <c r="AA119" i="8"/>
  <c r="AB118" i="8"/>
  <c r="AA118" i="8"/>
  <c r="AB117" i="8"/>
  <c r="AA117" i="8"/>
  <c r="AB115" i="8"/>
  <c r="AA115" i="8"/>
  <c r="AB114" i="8"/>
  <c r="AA114" i="8"/>
  <c r="AB113" i="8"/>
  <c r="AA113" i="8"/>
  <c r="AB112" i="8"/>
  <c r="AA112" i="8"/>
  <c r="AB111" i="8"/>
  <c r="AA111" i="8"/>
  <c r="AB110" i="8"/>
  <c r="AA110" i="8"/>
  <c r="AB108" i="8"/>
  <c r="AA108" i="8"/>
  <c r="AB107" i="8"/>
  <c r="AA107" i="8"/>
  <c r="C181" i="8" l="1"/>
  <c r="C61" i="8" l="1"/>
  <c r="AB42" i="8"/>
  <c r="AA42" i="8"/>
  <c r="D77" i="13" l="1"/>
  <c r="D76" i="13"/>
  <c r="D75" i="13"/>
  <c r="D72" i="13"/>
  <c r="D71" i="13"/>
  <c r="D70" i="13"/>
  <c r="C74" i="13"/>
  <c r="C73" i="13"/>
  <c r="C72" i="13"/>
  <c r="C71" i="13"/>
  <c r="C76" i="13"/>
  <c r="W64" i="13"/>
  <c r="V64" i="13"/>
  <c r="W63" i="13"/>
  <c r="V63" i="13"/>
  <c r="W62" i="13"/>
  <c r="V62" i="13"/>
  <c r="W61" i="13"/>
  <c r="V61" i="13"/>
  <c r="W60" i="13"/>
  <c r="V60" i="13"/>
  <c r="W59" i="13"/>
  <c r="V59" i="13"/>
  <c r="W58" i="13"/>
  <c r="V58" i="13"/>
  <c r="W57" i="13"/>
  <c r="V57" i="13"/>
  <c r="C38" i="12" l="1"/>
  <c r="C37" i="12"/>
  <c r="C36" i="12"/>
  <c r="C35" i="12"/>
  <c r="C34" i="12"/>
  <c r="C33" i="12"/>
  <c r="X34" i="12"/>
  <c r="W34" i="12"/>
  <c r="D98" i="8" l="1"/>
  <c r="D99" i="8"/>
  <c r="D115" i="8"/>
  <c r="D117" i="8"/>
  <c r="D119" i="8"/>
  <c r="D244" i="8"/>
  <c r="D242" i="8"/>
  <c r="D240" i="8"/>
  <c r="D238" i="8"/>
  <c r="D222" i="8"/>
  <c r="D221" i="8"/>
  <c r="D219" i="8"/>
  <c r="D218" i="8"/>
  <c r="D217" i="8"/>
  <c r="D216" i="8"/>
  <c r="D214" i="8"/>
  <c r="D162" i="8"/>
  <c r="D160" i="8"/>
  <c r="D158" i="8"/>
  <c r="D156" i="8"/>
  <c r="D140" i="8"/>
  <c r="D139" i="8"/>
  <c r="D137" i="8"/>
  <c r="D136" i="8"/>
  <c r="D135" i="8"/>
  <c r="D134" i="8"/>
  <c r="D132" i="8"/>
  <c r="D121" i="8"/>
  <c r="D96" i="8"/>
  <c r="D95" i="8"/>
  <c r="D94" i="8"/>
  <c r="D93" i="8"/>
  <c r="D91" i="8"/>
  <c r="D80" i="8"/>
  <c r="D78" i="8"/>
  <c r="D76" i="8"/>
  <c r="D74" i="8"/>
  <c r="D58" i="8"/>
  <c r="D57" i="8"/>
  <c r="D55" i="8"/>
  <c r="D54" i="8"/>
  <c r="D53" i="8"/>
  <c r="D52" i="8"/>
  <c r="D50" i="8"/>
  <c r="C161" i="8"/>
  <c r="C159" i="8"/>
  <c r="C120" i="8"/>
  <c r="C118" i="8"/>
  <c r="C77" i="8"/>
  <c r="C79" i="8"/>
  <c r="C38" i="8"/>
  <c r="C36" i="8"/>
  <c r="D39" i="8"/>
  <c r="D37" i="8"/>
  <c r="D35" i="8"/>
  <c r="D33" i="8"/>
  <c r="D17" i="8"/>
  <c r="C17" i="8"/>
  <c r="D16" i="8"/>
  <c r="D14" i="8"/>
  <c r="D13" i="8"/>
  <c r="D12" i="8"/>
  <c r="D11" i="8"/>
  <c r="D9" i="8"/>
  <c r="C157" i="8"/>
  <c r="C155" i="8"/>
  <c r="C153" i="8"/>
  <c r="C152" i="8"/>
  <c r="C150" i="8"/>
  <c r="C149" i="8"/>
  <c r="C147" i="8"/>
  <c r="C146" i="8"/>
  <c r="C145" i="8"/>
  <c r="C144" i="8"/>
  <c r="C143" i="8"/>
  <c r="C142" i="8"/>
  <c r="C140" i="8"/>
  <c r="C139" i="8"/>
  <c r="C137" i="8"/>
  <c r="C136" i="8"/>
  <c r="C135" i="8"/>
  <c r="C134" i="8"/>
  <c r="C132" i="8"/>
  <c r="C131" i="8"/>
  <c r="C75" i="8"/>
  <c r="C73" i="8"/>
  <c r="C71" i="8"/>
  <c r="C70" i="8"/>
  <c r="C68" i="8"/>
  <c r="C67" i="8"/>
  <c r="C65" i="8"/>
  <c r="C64" i="8"/>
  <c r="C62" i="8"/>
  <c r="C60" i="8"/>
  <c r="C58" i="8"/>
  <c r="C57" i="8"/>
  <c r="C55" i="8"/>
  <c r="C54" i="8"/>
  <c r="C53" i="8"/>
  <c r="C52" i="8"/>
  <c r="C50" i="8"/>
  <c r="C49" i="8"/>
  <c r="C34" i="8"/>
  <c r="C32" i="8"/>
  <c r="C30" i="8"/>
  <c r="C29" i="8"/>
  <c r="C27" i="8"/>
  <c r="C26" i="8"/>
  <c r="C24" i="8"/>
  <c r="C23" i="8"/>
  <c r="C22" i="8"/>
  <c r="C21" i="8"/>
  <c r="C20" i="8"/>
  <c r="C19" i="8"/>
  <c r="C16" i="8"/>
  <c r="C14" i="8"/>
  <c r="C13" i="8"/>
  <c r="C12" i="8"/>
  <c r="C11" i="8"/>
  <c r="C9" i="8"/>
  <c r="AB154" i="8"/>
  <c r="AA154" i="8"/>
  <c r="AB153" i="8"/>
  <c r="AA153" i="8"/>
  <c r="AB152" i="8"/>
  <c r="AA152" i="8"/>
  <c r="AB151" i="8"/>
  <c r="AA151" i="8"/>
  <c r="AB150" i="8"/>
  <c r="AA150" i="8"/>
  <c r="AB149" i="8"/>
  <c r="AA149" i="8"/>
  <c r="AB148" i="8"/>
  <c r="AA148" i="8"/>
  <c r="AB147" i="8"/>
  <c r="AA147" i="8"/>
  <c r="AB146" i="8"/>
  <c r="AA146" i="8"/>
  <c r="AB145" i="8"/>
  <c r="AA145" i="8"/>
  <c r="AB144" i="8"/>
  <c r="AA144" i="8"/>
  <c r="AB143" i="8"/>
  <c r="AA143" i="8"/>
  <c r="AB142" i="8"/>
  <c r="AA142" i="8"/>
  <c r="AB140" i="8"/>
  <c r="AA140" i="8"/>
  <c r="AB139" i="8"/>
  <c r="AA139" i="8"/>
  <c r="AB138" i="8"/>
  <c r="AA138" i="8"/>
  <c r="AB137" i="8"/>
  <c r="AA137" i="8"/>
  <c r="AB136" i="8"/>
  <c r="AA136" i="8"/>
  <c r="AB135" i="8"/>
  <c r="AA135" i="8"/>
  <c r="AB133" i="8"/>
  <c r="AA133" i="8"/>
  <c r="AB132" i="8"/>
  <c r="AA132" i="8"/>
  <c r="AB104" i="8"/>
  <c r="AA104" i="8"/>
  <c r="AB103" i="8"/>
  <c r="AA103" i="8"/>
  <c r="AB102" i="8"/>
  <c r="AA102" i="8"/>
  <c r="AB101" i="8"/>
  <c r="AA101" i="8"/>
  <c r="AB100" i="8"/>
  <c r="AA100" i="8"/>
  <c r="AB99" i="8"/>
  <c r="AA99" i="8"/>
  <c r="AB98" i="8"/>
  <c r="AA98" i="8"/>
  <c r="AB97" i="8"/>
  <c r="AA97" i="8"/>
  <c r="AB96" i="8"/>
  <c r="AA96" i="8"/>
  <c r="AB95" i="8"/>
  <c r="AA95" i="8"/>
  <c r="AB94" i="8"/>
  <c r="AA94" i="8"/>
  <c r="AB93" i="8"/>
  <c r="AA93" i="8"/>
  <c r="AB92" i="8"/>
  <c r="AA92" i="8"/>
  <c r="AB91" i="8"/>
  <c r="AA91" i="8"/>
  <c r="AB90" i="8"/>
  <c r="AA90" i="8"/>
  <c r="AB89" i="8"/>
  <c r="AA89" i="8"/>
  <c r="AB88" i="8"/>
  <c r="AA88" i="8"/>
  <c r="AB87" i="8"/>
  <c r="AA87" i="8"/>
  <c r="AB86" i="8"/>
  <c r="AA86" i="8"/>
  <c r="AB85" i="8"/>
  <c r="AA85" i="8"/>
  <c r="AB83" i="8"/>
  <c r="AA83" i="8"/>
  <c r="AB82" i="8"/>
  <c r="AA82" i="8"/>
  <c r="C116" i="8"/>
  <c r="C114" i="8"/>
  <c r="C112" i="8"/>
  <c r="C111" i="8"/>
  <c r="C109" i="8"/>
  <c r="C108" i="8"/>
  <c r="C106" i="8"/>
  <c r="C105" i="8"/>
  <c r="C104" i="8"/>
  <c r="C103" i="8"/>
  <c r="C102" i="8"/>
  <c r="C101" i="8"/>
  <c r="C99" i="8"/>
  <c r="C98" i="8"/>
  <c r="C96" i="8"/>
  <c r="C95" i="8"/>
  <c r="C94" i="8"/>
  <c r="C93" i="8"/>
  <c r="C91" i="8"/>
  <c r="C90" i="8"/>
  <c r="AB79" i="8"/>
  <c r="AA79" i="8"/>
  <c r="AB78" i="8"/>
  <c r="AA78" i="8"/>
  <c r="AB77" i="8"/>
  <c r="AA77" i="8"/>
  <c r="AB76" i="8"/>
  <c r="AA76" i="8"/>
  <c r="AB75" i="8"/>
  <c r="AA75" i="8"/>
  <c r="AB74" i="8"/>
  <c r="AA74" i="8"/>
  <c r="AB73" i="8"/>
  <c r="AA73" i="8"/>
  <c r="AB72" i="8"/>
  <c r="AA72" i="8"/>
  <c r="AB71" i="8"/>
  <c r="AA71" i="8"/>
  <c r="AB70" i="8"/>
  <c r="AA70" i="8"/>
  <c r="AB69" i="8"/>
  <c r="AA69" i="8"/>
  <c r="AB68" i="8"/>
  <c r="AA68" i="8"/>
  <c r="AB67" i="8"/>
  <c r="AA67" i="8"/>
  <c r="AB66" i="8"/>
  <c r="AA66" i="8"/>
  <c r="AB65" i="8"/>
  <c r="AA65" i="8"/>
  <c r="AB64" i="8"/>
  <c r="AA64" i="8"/>
  <c r="AB63" i="8"/>
  <c r="AA63" i="8"/>
  <c r="AB62" i="8"/>
  <c r="AA62" i="8"/>
  <c r="AB61" i="8"/>
  <c r="AA61" i="8"/>
  <c r="AB60" i="8"/>
  <c r="AA60" i="8"/>
  <c r="AB58" i="8"/>
  <c r="AA58" i="8"/>
  <c r="AB57" i="8"/>
  <c r="AA57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3" i="8"/>
  <c r="AA33" i="8"/>
  <c r="AB32" i="8"/>
  <c r="AA32" i="8"/>
  <c r="AB27" i="8"/>
  <c r="AA27" i="8"/>
  <c r="AB29" i="8"/>
  <c r="AA29" i="8"/>
  <c r="AB26" i="8"/>
  <c r="AA26" i="8"/>
  <c r="AB15" i="8"/>
  <c r="AA15" i="8"/>
  <c r="AB14" i="8"/>
  <c r="C213" i="8" l="1"/>
  <c r="C217" i="8"/>
  <c r="C222" i="8"/>
  <c r="C227" i="8"/>
  <c r="C232" i="8"/>
  <c r="C239" i="8"/>
  <c r="C218" i="8"/>
  <c r="C228" i="8"/>
  <c r="C234" i="8"/>
  <c r="C214" i="8"/>
  <c r="C219" i="8"/>
  <c r="C225" i="8"/>
  <c r="C229" i="8"/>
  <c r="C235" i="8"/>
  <c r="C243" i="8"/>
  <c r="C216" i="8"/>
  <c r="C221" i="8"/>
  <c r="C226" i="8"/>
  <c r="C231" i="8"/>
  <c r="C237" i="8"/>
  <c r="C241" i="8"/>
  <c r="C63" i="8"/>
  <c r="G31" i="21" l="1"/>
  <c r="F170" i="15"/>
  <c r="F141" i="15"/>
  <c r="F105" i="15"/>
  <c r="F109" i="15"/>
  <c r="F34" i="15"/>
  <c r="G32" i="21"/>
  <c r="F174" i="15"/>
  <c r="F140" i="15"/>
  <c r="F33" i="15"/>
  <c r="G27" i="21"/>
  <c r="F171" i="15"/>
  <c r="F139" i="15"/>
  <c r="F106" i="15"/>
  <c r="F110" i="15"/>
  <c r="F69" i="15"/>
  <c r="F32" i="15"/>
  <c r="G28" i="21"/>
  <c r="F175" i="15"/>
  <c r="F138" i="15"/>
  <c r="F39" i="15"/>
  <c r="G29" i="21"/>
  <c r="F107" i="15"/>
  <c r="F111" i="15"/>
  <c r="F70" i="15"/>
  <c r="F38" i="15"/>
  <c r="G30" i="21"/>
  <c r="F172" i="15"/>
  <c r="F37" i="15"/>
  <c r="F143" i="15"/>
  <c r="F104" i="15"/>
  <c r="F108" i="15"/>
  <c r="F71" i="15"/>
  <c r="F36" i="15"/>
  <c r="F173" i="15"/>
  <c r="F142" i="15"/>
  <c r="F35" i="15"/>
  <c r="G19" i="13"/>
  <c r="F19" i="13" s="1"/>
  <c r="F18" i="13"/>
  <c r="F43" i="12"/>
  <c r="F48" i="12"/>
  <c r="F40" i="12"/>
  <c r="F45" i="12"/>
  <c r="F42" i="12"/>
  <c r="F47" i="12"/>
  <c r="F39" i="12"/>
  <c r="F44" i="12"/>
  <c r="F41" i="12"/>
  <c r="F46" i="12"/>
  <c r="F296" i="8"/>
  <c r="F295" i="8"/>
  <c r="F53" i="20"/>
  <c r="F62" i="20"/>
  <c r="F71" i="20"/>
  <c r="G10" i="8"/>
  <c r="F10" i="8" s="1"/>
  <c r="G93" i="21"/>
  <c r="G24" i="21"/>
  <c r="G17" i="21"/>
  <c r="G14" i="21"/>
  <c r="G22" i="21"/>
  <c r="G23" i="21"/>
  <c r="G18" i="21"/>
  <c r="G19" i="21"/>
  <c r="G20" i="21"/>
  <c r="G21" i="21"/>
  <c r="G16" i="21"/>
  <c r="G26" i="21"/>
  <c r="G25" i="21"/>
  <c r="G13" i="21"/>
  <c r="G12" i="21"/>
  <c r="G15" i="21"/>
  <c r="F30" i="12"/>
  <c r="F29" i="12"/>
  <c r="F28" i="12"/>
  <c r="F32" i="12"/>
  <c r="F31" i="12"/>
  <c r="F214" i="8"/>
  <c r="F29" i="8"/>
  <c r="F27" i="8"/>
  <c r="F28" i="8" s="1"/>
  <c r="G23" i="8"/>
  <c r="F23" i="8" s="1"/>
  <c r="F21" i="8"/>
  <c r="F12" i="8"/>
  <c r="F20" i="8"/>
  <c r="F17" i="8"/>
  <c r="F18" i="8" s="1"/>
  <c r="F36" i="8"/>
  <c r="F37" i="8" s="1"/>
  <c r="F16" i="8"/>
  <c r="F213" i="8"/>
  <c r="F26" i="8"/>
  <c r="F38" i="8"/>
  <c r="F39" i="8" s="1"/>
  <c r="G34" i="8"/>
  <c r="F34" i="8" s="1"/>
  <c r="F35" i="8" s="1"/>
  <c r="F24" i="8"/>
  <c r="F25" i="8" s="1"/>
  <c r="G19" i="8"/>
  <c r="F19" i="8" s="1"/>
  <c r="F32" i="8"/>
  <c r="F33" i="8" s="1"/>
  <c r="G9" i="8"/>
  <c r="F9" i="8" s="1"/>
  <c r="F30" i="8"/>
  <c r="F31" i="8" s="1"/>
  <c r="G22" i="8"/>
  <c r="F22" i="8" s="1"/>
  <c r="G11" i="8"/>
  <c r="F11" i="8" s="1"/>
  <c r="G14" i="8"/>
  <c r="F14" i="8" s="1"/>
  <c r="F15" i="8" s="1"/>
  <c r="U133" i="15"/>
  <c r="T133" i="15"/>
  <c r="C93" i="21" l="1"/>
  <c r="C9" i="21"/>
  <c r="C169" i="15"/>
  <c r="C168" i="15"/>
  <c r="C167" i="15"/>
  <c r="C166" i="15"/>
  <c r="C164" i="15"/>
  <c r="C162" i="15"/>
  <c r="C161" i="15"/>
  <c r="C160" i="15"/>
  <c r="C159" i="15"/>
  <c r="C158" i="15"/>
  <c r="C157" i="15"/>
  <c r="C156" i="15"/>
  <c r="C155" i="15"/>
  <c r="C154" i="15"/>
  <c r="C153" i="15"/>
  <c r="C152" i="15"/>
  <c r="C102" i="15"/>
  <c r="C101" i="15"/>
  <c r="C100" i="15"/>
  <c r="C99" i="15"/>
  <c r="C98" i="15"/>
  <c r="C97" i="15"/>
  <c r="C95" i="15"/>
  <c r="C94" i="15"/>
  <c r="C93" i="15"/>
  <c r="C92" i="15"/>
  <c r="C91" i="15"/>
  <c r="C90" i="15"/>
  <c r="C88" i="15"/>
  <c r="C87" i="15"/>
  <c r="C86" i="15"/>
  <c r="C85" i="15"/>
  <c r="C82" i="15"/>
  <c r="C81" i="15"/>
  <c r="C80" i="15"/>
  <c r="C65" i="15"/>
  <c r="C64" i="15"/>
  <c r="C63" i="15"/>
  <c r="C61" i="15"/>
  <c r="C60" i="15"/>
  <c r="C59" i="15"/>
  <c r="C58" i="15"/>
  <c r="C56" i="15"/>
  <c r="C55" i="15"/>
  <c r="C53" i="15"/>
  <c r="C52" i="15"/>
  <c r="C51" i="15"/>
  <c r="C50" i="15"/>
  <c r="C49" i="15"/>
  <c r="C4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61" i="14"/>
  <c r="C60" i="14"/>
  <c r="C59" i="14"/>
  <c r="C58" i="14"/>
  <c r="C57" i="14"/>
  <c r="C56" i="14"/>
  <c r="C55" i="14"/>
  <c r="C54" i="14"/>
  <c r="C53" i="14"/>
  <c r="C43" i="14"/>
  <c r="C42" i="14"/>
  <c r="C41" i="14"/>
  <c r="C40" i="14"/>
  <c r="C39" i="14"/>
  <c r="C38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40" i="13"/>
  <c r="C38" i="13"/>
  <c r="C37" i="13"/>
  <c r="C35" i="13"/>
  <c r="C34" i="13"/>
  <c r="C33" i="13"/>
  <c r="C32" i="13"/>
  <c r="C28" i="13"/>
  <c r="C26" i="13"/>
  <c r="C21" i="13"/>
  <c r="C16" i="13"/>
  <c r="C14" i="13"/>
  <c r="C13" i="13"/>
  <c r="C12" i="13"/>
  <c r="C11" i="13"/>
  <c r="C10" i="13"/>
  <c r="C9" i="13"/>
  <c r="C8" i="13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P57" i="21"/>
  <c r="O57" i="21"/>
  <c r="U136" i="15"/>
  <c r="U135" i="15"/>
  <c r="U134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T136" i="15"/>
  <c r="T135" i="15"/>
  <c r="T134" i="15"/>
  <c r="T132" i="15"/>
  <c r="T131" i="15"/>
  <c r="T130" i="15"/>
  <c r="T129" i="15"/>
  <c r="T128" i="15"/>
  <c r="T127" i="15"/>
  <c r="T126" i="15"/>
  <c r="T125" i="15"/>
  <c r="T124" i="15"/>
  <c r="T123" i="15"/>
  <c r="T122" i="15"/>
  <c r="T121" i="15"/>
  <c r="T120" i="15"/>
  <c r="T119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P9" i="21"/>
  <c r="O9" i="21"/>
  <c r="B9" i="21"/>
  <c r="C70" i="13"/>
  <c r="V42" i="13"/>
  <c r="W42" i="13"/>
  <c r="V32" i="13"/>
  <c r="W32" i="13"/>
  <c r="C25" i="13"/>
  <c r="V22" i="13"/>
  <c r="W22" i="13"/>
  <c r="V12" i="13"/>
  <c r="W12" i="13"/>
  <c r="V13" i="13"/>
  <c r="W13" i="13"/>
  <c r="C163" i="15"/>
  <c r="C165" i="15"/>
  <c r="M151" i="15"/>
  <c r="L151" i="15"/>
  <c r="K151" i="15"/>
  <c r="J151" i="15"/>
  <c r="M119" i="15"/>
  <c r="L119" i="15"/>
  <c r="K119" i="15"/>
  <c r="J119" i="15"/>
  <c r="C103" i="15"/>
  <c r="C83" i="15"/>
  <c r="T86" i="15"/>
  <c r="U86" i="15"/>
  <c r="T82" i="15"/>
  <c r="U82" i="15"/>
  <c r="T78" i="15"/>
  <c r="U78" i="15"/>
  <c r="T74" i="15"/>
  <c r="U74" i="15"/>
  <c r="T70" i="15"/>
  <c r="U70" i="15"/>
  <c r="T66" i="15"/>
  <c r="U66" i="15"/>
  <c r="M79" i="15"/>
  <c r="L79" i="15"/>
  <c r="K79" i="15"/>
  <c r="J79" i="15"/>
  <c r="C89" i="15"/>
  <c r="C96" i="15"/>
  <c r="C84" i="15"/>
  <c r="U56" i="15"/>
  <c r="T56" i="15"/>
  <c r="U55" i="15"/>
  <c r="T55" i="15"/>
  <c r="U54" i="15"/>
  <c r="T54" i="15"/>
  <c r="U53" i="15"/>
  <c r="T53" i="15"/>
  <c r="U52" i="15"/>
  <c r="T52" i="15"/>
  <c r="U51" i="15"/>
  <c r="T51" i="15"/>
  <c r="U50" i="15"/>
  <c r="T50" i="15"/>
  <c r="U49" i="15"/>
  <c r="T49" i="15"/>
  <c r="U48" i="15"/>
  <c r="T48" i="15"/>
  <c r="U47" i="15"/>
  <c r="T47" i="15"/>
  <c r="U46" i="15"/>
  <c r="T46" i="15"/>
  <c r="U45" i="15"/>
  <c r="T45" i="15"/>
  <c r="U44" i="15"/>
  <c r="T44" i="15"/>
  <c r="U43" i="15"/>
  <c r="T43" i="15"/>
  <c r="U42" i="15"/>
  <c r="T42" i="15"/>
  <c r="U41" i="15"/>
  <c r="T41" i="15"/>
  <c r="U40" i="15"/>
  <c r="T40" i="15"/>
  <c r="U39" i="15"/>
  <c r="T39" i="15"/>
  <c r="T64" i="15"/>
  <c r="U64" i="15"/>
  <c r="T65" i="15"/>
  <c r="U65" i="15"/>
  <c r="T67" i="15"/>
  <c r="U67" i="15"/>
  <c r="T68" i="15"/>
  <c r="U68" i="15"/>
  <c r="T69" i="15"/>
  <c r="U69" i="15"/>
  <c r="T71" i="15"/>
  <c r="U71" i="15"/>
  <c r="T72" i="15"/>
  <c r="U72" i="15"/>
  <c r="T73" i="15"/>
  <c r="U73" i="15"/>
  <c r="T75" i="15"/>
  <c r="U75" i="15"/>
  <c r="T76" i="15"/>
  <c r="U76" i="15"/>
  <c r="T77" i="15"/>
  <c r="U77" i="15"/>
  <c r="T79" i="15"/>
  <c r="U79" i="15"/>
  <c r="T80" i="15"/>
  <c r="U80" i="15"/>
  <c r="T81" i="15"/>
  <c r="U81" i="15"/>
  <c r="T83" i="15"/>
  <c r="U83" i="15"/>
  <c r="T84" i="15"/>
  <c r="U84" i="15"/>
  <c r="T85" i="15"/>
  <c r="U85" i="15"/>
  <c r="U63" i="15"/>
  <c r="T63" i="15"/>
  <c r="C62" i="15"/>
  <c r="C57" i="15"/>
  <c r="C54" i="15"/>
  <c r="M47" i="15"/>
  <c r="L47" i="15"/>
  <c r="K47" i="15"/>
  <c r="J47" i="15"/>
  <c r="K7" i="15"/>
  <c r="J7" i="15"/>
  <c r="K7" i="14"/>
  <c r="J7" i="14"/>
  <c r="U34" i="15"/>
  <c r="T34" i="15"/>
  <c r="U33" i="15"/>
  <c r="T33" i="15"/>
  <c r="U32" i="15"/>
  <c r="T32" i="15"/>
  <c r="U31" i="15"/>
  <c r="T31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T14" i="15"/>
  <c r="T13" i="15"/>
  <c r="T12" i="15"/>
  <c r="T11" i="15"/>
  <c r="T10" i="15"/>
  <c r="T9" i="15"/>
  <c r="T8" i="15"/>
  <c r="T7" i="15"/>
  <c r="U14" i="15"/>
  <c r="U13" i="15"/>
  <c r="U12" i="15"/>
  <c r="U11" i="15"/>
  <c r="U10" i="15"/>
  <c r="U9" i="15"/>
  <c r="U8" i="15"/>
  <c r="U7" i="15"/>
  <c r="M7" i="15"/>
  <c r="L7" i="15"/>
  <c r="D58" i="14"/>
  <c r="D57" i="14"/>
  <c r="D56" i="14"/>
  <c r="D55" i="14"/>
  <c r="D54" i="14"/>
  <c r="D53" i="14"/>
  <c r="D40" i="14"/>
  <c r="D39" i="14"/>
  <c r="D38" i="14"/>
  <c r="D37" i="14"/>
  <c r="D36" i="14"/>
  <c r="D35" i="14"/>
  <c r="D31" i="14"/>
  <c r="D30" i="14"/>
  <c r="D29" i="14"/>
  <c r="D28" i="14"/>
  <c r="D27" i="14"/>
  <c r="D26" i="14"/>
  <c r="D22" i="14"/>
  <c r="D21" i="14"/>
  <c r="D20" i="14"/>
  <c r="D19" i="14"/>
  <c r="D18" i="14"/>
  <c r="D17" i="14"/>
  <c r="V60" i="14"/>
  <c r="V59" i="14"/>
  <c r="V58" i="14"/>
  <c r="V57" i="14"/>
  <c r="V56" i="14"/>
  <c r="V55" i="14"/>
  <c r="V54" i="14"/>
  <c r="V53" i="14"/>
  <c r="V52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D13" i="14"/>
  <c r="D12" i="14"/>
  <c r="D11" i="14"/>
  <c r="D10" i="14"/>
  <c r="D9" i="14"/>
  <c r="D8" i="14"/>
  <c r="C37" i="14"/>
  <c r="C68" i="13"/>
  <c r="C20" i="13"/>
  <c r="U60" i="14"/>
  <c r="U59" i="14"/>
  <c r="U58" i="14"/>
  <c r="U57" i="14"/>
  <c r="U56" i="14"/>
  <c r="U55" i="14"/>
  <c r="U54" i="14"/>
  <c r="U53" i="14"/>
  <c r="U52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M7" i="14"/>
  <c r="L7" i="14"/>
  <c r="I5" i="13"/>
  <c r="D65" i="13"/>
  <c r="D63" i="13"/>
  <c r="D64" i="13"/>
  <c r="D60" i="13"/>
  <c r="D59" i="13"/>
  <c r="D58" i="13"/>
  <c r="D40" i="13"/>
  <c r="D41" i="13"/>
  <c r="D36" i="13"/>
  <c r="D35" i="13"/>
  <c r="D34" i="13"/>
  <c r="D24" i="13"/>
  <c r="D23" i="13"/>
  <c r="D22" i="13"/>
  <c r="D39" i="13"/>
  <c r="D29" i="13"/>
  <c r="D27" i="13"/>
  <c r="D17" i="13"/>
  <c r="D15" i="13"/>
  <c r="D16" i="13"/>
  <c r="D12" i="13"/>
  <c r="D11" i="13"/>
  <c r="D10" i="13"/>
  <c r="C36" i="13"/>
  <c r="C24" i="13"/>
  <c r="C23" i="13"/>
  <c r="C22" i="13"/>
  <c r="C69" i="13"/>
  <c r="W44" i="13"/>
  <c r="V44" i="13"/>
  <c r="W43" i="13"/>
  <c r="V43" i="13"/>
  <c r="W41" i="13"/>
  <c r="V41" i="13"/>
  <c r="W40" i="13"/>
  <c r="V40" i="13"/>
  <c r="W39" i="13"/>
  <c r="V39" i="13"/>
  <c r="W38" i="13"/>
  <c r="V38" i="13"/>
  <c r="W37" i="13"/>
  <c r="V37" i="13"/>
  <c r="W34" i="13"/>
  <c r="V34" i="13"/>
  <c r="W33" i="13"/>
  <c r="V33" i="13"/>
  <c r="W31" i="13"/>
  <c r="V31" i="13"/>
  <c r="W30" i="13"/>
  <c r="V30" i="13"/>
  <c r="W29" i="13"/>
  <c r="V29" i="13"/>
  <c r="W28" i="13"/>
  <c r="V28" i="13"/>
  <c r="W27" i="13"/>
  <c r="V27" i="13"/>
  <c r="W24" i="13"/>
  <c r="V24" i="13"/>
  <c r="W23" i="13"/>
  <c r="V23" i="13"/>
  <c r="W21" i="13"/>
  <c r="V21" i="13"/>
  <c r="W20" i="13"/>
  <c r="V20" i="13"/>
  <c r="W19" i="13"/>
  <c r="V19" i="13"/>
  <c r="W18" i="13"/>
  <c r="V18" i="13"/>
  <c r="W17" i="13"/>
  <c r="V17" i="13"/>
  <c r="W14" i="13"/>
  <c r="V14" i="13"/>
  <c r="V11" i="13"/>
  <c r="W11" i="13"/>
  <c r="W10" i="13"/>
  <c r="V10" i="13"/>
  <c r="W9" i="13"/>
  <c r="V9" i="13"/>
  <c r="W8" i="13"/>
  <c r="V8" i="13"/>
  <c r="W7" i="13"/>
  <c r="V7" i="13"/>
  <c r="N7" i="13"/>
  <c r="M7" i="13"/>
  <c r="L7" i="13"/>
  <c r="K7" i="13"/>
  <c r="W33" i="12"/>
  <c r="X33" i="12"/>
  <c r="W23" i="12"/>
  <c r="X23" i="12"/>
  <c r="W18" i="12"/>
  <c r="X18" i="12"/>
  <c r="W13" i="12"/>
  <c r="X13" i="12"/>
  <c r="W8" i="12"/>
  <c r="X8" i="12"/>
  <c r="X37" i="12"/>
  <c r="W37" i="12"/>
  <c r="X36" i="12"/>
  <c r="W36" i="12"/>
  <c r="X35" i="12"/>
  <c r="W35" i="12"/>
  <c r="X32" i="12"/>
  <c r="W32" i="12"/>
  <c r="X26" i="12"/>
  <c r="W26" i="12"/>
  <c r="X25" i="12"/>
  <c r="W25" i="12"/>
  <c r="X24" i="12"/>
  <c r="W24" i="12"/>
  <c r="X22" i="12"/>
  <c r="W22" i="12"/>
  <c r="X21" i="12"/>
  <c r="W21" i="12"/>
  <c r="X20" i="12"/>
  <c r="W20" i="12"/>
  <c r="X19" i="12"/>
  <c r="W19" i="12"/>
  <c r="X17" i="12"/>
  <c r="W17" i="12"/>
  <c r="X16" i="12"/>
  <c r="W16" i="12"/>
  <c r="X15" i="12"/>
  <c r="W15" i="12"/>
  <c r="X14" i="12"/>
  <c r="W14" i="12"/>
  <c r="X12" i="12"/>
  <c r="W12" i="12"/>
  <c r="W11" i="12"/>
  <c r="X11" i="12"/>
  <c r="X10" i="12"/>
  <c r="W10" i="12"/>
  <c r="X9" i="12"/>
  <c r="W9" i="12"/>
  <c r="X7" i="12"/>
  <c r="W7" i="12"/>
  <c r="M7" i="12"/>
  <c r="L7" i="12"/>
  <c r="K7" i="12"/>
  <c r="J7" i="12"/>
  <c r="AB8" i="8"/>
  <c r="AB10" i="8"/>
  <c r="AB11" i="8"/>
  <c r="AB12" i="8"/>
  <c r="AB13" i="8"/>
  <c r="AB16" i="8"/>
  <c r="AB17" i="8"/>
  <c r="AB18" i="8"/>
  <c r="AB19" i="8"/>
  <c r="AB20" i="8"/>
  <c r="AB22" i="8"/>
  <c r="AB21" i="8"/>
  <c r="AB23" i="8"/>
  <c r="AB24" i="8"/>
  <c r="AB25" i="8"/>
  <c r="AB28" i="8"/>
  <c r="AB7" i="8"/>
  <c r="AA8" i="8"/>
  <c r="AA10" i="8"/>
  <c r="AA11" i="8"/>
  <c r="AA12" i="8"/>
  <c r="AA13" i="8"/>
  <c r="AA14" i="8"/>
  <c r="AA16" i="8"/>
  <c r="AA17" i="8"/>
  <c r="AA18" i="8"/>
  <c r="AA19" i="8"/>
  <c r="AA20" i="8"/>
  <c r="AA22" i="8"/>
  <c r="AA21" i="8"/>
  <c r="AA23" i="8"/>
  <c r="AA24" i="8"/>
  <c r="AA25" i="8"/>
  <c r="AA28" i="8"/>
  <c r="AA7" i="8"/>
  <c r="Q212" i="8"/>
  <c r="P212" i="8"/>
  <c r="O212" i="8"/>
  <c r="N212" i="8"/>
  <c r="Q130" i="8"/>
  <c r="P130" i="8"/>
  <c r="O130" i="8"/>
  <c r="N130" i="8"/>
  <c r="Q89" i="8"/>
  <c r="P89" i="8"/>
  <c r="O89" i="8"/>
  <c r="N89" i="8"/>
  <c r="Q48" i="8"/>
  <c r="P48" i="8"/>
  <c r="O48" i="8"/>
  <c r="N48" i="8"/>
  <c r="L5" i="8"/>
  <c r="N7" i="8"/>
  <c r="C8" i="8"/>
  <c r="P7" i="8"/>
  <c r="O7" i="8"/>
  <c r="Q7" i="8"/>
  <c r="E26" i="20"/>
  <c r="G17" i="20"/>
  <c r="G26" i="20" s="1"/>
  <c r="G35" i="20" s="1"/>
  <c r="G44" i="20" s="1"/>
  <c r="G53" i="20" s="1"/>
  <c r="G62" i="20" s="1"/>
  <c r="G71" i="20" s="1"/>
  <c r="E17" i="20"/>
  <c r="E8" i="20"/>
  <c r="Q7" i="20"/>
  <c r="Q8" i="20"/>
  <c r="Q9" i="20"/>
  <c r="Q10" i="20"/>
  <c r="Q11" i="20"/>
  <c r="P8" i="20"/>
  <c r="P9" i="20"/>
  <c r="P10" i="20"/>
  <c r="P11" i="20"/>
  <c r="P7" i="20"/>
  <c r="D22" i="18"/>
  <c r="D19" i="18"/>
  <c r="H119" i="15" s="1"/>
  <c r="E16" i="18"/>
  <c r="E15" i="18"/>
  <c r="E14" i="18"/>
  <c r="D13" i="18"/>
  <c r="E12" i="18"/>
  <c r="E156" i="15"/>
  <c r="E157" i="15" s="1"/>
  <c r="B153" i="15"/>
  <c r="B120" i="15"/>
  <c r="B89" i="15"/>
  <c r="B43" i="14"/>
  <c r="B34" i="14"/>
  <c r="B14" i="12"/>
  <c r="B9" i="12"/>
  <c r="B10" i="13"/>
  <c r="F61" i="15"/>
  <c r="F38" i="12"/>
  <c r="F21" i="15"/>
  <c r="F98" i="15"/>
  <c r="F12" i="15"/>
  <c r="F9" i="12"/>
  <c r="F58" i="15"/>
  <c r="F37" i="12"/>
  <c r="F22" i="15"/>
  <c r="F18" i="15"/>
  <c r="F31" i="15"/>
  <c r="F130" i="15"/>
  <c r="F17" i="15"/>
  <c r="F97" i="15"/>
  <c r="F14" i="13"/>
  <c r="F15" i="13" s="1"/>
  <c r="G152" i="15"/>
  <c r="F152" i="15" s="1"/>
  <c r="F65" i="15"/>
  <c r="F155" i="15"/>
  <c r="F165" i="15"/>
  <c r="F82" i="15"/>
  <c r="F16" i="15"/>
  <c r="F85" i="15"/>
  <c r="F168" i="15"/>
  <c r="G8" i="8"/>
  <c r="F8" i="8" s="1"/>
  <c r="F11" i="13"/>
  <c r="F12" i="13"/>
  <c r="F153" i="15"/>
  <c r="F124" i="15"/>
  <c r="F44" i="20"/>
  <c r="G9" i="15"/>
  <c r="F9" i="15" s="1"/>
  <c r="F83" i="15"/>
  <c r="F162" i="15"/>
  <c r="F15" i="14"/>
  <c r="F96" i="15"/>
  <c r="F11" i="12"/>
  <c r="G11" i="21"/>
  <c r="F54" i="15"/>
  <c r="F35" i="12"/>
  <c r="F19" i="12"/>
  <c r="F16" i="12"/>
  <c r="G48" i="15"/>
  <c r="F48" i="15" s="1"/>
  <c r="F88" i="15"/>
  <c r="F15" i="15"/>
  <c r="F28" i="15"/>
  <c r="G14" i="14"/>
  <c r="F14" i="14" s="1"/>
  <c r="F136" i="15"/>
  <c r="F134" i="15"/>
  <c r="F27" i="12"/>
  <c r="F60" i="15"/>
  <c r="F15" i="12"/>
  <c r="F8" i="12"/>
  <c r="F135" i="15"/>
  <c r="F128" i="15"/>
  <c r="F26" i="12"/>
  <c r="G9" i="13"/>
  <c r="F9" i="13" s="1"/>
  <c r="F16" i="14"/>
  <c r="F90" i="15"/>
  <c r="F55" i="15"/>
  <c r="F19" i="15"/>
  <c r="F13" i="14"/>
  <c r="F156" i="15"/>
  <c r="F23" i="12"/>
  <c r="F94" i="15"/>
  <c r="F17" i="20"/>
  <c r="F18" i="12"/>
  <c r="F57" i="15"/>
  <c r="F167" i="15"/>
  <c r="F35" i="20"/>
  <c r="F10" i="12"/>
  <c r="F14" i="12"/>
  <c r="F51" i="15"/>
  <c r="F129" i="15"/>
  <c r="F102" i="15"/>
  <c r="F25" i="12"/>
  <c r="F24" i="12"/>
  <c r="F12" i="14"/>
  <c r="F27" i="15"/>
  <c r="F92" i="15"/>
  <c r="F16" i="13"/>
  <c r="F17" i="13" s="1"/>
  <c r="F91" i="15"/>
  <c r="F86" i="15"/>
  <c r="F34" i="12"/>
  <c r="G13" i="13"/>
  <c r="F13" i="13" s="1"/>
  <c r="F53" i="15"/>
  <c r="F122" i="15"/>
  <c r="F26" i="20"/>
  <c r="F154" i="15"/>
  <c r="F29" i="15"/>
  <c r="F13" i="15"/>
  <c r="F10" i="14"/>
  <c r="F12" i="12"/>
  <c r="F160" i="15"/>
  <c r="F93" i="15"/>
  <c r="F24" i="15"/>
  <c r="F10" i="15"/>
  <c r="F9" i="14"/>
  <c r="F36" i="12"/>
  <c r="F163" i="15"/>
  <c r="F157" i="15"/>
  <c r="F137" i="15"/>
  <c r="F133" i="15"/>
  <c r="F123" i="15"/>
  <c r="F95" i="15"/>
  <c r="F89" i="15"/>
  <c r="F81" i="15"/>
  <c r="F62" i="15"/>
  <c r="F50" i="15"/>
  <c r="F17" i="12"/>
  <c r="F52" i="15"/>
  <c r="G120" i="15"/>
  <c r="F120" i="15" s="1"/>
  <c r="F121" i="15"/>
  <c r="F30" i="15"/>
  <c r="F14" i="15"/>
  <c r="G11" i="14"/>
  <c r="F11" i="14" s="1"/>
  <c r="F164" i="15"/>
  <c r="F49" i="15"/>
  <c r="F126" i="15"/>
  <c r="F99" i="15"/>
  <c r="F25" i="15"/>
  <c r="F8" i="20"/>
  <c r="F158" i="15"/>
  <c r="F84" i="15"/>
  <c r="F20" i="15"/>
  <c r="F22" i="12"/>
  <c r="G9" i="21"/>
  <c r="F169" i="15"/>
  <c r="F159" i="15"/>
  <c r="F131" i="15"/>
  <c r="F127" i="15"/>
  <c r="F87" i="15"/>
  <c r="F59" i="15"/>
  <c r="F10" i="13"/>
  <c r="F33" i="12"/>
  <c r="F20" i="12"/>
  <c r="F64" i="15"/>
  <c r="F132" i="15"/>
  <c r="F100" i="15"/>
  <c r="F26" i="15"/>
  <c r="G11" i="15"/>
  <c r="F11" i="15" s="1"/>
  <c r="F101" i="15"/>
  <c r="G80" i="15"/>
  <c r="F80" i="15" s="1"/>
  <c r="F23" i="15"/>
  <c r="G8" i="14"/>
  <c r="F8" i="14" s="1"/>
  <c r="G8" i="13"/>
  <c r="F8" i="13" s="1"/>
  <c r="G13" i="8"/>
  <c r="F13" i="8" s="1"/>
  <c r="F161" i="15"/>
  <c r="G10" i="21"/>
  <c r="F166" i="15"/>
  <c r="G8" i="15"/>
  <c r="F8" i="15" s="1"/>
  <c r="F13" i="12"/>
  <c r="F56" i="15"/>
  <c r="F21" i="12"/>
  <c r="F63" i="15"/>
  <c r="F103" i="15"/>
  <c r="F125" i="15"/>
  <c r="O7" i="13" l="1"/>
  <c r="R253" i="8"/>
  <c r="R294" i="8"/>
  <c r="B33" i="12"/>
  <c r="B169" i="15"/>
  <c r="B12" i="8"/>
  <c r="B165" i="15"/>
  <c r="B34" i="12"/>
  <c r="B37" i="14"/>
  <c r="E130" i="15"/>
  <c r="E131" i="15" s="1"/>
  <c r="B21" i="12"/>
  <c r="B27" i="12"/>
  <c r="B15" i="12"/>
  <c r="E133" i="15"/>
  <c r="E134" i="15" s="1"/>
  <c r="E70" i="13"/>
  <c r="C17" i="20"/>
  <c r="B8" i="20"/>
  <c r="C26" i="20"/>
  <c r="B44" i="20"/>
  <c r="B26" i="20"/>
  <c r="C35" i="20"/>
  <c r="B17" i="20"/>
  <c r="B35" i="20"/>
  <c r="C44" i="20"/>
  <c r="C8" i="20"/>
  <c r="B33" i="13"/>
  <c r="B16" i="15"/>
  <c r="B56" i="14"/>
  <c r="E34" i="12"/>
  <c r="E35" i="12" s="1"/>
  <c r="E36" i="12" s="1"/>
  <c r="E37" i="12" s="1"/>
  <c r="E38" i="12" s="1"/>
  <c r="E37" i="13"/>
  <c r="E36" i="13"/>
  <c r="E35" i="13"/>
  <c r="E34" i="13"/>
  <c r="E33" i="13"/>
  <c r="E40" i="13"/>
  <c r="E42" i="13" s="1"/>
  <c r="E43" i="13" s="1"/>
  <c r="E38" i="13"/>
  <c r="B234" i="8"/>
  <c r="B224" i="8"/>
  <c r="B213" i="8"/>
  <c r="B232" i="8"/>
  <c r="B222" i="8"/>
  <c r="B231" i="8"/>
  <c r="B221" i="8"/>
  <c r="B216" i="8"/>
  <c r="B235" i="8"/>
  <c r="B214" i="8"/>
  <c r="B243" i="8"/>
  <c r="B229" i="8"/>
  <c r="B219" i="8"/>
  <c r="B241" i="8"/>
  <c r="B228" i="8"/>
  <c r="B218" i="8"/>
  <c r="B239" i="8"/>
  <c r="B227" i="8"/>
  <c r="B217" i="8"/>
  <c r="B237" i="8"/>
  <c r="B226" i="8"/>
  <c r="B225" i="8"/>
  <c r="H79" i="15"/>
  <c r="B23" i="13"/>
  <c r="B32" i="13"/>
  <c r="B17" i="15"/>
  <c r="B62" i="15"/>
  <c r="E121" i="15"/>
  <c r="E122" i="15" s="1"/>
  <c r="H47" i="15"/>
  <c r="B38" i="14"/>
  <c r="R89" i="8"/>
  <c r="B22" i="12"/>
  <c r="B26" i="14"/>
  <c r="B41" i="14"/>
  <c r="B16" i="13"/>
  <c r="R130" i="8"/>
  <c r="B24" i="12"/>
  <c r="B28" i="14"/>
  <c r="B54" i="15"/>
  <c r="B39" i="14"/>
  <c r="B30" i="8"/>
  <c r="B8" i="13"/>
  <c r="B29" i="14"/>
  <c r="B42" i="14"/>
  <c r="B55" i="15"/>
  <c r="B157" i="15"/>
  <c r="B9" i="14"/>
  <c r="B13" i="14"/>
  <c r="B12" i="13"/>
  <c r="B10" i="14"/>
  <c r="B21" i="14"/>
  <c r="H7" i="14"/>
  <c r="B14" i="13"/>
  <c r="B45" i="14"/>
  <c r="B49" i="14"/>
  <c r="B48" i="14"/>
  <c r="B46" i="14"/>
  <c r="B52" i="14"/>
  <c r="B44" i="14"/>
  <c r="B51" i="14"/>
  <c r="B50" i="14"/>
  <c r="B47" i="14"/>
  <c r="B9" i="13"/>
  <c r="B16" i="14"/>
  <c r="B59" i="15"/>
  <c r="B202" i="8"/>
  <c r="B188" i="8"/>
  <c r="B177" i="8"/>
  <c r="B194" i="8"/>
  <c r="B191" i="8"/>
  <c r="B190" i="8"/>
  <c r="B200" i="8"/>
  <c r="B187" i="8"/>
  <c r="B176" i="8"/>
  <c r="B198" i="8"/>
  <c r="B186" i="8"/>
  <c r="B175" i="8"/>
  <c r="B172" i="8"/>
  <c r="B181" i="8"/>
  <c r="B178" i="8"/>
  <c r="B183" i="8"/>
  <c r="B196" i="8"/>
  <c r="B185" i="8"/>
  <c r="B173" i="8"/>
  <c r="B184" i="8"/>
  <c r="B193" i="8"/>
  <c r="B180" i="8"/>
  <c r="B25" i="13"/>
  <c r="B26" i="13"/>
  <c r="B24" i="13"/>
  <c r="B22" i="13"/>
  <c r="B28" i="13"/>
  <c r="B21" i="13"/>
  <c r="B20" i="13"/>
  <c r="B68" i="13"/>
  <c r="B76" i="13"/>
  <c r="B74" i="13"/>
  <c r="B73" i="13"/>
  <c r="B72" i="13"/>
  <c r="B71" i="13"/>
  <c r="B70" i="13"/>
  <c r="B69" i="13"/>
  <c r="B30" i="12"/>
  <c r="B28" i="12"/>
  <c r="B32" i="12"/>
  <c r="B29" i="12"/>
  <c r="B31" i="12"/>
  <c r="B19" i="14"/>
  <c r="B23" i="14"/>
  <c r="B18" i="14"/>
  <c r="B20" i="14"/>
  <c r="B25" i="14"/>
  <c r="B17" i="14"/>
  <c r="B24" i="14"/>
  <c r="B22" i="14"/>
  <c r="B58" i="14"/>
  <c r="B54" i="14"/>
  <c r="B53" i="14"/>
  <c r="B57" i="14"/>
  <c r="B60" i="14"/>
  <c r="B59" i="14"/>
  <c r="B61" i="14"/>
  <c r="B55" i="14"/>
  <c r="B23" i="15"/>
  <c r="B22" i="15"/>
  <c r="B20" i="15"/>
  <c r="B21" i="15"/>
  <c r="B53" i="15"/>
  <c r="B52" i="15"/>
  <c r="B51" i="15"/>
  <c r="B65" i="15"/>
  <c r="B64" i="15"/>
  <c r="B63" i="15"/>
  <c r="B93" i="15"/>
  <c r="E93" i="15"/>
  <c r="E94" i="15" s="1"/>
  <c r="E95" i="15" s="1"/>
  <c r="B95" i="15"/>
  <c r="B94" i="15"/>
  <c r="B92" i="15"/>
  <c r="E124" i="15"/>
  <c r="E125" i="15" s="1"/>
  <c r="E136" i="15"/>
  <c r="E137" i="15" s="1"/>
  <c r="B161" i="15"/>
  <c r="B162" i="15"/>
  <c r="E162" i="15"/>
  <c r="E163" i="15" s="1"/>
  <c r="B163" i="15"/>
  <c r="B159" i="8"/>
  <c r="B150" i="8"/>
  <c r="B136" i="8"/>
  <c r="B146" i="8"/>
  <c r="B149" i="8"/>
  <c r="B135" i="8"/>
  <c r="B144" i="8"/>
  <c r="B143" i="8"/>
  <c r="B161" i="8"/>
  <c r="B157" i="8"/>
  <c r="B145" i="8"/>
  <c r="B147" i="8"/>
  <c r="B134" i="8"/>
  <c r="B132" i="8"/>
  <c r="B131" i="8"/>
  <c r="B142" i="8"/>
  <c r="B155" i="8"/>
  <c r="B140" i="8"/>
  <c r="B153" i="8"/>
  <c r="B139" i="8"/>
  <c r="B152" i="8"/>
  <c r="B137" i="8"/>
  <c r="B11" i="12"/>
  <c r="B10" i="12"/>
  <c r="B32" i="14"/>
  <c r="B27" i="14"/>
  <c r="B31" i="14"/>
  <c r="B27" i="15"/>
  <c r="B26" i="15"/>
  <c r="B80" i="15"/>
  <c r="B83" i="15"/>
  <c r="B81" i="15"/>
  <c r="E153" i="15"/>
  <c r="E154" i="15" s="1"/>
  <c r="B154" i="15"/>
  <c r="B152" i="15"/>
  <c r="B8" i="8"/>
  <c r="E9" i="12"/>
  <c r="E10" i="12" s="1"/>
  <c r="E11" i="12" s="1"/>
  <c r="E12" i="12" s="1"/>
  <c r="B34" i="13"/>
  <c r="B9" i="8"/>
  <c r="B35" i="13"/>
  <c r="B30" i="14"/>
  <c r="B8" i="15"/>
  <c r="B61" i="8"/>
  <c r="B73" i="8"/>
  <c r="B58" i="8"/>
  <c r="B79" i="8"/>
  <c r="B62" i="8"/>
  <c r="B71" i="8"/>
  <c r="B57" i="8"/>
  <c r="B68" i="8"/>
  <c r="B54" i="8"/>
  <c r="B60" i="8"/>
  <c r="B70" i="8"/>
  <c r="B55" i="8"/>
  <c r="B65" i="8"/>
  <c r="B52" i="8"/>
  <c r="B77" i="8"/>
  <c r="B64" i="8"/>
  <c r="B50" i="8"/>
  <c r="B63" i="8"/>
  <c r="B53" i="8"/>
  <c r="B49" i="8"/>
  <c r="B67" i="8"/>
  <c r="B75" i="8"/>
  <c r="B86" i="15"/>
  <c r="B85" i="15"/>
  <c r="E85" i="15"/>
  <c r="E86" i="15" s="1"/>
  <c r="E87" i="15" s="1"/>
  <c r="B87" i="15"/>
  <c r="B84" i="15"/>
  <c r="E168" i="15"/>
  <c r="E169" i="15" s="1"/>
  <c r="B168" i="15"/>
  <c r="B167" i="15"/>
  <c r="B11" i="8"/>
  <c r="B26" i="12"/>
  <c r="B8" i="12"/>
  <c r="B36" i="13"/>
  <c r="B9" i="15"/>
  <c r="B82" i="15"/>
  <c r="E127" i="15"/>
  <c r="E128" i="15" s="1"/>
  <c r="R171" i="8"/>
  <c r="N7" i="12"/>
  <c r="R48" i="8"/>
  <c r="R7" i="8"/>
  <c r="B17" i="12"/>
  <c r="B13" i="12"/>
  <c r="E14" i="12"/>
  <c r="E15" i="12" s="1"/>
  <c r="E16" i="12" s="1"/>
  <c r="E17" i="12" s="1"/>
  <c r="B16" i="12"/>
  <c r="B35" i="12"/>
  <c r="B38" i="12"/>
  <c r="B37" i="12"/>
  <c r="B36" i="12"/>
  <c r="B15" i="15"/>
  <c r="B14" i="15"/>
  <c r="B12" i="15"/>
  <c r="B57" i="15"/>
  <c r="B58" i="15"/>
  <c r="B103" i="15"/>
  <c r="B102" i="15"/>
  <c r="B101" i="15"/>
  <c r="E101" i="15"/>
  <c r="E102" i="15" s="1"/>
  <c r="E103" i="15" s="1"/>
  <c r="B100" i="15"/>
  <c r="B156" i="15"/>
  <c r="B155" i="15"/>
  <c r="B13" i="15"/>
  <c r="B24" i="15"/>
  <c r="B38" i="8"/>
  <c r="B36" i="8"/>
  <c r="B32" i="8"/>
  <c r="B17" i="8"/>
  <c r="B16" i="8"/>
  <c r="B14" i="8"/>
  <c r="B21" i="8"/>
  <c r="B24" i="8"/>
  <c r="B20" i="8"/>
  <c r="B13" i="8"/>
  <c r="B27" i="8"/>
  <c r="B34" i="8"/>
  <c r="B19" i="8"/>
  <c r="B26" i="8"/>
  <c r="B23" i="8"/>
  <c r="B22" i="8"/>
  <c r="B40" i="13"/>
  <c r="B38" i="13"/>
  <c r="B37" i="13"/>
  <c r="B23" i="12"/>
  <c r="E24" i="12"/>
  <c r="B11" i="15"/>
  <c r="B10" i="15"/>
  <c r="B56" i="15"/>
  <c r="B98" i="15"/>
  <c r="B96" i="15"/>
  <c r="B97" i="15"/>
  <c r="B166" i="15"/>
  <c r="B164" i="15"/>
  <c r="E165" i="15"/>
  <c r="E166" i="15" s="1"/>
  <c r="B25" i="12"/>
  <c r="E97" i="15"/>
  <c r="E98" i="15" s="1"/>
  <c r="E99" i="15" s="1"/>
  <c r="B29" i="8"/>
  <c r="R212" i="8"/>
  <c r="B12" i="12"/>
  <c r="B33" i="14"/>
  <c r="B25" i="15"/>
  <c r="E81" i="15"/>
  <c r="E82" i="15" s="1"/>
  <c r="E83" i="15" s="1"/>
  <c r="B99" i="15"/>
  <c r="H151" i="15"/>
  <c r="H7" i="15"/>
  <c r="B11" i="14"/>
  <c r="B35" i="14"/>
  <c r="B101" i="8"/>
  <c r="B120" i="8"/>
  <c r="B111" i="8"/>
  <c r="B96" i="8"/>
  <c r="B118" i="8"/>
  <c r="B106" i="8"/>
  <c r="B109" i="8"/>
  <c r="B95" i="8"/>
  <c r="B93" i="8"/>
  <c r="B108" i="8"/>
  <c r="B94" i="8"/>
  <c r="B116" i="8"/>
  <c r="B104" i="8"/>
  <c r="B90" i="8"/>
  <c r="B103" i="8"/>
  <c r="B114" i="8"/>
  <c r="B99" i="8"/>
  <c r="B112" i="8"/>
  <c r="B105" i="8"/>
  <c r="B98" i="8"/>
  <c r="B102" i="8"/>
  <c r="B91" i="8"/>
  <c r="B13" i="13"/>
  <c r="B19" i="15"/>
  <c r="B18" i="15"/>
  <c r="B49" i="15"/>
  <c r="B48" i="15"/>
  <c r="B61" i="15"/>
  <c r="B60" i="15"/>
  <c r="B88" i="15"/>
  <c r="B91" i="15"/>
  <c r="E159" i="15"/>
  <c r="E160" i="15" s="1"/>
  <c r="B159" i="15"/>
  <c r="B158" i="15"/>
  <c r="B160" i="15"/>
  <c r="E19" i="12"/>
  <c r="B18" i="12"/>
  <c r="B19" i="12"/>
  <c r="B14" i="14"/>
  <c r="B40" i="14"/>
  <c r="E89" i="15"/>
  <c r="E90" i="15" s="1"/>
  <c r="E91" i="15" s="1"/>
  <c r="B20" i="12"/>
  <c r="B11" i="13"/>
  <c r="B8" i="14"/>
  <c r="B12" i="14"/>
  <c r="B15" i="14"/>
  <c r="B36" i="14"/>
  <c r="B50" i="15"/>
  <c r="B90" i="15"/>
  <c r="E20" i="12" l="1"/>
  <c r="E21" i="12" s="1"/>
  <c r="E22" i="12" s="1"/>
  <c r="E25" i="12"/>
  <c r="E26" i="12" s="1"/>
  <c r="E27" i="12" s="1"/>
  <c r="E73" i="13"/>
  <c r="E76" i="13"/>
  <c r="E78" i="13" s="1"/>
  <c r="E79" i="13" s="1"/>
  <c r="E72" i="13"/>
  <c r="E74" i="13"/>
  <c r="E71" i="13"/>
  <c r="E69" i="13"/>
  <c r="E29" i="12"/>
  <c r="E26" i="13"/>
  <c r="E25" i="13"/>
  <c r="E21" i="13"/>
  <c r="E28" i="13"/>
  <c r="E30" i="13" s="1"/>
  <c r="E31" i="13" s="1"/>
  <c r="E24" i="13"/>
  <c r="E22" i="13"/>
  <c r="E23" i="13"/>
  <c r="E16" i="13"/>
  <c r="E18" i="13" s="1"/>
  <c r="E19" i="13" s="1"/>
  <c r="E14" i="13"/>
  <c r="E9" i="13"/>
  <c r="E13" i="13"/>
  <c r="E10" i="13"/>
  <c r="E12" i="13"/>
  <c r="E11" i="13"/>
  <c r="E48" i="13"/>
  <c r="E47" i="13"/>
  <c r="E50" i="13"/>
  <c r="E49" i="13"/>
  <c r="E46" i="13"/>
  <c r="E45" i="13"/>
  <c r="E52" i="13"/>
  <c r="E54" i="13" s="1"/>
  <c r="E55" i="13" s="1"/>
  <c r="E59" i="13"/>
  <c r="E58" i="13"/>
  <c r="E57" i="13"/>
  <c r="E64" i="13"/>
  <c r="E66" i="13" s="1"/>
  <c r="E67" i="13" s="1"/>
  <c r="E62" i="13"/>
  <c r="E61" i="13"/>
  <c r="E60" i="13"/>
  <c r="D9" i="21"/>
  <c r="E30" i="12" l="1"/>
  <c r="E31" i="12" s="1"/>
  <c r="E32" i="12" s="1"/>
  <c r="N4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C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6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6" authorId="0" shapeId="0" xr:uid="{00000000-0006-0000-02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7" authorId="0" shapeId="0" xr:uid="{00000000-0006-0000-02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8" authorId="0" shapeId="0" xr:uid="{00000000-0006-0000-02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9" authorId="0" shapeId="0" xr:uid="{00000000-0006-0000-02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0" authorId="0" shapeId="0" xr:uid="{00000000-0006-0000-02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51" authorId="0" shapeId="0" xr:uid="{00000000-0006-0000-02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92" authorId="0" shapeId="0" xr:uid="{00000000-0006-0000-02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Y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5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6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Rocco De Miglio</author>
    <author>Amit Kanudia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5" authorId="1" shapeId="0" xr:uid="{C3216691-383B-4198-8FD6-362CBF9E21C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Trans file</t>
        </r>
      </text>
    </comment>
    <comment ref="V5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2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5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7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7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9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7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7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V7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Z7" authorId="0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A7" authorId="0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7" authorId="0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C7" authorId="0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K8" authorId="0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0" authorId="0" shapeId="0" xr:uid="{00000000-0006-0000-07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1605F5EE-AA28-4089-ABE8-255598B7FB0D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8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5" authorId="0" shapeId="0" xr:uid="{00000000-0006-0000-08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5" authorId="1" shapeId="0" xr:uid="{00000000-0006-0000-08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5" authorId="2" shapeId="0" xr:uid="{00000000-0006-0000-08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2" shapeId="0" xr:uid="{00000000-0006-0000-08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5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5" authorId="0" shapeId="0" xr:uid="{00000000-0006-0000-08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G5" authorId="1" shapeId="0" xr:uid="{00000000-0006-0000-08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H5" authorId="2" shapeId="0" xr:uid="{00000000-0006-0000-08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I5" authorId="2" shapeId="0" xr:uid="{00000000-0006-0000-08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J5" authorId="2" shapeId="0" xr:uid="{00000000-0006-0000-08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<sst xmlns="http://schemas.openxmlformats.org/spreadsheetml/2006/main" count="3819" uniqueCount="1476">
  <si>
    <t>~FI_T</t>
  </si>
  <si>
    <t>TechName</t>
  </si>
  <si>
    <t>TechDesc</t>
  </si>
  <si>
    <t>Comm-IN</t>
  </si>
  <si>
    <t>Comm-OUT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</si>
  <si>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</si>
  <si>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</si>
  <si>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</si>
  <si>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</si>
  <si>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</si>
  <si>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</si>
  <si>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</si>
  <si>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</si>
  <si>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</si>
  <si>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</si>
  <si>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</si>
  <si>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</si>
  <si>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</si>
  <si>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</si>
  <si>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</si>
  <si>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</si>
  <si>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</si>
  <si>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</si>
  <si>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</si>
  <si>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</si>
  <si>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</si>
  <si>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</si>
  <si>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</si>
  <si>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</si>
  <si>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</si>
  <si>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</si>
  <si>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</si>
  <si>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</si>
  <si>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</si>
  <si>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</si>
  <si>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Starting Year</t>
  </si>
  <si>
    <t>INVCOST</t>
  </si>
  <si>
    <t>Fixed O&amp;M Cost</t>
  </si>
  <si>
    <t>Variable O&amp;M Cost</t>
  </si>
  <si>
    <t>Region</t>
  </si>
  <si>
    <t>English</t>
  </si>
  <si>
    <t>*Commodity Set Membership</t>
  </si>
  <si>
    <t>Region Name</t>
  </si>
  <si>
    <t>Sense of the Balance EQN.</t>
  </si>
  <si>
    <t>Timeslice Level</t>
  </si>
  <si>
    <t>NRG</t>
  </si>
  <si>
    <t>ENV</t>
  </si>
  <si>
    <t>TOTCO2</t>
  </si>
  <si>
    <t>CO2</t>
  </si>
  <si>
    <t>DEM</t>
  </si>
  <si>
    <t>COACCL</t>
  </si>
  <si>
    <t>Coking coal</t>
  </si>
  <si>
    <t>TOTCH4</t>
  </si>
  <si>
    <t>CH4</t>
  </si>
  <si>
    <t>COABIC</t>
  </si>
  <si>
    <t>Other bituminous coal</t>
  </si>
  <si>
    <t>TOTN2O</t>
  </si>
  <si>
    <t>N2O</t>
  </si>
  <si>
    <t xml:space="preserve">Lignite/Brown Coal </t>
  </si>
  <si>
    <t>SUPCO2</t>
  </si>
  <si>
    <t>CO2 (SUP)</t>
  </si>
  <si>
    <t>COACOC</t>
  </si>
  <si>
    <t>Coke oven coke</t>
  </si>
  <si>
    <t>SUPCH4</t>
  </si>
  <si>
    <t>CH4 (SUP)</t>
  </si>
  <si>
    <t>COACTA</t>
  </si>
  <si>
    <t>Coal tar</t>
  </si>
  <si>
    <t>SUPN2O</t>
  </si>
  <si>
    <t>N2O (SUP)</t>
  </si>
  <si>
    <t>COABKB</t>
  </si>
  <si>
    <t>BKB (brown coal briquettes)</t>
  </si>
  <si>
    <t>INDCO2</t>
  </si>
  <si>
    <t>CO2 (IND)</t>
  </si>
  <si>
    <t>OILCRD</t>
  </si>
  <si>
    <t>Crude Oil</t>
  </si>
  <si>
    <t>INDCH4</t>
  </si>
  <si>
    <t>CH4 (IND)</t>
  </si>
  <si>
    <t>OILNGL</t>
  </si>
  <si>
    <t>Natural gas liquids</t>
  </si>
  <si>
    <t>INDN2O</t>
  </si>
  <si>
    <t>N2O (IND)</t>
  </si>
  <si>
    <t>OILFDS</t>
  </si>
  <si>
    <t>Feedstocks</t>
  </si>
  <si>
    <t>RSDCO2</t>
  </si>
  <si>
    <t>CO2 (RSD)</t>
  </si>
  <si>
    <t>OILRFG</t>
  </si>
  <si>
    <t>Refinery gas</t>
  </si>
  <si>
    <t>RSDCH4</t>
  </si>
  <si>
    <t>CH4 (RSD)</t>
  </si>
  <si>
    <t>OILDSL</t>
  </si>
  <si>
    <t>Diesel</t>
  </si>
  <si>
    <t>RSDN2O</t>
  </si>
  <si>
    <t>N2O (RSD)</t>
  </si>
  <si>
    <t>OILGSL</t>
  </si>
  <si>
    <t>Gasoline</t>
  </si>
  <si>
    <t>COMCO2</t>
  </si>
  <si>
    <t>CO2 (COM)</t>
  </si>
  <si>
    <t>OILGSA</t>
  </si>
  <si>
    <t>Aviation Gasoline</t>
  </si>
  <si>
    <t>COMCH4</t>
  </si>
  <si>
    <t>CH4 (COM)</t>
  </si>
  <si>
    <t>OILLPG</t>
  </si>
  <si>
    <t>Liquified petroleum gas</t>
  </si>
  <si>
    <t>COMN2O</t>
  </si>
  <si>
    <t>N2O (COM)</t>
  </si>
  <si>
    <t>OILHFO1</t>
  </si>
  <si>
    <t>Low Sulphur Fuel Oil</t>
  </si>
  <si>
    <t>AGRCO2</t>
  </si>
  <si>
    <t>CO2 (AGR)</t>
  </si>
  <si>
    <t>OILHFO2</t>
  </si>
  <si>
    <t>High Sulphur Fuel Oil</t>
  </si>
  <si>
    <t>AGRCH4</t>
  </si>
  <si>
    <t>CH4 (AGR)</t>
  </si>
  <si>
    <t>OILKER</t>
  </si>
  <si>
    <t>Kerosene</t>
  </si>
  <si>
    <t>AGRN2O</t>
  </si>
  <si>
    <t>N2O (AGR)</t>
  </si>
  <si>
    <t>OILNAP</t>
  </si>
  <si>
    <t>Naphtha</t>
  </si>
  <si>
    <t>TRACO2</t>
  </si>
  <si>
    <t>CO2 (TRA)</t>
  </si>
  <si>
    <t>OILPCK</t>
  </si>
  <si>
    <t>Petroleum Coke</t>
  </si>
  <si>
    <t>TRACH4</t>
  </si>
  <si>
    <t>CH4 (TRA)</t>
  </si>
  <si>
    <t>OILBIT</t>
  </si>
  <si>
    <t>Bitumen</t>
  </si>
  <si>
    <t>TRAN2O</t>
  </si>
  <si>
    <t>N2O (TRA)</t>
  </si>
  <si>
    <t>OILLUB</t>
  </si>
  <si>
    <t>Lubricants</t>
  </si>
  <si>
    <t>ELECO2</t>
  </si>
  <si>
    <t>CO2 (ELE)</t>
  </si>
  <si>
    <t>OILOTH</t>
  </si>
  <si>
    <t>Other petroleum products</t>
  </si>
  <si>
    <t>ELECH4</t>
  </si>
  <si>
    <t>CH4 (ELE)</t>
  </si>
  <si>
    <t>OILOIS</t>
  </si>
  <si>
    <t>Oil Shale</t>
  </si>
  <si>
    <t>ELEN2O</t>
  </si>
  <si>
    <t>N2O (ELE)</t>
  </si>
  <si>
    <t>OILSHO</t>
  </si>
  <si>
    <t>Shale Oil</t>
  </si>
  <si>
    <t>HETCO2</t>
  </si>
  <si>
    <t>CO2 (HET)</t>
  </si>
  <si>
    <t>PJ</t>
  </si>
  <si>
    <t>GASNAT</t>
  </si>
  <si>
    <t>Natural Gas</t>
  </si>
  <si>
    <t>HETCH4</t>
  </si>
  <si>
    <t>CH4 (HET)</t>
  </si>
  <si>
    <t>GASBFG</t>
  </si>
  <si>
    <t>Blast Furnace Gas</t>
  </si>
  <si>
    <t>HETN2O</t>
  </si>
  <si>
    <t>N2O (HET)</t>
  </si>
  <si>
    <t>BIOLOG</t>
  </si>
  <si>
    <t>Wood</t>
  </si>
  <si>
    <t>BIOLOGA</t>
  </si>
  <si>
    <t>Agricultural residues</t>
  </si>
  <si>
    <t>BIOLOGF</t>
  </si>
  <si>
    <t>Forrest residues</t>
  </si>
  <si>
    <t>BIOWMU</t>
  </si>
  <si>
    <t>Municipal waste</t>
  </si>
  <si>
    <t>MAT</t>
  </si>
  <si>
    <t>000appliances</t>
  </si>
  <si>
    <t>BIOWID</t>
  </si>
  <si>
    <t>Industrial Waste</t>
  </si>
  <si>
    <t>BIOWAN</t>
  </si>
  <si>
    <t>Animal waste</t>
  </si>
  <si>
    <t>BIOWCO</t>
  </si>
  <si>
    <t>Waste cooking oils</t>
  </si>
  <si>
    <t>BIOBST</t>
  </si>
  <si>
    <t>Starch Crops</t>
  </si>
  <si>
    <t>BIOBGC</t>
  </si>
  <si>
    <t>Grass Crops (millet and Jerusalem artichoke)</t>
  </si>
  <si>
    <t>BIOBOS</t>
  </si>
  <si>
    <t>Oilseed Crops</t>
  </si>
  <si>
    <t>BIOETH</t>
  </si>
  <si>
    <t>Pure Bioethanol</t>
  </si>
  <si>
    <t>BIORME</t>
  </si>
  <si>
    <t>RME</t>
  </si>
  <si>
    <t>BIOHVO</t>
  </si>
  <si>
    <t>HVO</t>
  </si>
  <si>
    <t>BIODME</t>
  </si>
  <si>
    <t>DME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</si>
  <si>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</si>
  <si>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</si>
  <si>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</si>
  <si>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</si>
  <si>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</si>
  <si>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</si>
  <si>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</si>
  <si>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</si>
  <si>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</si>
  <si>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BIORPS</t>
  </si>
  <si>
    <t>Rape seed oil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</si>
  <si>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</si>
  <si>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</si>
  <si>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</si>
  <si>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</si>
  <si>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</si>
  <si>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</si>
  <si>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</si>
  <si>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</si>
  <si>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</si>
  <si>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</si>
  <si>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RSVCOABIC</t>
  </si>
  <si>
    <t>Other bituminous coal (RSV)</t>
  </si>
  <si>
    <t>Lignite/Brown Coal (RSV)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</si>
  <si>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</si>
  <si>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</si>
  <si>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</si>
  <si>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</si>
  <si>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</si>
  <si>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</si>
  <si>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</si>
  <si>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</si>
  <si>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</si>
  <si>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</si>
  <si>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Lignite/Brown Coal (STG)</t>
  </si>
  <si>
    <t>STGOILCRD</t>
  </si>
  <si>
    <t>Crude Oil (STG)</t>
  </si>
  <si>
    <t>STGGASNAT</t>
  </si>
  <si>
    <t>N. Gas (STG)</t>
  </si>
  <si>
    <t>SUPCOACCL</t>
  </si>
  <si>
    <t>Coking coal (SUP)</t>
  </si>
  <si>
    <t>SUPCOABIC</t>
  </si>
  <si>
    <t>Other bituminous coal (SUP)</t>
  </si>
  <si>
    <t>Lignite/Brown Coal  (SUP)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</si>
  <si>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</si>
  <si>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</si>
  <si>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</si>
  <si>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</si>
  <si>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</si>
  <si>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</si>
  <si>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</si>
  <si>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</si>
  <si>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</si>
  <si>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</si>
  <si>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</si>
  <si>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</si>
  <si>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</si>
  <si>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</si>
  <si>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</si>
  <si>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</si>
  <si>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</si>
  <si>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</si>
  <si>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</si>
  <si>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</si>
  <si>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</si>
  <si>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</si>
  <si>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</si>
  <si>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</si>
  <si>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</si>
  <si>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</si>
  <si>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</si>
  <si>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</si>
  <si>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</si>
  <si>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</si>
  <si>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</si>
  <si>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</si>
  <si>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</si>
  <si>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</si>
  <si>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</si>
  <si>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</si>
  <si>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</si>
  <si>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</si>
  <si>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</si>
  <si>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</si>
  <si>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</si>
  <si>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</si>
  <si>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</si>
  <si>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</si>
  <si>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</si>
  <si>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</si>
  <si>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</si>
  <si>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</si>
  <si>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</si>
  <si>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</si>
  <si>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</si>
  <si>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</si>
  <si>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</si>
  <si>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</si>
  <si>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</si>
  <si>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</si>
  <si>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</si>
  <si>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</si>
  <si>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</si>
  <si>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</si>
  <si>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</si>
  <si>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</si>
  <si>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</si>
  <si>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</si>
  <si>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</si>
  <si>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</si>
  <si>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</si>
  <si>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</si>
  <si>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</si>
  <si>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</si>
  <si>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</si>
  <si>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</si>
  <si>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</si>
  <si>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</si>
  <si>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</si>
  <si>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</si>
  <si>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</si>
  <si>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</si>
  <si>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</si>
  <si>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</si>
  <si>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</si>
  <si>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INDCOACCL</t>
  </si>
  <si>
    <t>Coking coal (IND)</t>
  </si>
  <si>
    <t>INDCOABIC</t>
  </si>
  <si>
    <t>Other bituminous coal (IND)</t>
  </si>
  <si>
    <t>Lignite/Brown Coal  (IND)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</si>
  <si>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</si>
  <si>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</si>
  <si>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</si>
  <si>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</si>
  <si>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</si>
  <si>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</si>
  <si>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INDOILRFG</t>
  </si>
  <si>
    <t>Refinery gas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</si>
  <si>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</si>
  <si>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</si>
  <si>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</si>
  <si>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</si>
  <si>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</si>
  <si>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</si>
  <si>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INDOILHFO1</t>
  </si>
  <si>
    <t>Low Sulphur Fuel Oil (IND)</t>
  </si>
  <si>
    <t>INDOILHFO2</t>
  </si>
  <si>
    <t>High Sulphur Fuel Oil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</si>
  <si>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</si>
  <si>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</si>
  <si>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</si>
  <si>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</si>
  <si>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</si>
  <si>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</si>
  <si>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</si>
  <si>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</si>
  <si>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</si>
  <si>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</si>
  <si>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</si>
  <si>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</si>
  <si>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</si>
  <si>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</si>
  <si>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INDBIOLOGA</t>
  </si>
  <si>
    <t>Agricultural residues (IND)</t>
  </si>
  <si>
    <t>INDBIOLOGF</t>
  </si>
  <si>
    <t>Forrest residues (IND)</t>
  </si>
  <si>
    <t>INDBIOWMU</t>
  </si>
  <si>
    <t>Municipal waste (IND)</t>
  </si>
  <si>
    <t>INDBIOWID</t>
  </si>
  <si>
    <t>Industrial Waste (IND)</t>
  </si>
  <si>
    <t>INDBIOWAN</t>
  </si>
  <si>
    <t>Animal waste (IND)</t>
  </si>
  <si>
    <t>INDBIOWCO</t>
  </si>
  <si>
    <t>Waste cooking oils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</si>
  <si>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</si>
  <si>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</si>
  <si>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</si>
  <si>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</si>
  <si>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</si>
  <si>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</si>
  <si>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</si>
  <si>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</si>
  <si>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</si>
  <si>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</si>
  <si>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</si>
  <si>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</si>
  <si>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</si>
  <si>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</si>
  <si>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</si>
  <si>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</si>
  <si>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</si>
  <si>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</si>
  <si>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</si>
  <si>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RSDCOACCL</t>
  </si>
  <si>
    <t>Coking coal (RSD)</t>
  </si>
  <si>
    <t>RSDCOABIC</t>
  </si>
  <si>
    <t>Other bituminous coal (RSD)</t>
  </si>
  <si>
    <t>Lignite/Brown Coal  (RSD)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</si>
  <si>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</si>
  <si>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</si>
  <si>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</si>
  <si>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</si>
  <si>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</si>
  <si>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</si>
  <si>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</si>
  <si>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</si>
  <si>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</si>
  <si>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</si>
  <si>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</si>
  <si>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</si>
  <si>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</si>
  <si>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</si>
  <si>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</si>
  <si>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</si>
  <si>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</si>
  <si>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</si>
  <si>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</si>
  <si>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</si>
  <si>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</si>
  <si>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</si>
  <si>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</si>
  <si>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</si>
  <si>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</si>
  <si>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</si>
  <si>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</si>
  <si>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</si>
  <si>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</si>
  <si>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</si>
  <si>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</si>
  <si>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</si>
  <si>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</si>
  <si>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</si>
  <si>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</si>
  <si>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</si>
  <si>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</si>
  <si>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</si>
  <si>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</si>
  <si>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</si>
  <si>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</si>
  <si>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</si>
  <si>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</si>
  <si>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</si>
  <si>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</si>
  <si>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</si>
  <si>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</si>
  <si>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</si>
  <si>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</si>
  <si>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</si>
  <si>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</si>
  <si>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</si>
  <si>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</si>
  <si>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</si>
  <si>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</si>
  <si>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COMCOACCL</t>
  </si>
  <si>
    <t>Coking coal (COM)</t>
  </si>
  <si>
    <t>COMCOABIC</t>
  </si>
  <si>
    <t>Other bituminous coal (COM)</t>
  </si>
  <si>
    <t>Lignite/Brown Coal  (COM)</t>
  </si>
  <si>
    <t>COMCOACOC</t>
  </si>
  <si>
    <t>Coke oven coke (COM)</t>
  </si>
  <si>
    <t>COMCOACTA</t>
  </si>
  <si>
    <t>Coal tar (COM)</t>
  </si>
  <si>
    <t>COMCOABKB</t>
  </si>
  <si>
    <t>BKB (brown coal briquettes) (COM)</t>
  </si>
  <si>
    <t>COMOILRFG</t>
  </si>
  <si>
    <t>Refinery gas (COM)</t>
  </si>
  <si>
    <t>COMOILDSL</t>
  </si>
  <si>
    <t>Diesel (COM)</t>
  </si>
  <si>
    <t>COMOILGSL</t>
  </si>
  <si>
    <t>Gasoline (COM)</t>
  </si>
  <si>
    <t>COMOILLPG</t>
  </si>
  <si>
    <t>Liquified petroleum gas (COM)</t>
  </si>
  <si>
    <t>COMOILHFO1</t>
  </si>
  <si>
    <t>Low Sulphur Fuel Oil (COM)</t>
  </si>
  <si>
    <t>COMOILHFO2</t>
  </si>
  <si>
    <t>High Sulphur Fuel Oil (COM)</t>
  </si>
  <si>
    <t>COMOILKER</t>
  </si>
  <si>
    <t>Kerosene (COM)</t>
  </si>
  <si>
    <t>COMOILOTH</t>
  </si>
  <si>
    <t>Other petroleum products (COM)</t>
  </si>
  <si>
    <t>COMGASNAT</t>
  </si>
  <si>
    <t>Natural Gas (COM)</t>
  </si>
  <si>
    <t>COMBIOLOG</t>
  </si>
  <si>
    <t>Wood (COM)</t>
  </si>
  <si>
    <t>COMBIOLOGA</t>
  </si>
  <si>
    <t>Agricultural residues (COM)</t>
  </si>
  <si>
    <t>COMBIOLOGF</t>
  </si>
  <si>
    <t>Forrest residues (COM)</t>
  </si>
  <si>
    <t>COMBIOWMU</t>
  </si>
  <si>
    <t>Municipal waste (COM)</t>
  </si>
  <si>
    <t>COMBIOWAN</t>
  </si>
  <si>
    <t>Animal waste (COM)</t>
  </si>
  <si>
    <t>COMBIOWCO</t>
  </si>
  <si>
    <t>Waste cooking oils (COM)</t>
  </si>
  <si>
    <t>COMBIOETH</t>
  </si>
  <si>
    <t>Pure Bioethanol (COM)</t>
  </si>
  <si>
    <t>COMBIODSL</t>
  </si>
  <si>
    <t>Biodiesel (COM)</t>
  </si>
  <si>
    <t>Bioethanol (COM)</t>
  </si>
  <si>
    <t>COMBIOBGS</t>
  </si>
  <si>
    <t>Biogas (COM)</t>
  </si>
  <si>
    <t>COMBIOPLT</t>
  </si>
  <si>
    <t>Pellet (COM)</t>
  </si>
  <si>
    <t>COMBIOCHR</t>
  </si>
  <si>
    <t>Charcoal (COM)</t>
  </si>
  <si>
    <t>COMRESHYD</t>
  </si>
  <si>
    <t>Hydro Energy (COM)</t>
  </si>
  <si>
    <t>COMRESSOL</t>
  </si>
  <si>
    <t>Solar Energy (COM)</t>
  </si>
  <si>
    <t>COMRESWIN</t>
  </si>
  <si>
    <t>Wind Energy (COM)</t>
  </si>
  <si>
    <t>COMRESGEO</t>
  </si>
  <si>
    <t>Geothermal Energy (COM)</t>
  </si>
  <si>
    <t>AGRCOACCL</t>
  </si>
  <si>
    <t>Coking coal (AGR)</t>
  </si>
  <si>
    <t>AGRCOABIC</t>
  </si>
  <si>
    <t>Other bituminous coal (AGR)</t>
  </si>
  <si>
    <t>Lignite/Brown Coal  (AGR)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</si>
  <si>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</si>
  <si>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</si>
  <si>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</si>
  <si>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</si>
  <si>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</si>
  <si>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</si>
  <si>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</si>
  <si>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</si>
  <si>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</si>
  <si>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</si>
  <si>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</si>
  <si>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</si>
  <si>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</si>
  <si>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</si>
  <si>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</si>
  <si>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</si>
  <si>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</si>
  <si>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</si>
  <si>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</si>
  <si>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</si>
  <si>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</si>
  <si>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</si>
  <si>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</si>
  <si>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</si>
  <si>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</si>
  <si>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</si>
  <si>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</si>
  <si>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</si>
  <si>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</si>
  <si>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</si>
  <si>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</si>
  <si>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</si>
  <si>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</si>
  <si>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</si>
  <si>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</si>
  <si>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</si>
  <si>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</si>
  <si>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</si>
  <si>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</si>
  <si>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</si>
  <si>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</si>
  <si>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</si>
  <si>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</si>
  <si>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</si>
  <si>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</si>
  <si>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</si>
  <si>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</si>
  <si>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</si>
  <si>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</si>
  <si>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</si>
  <si>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</si>
  <si>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</si>
  <si>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</si>
  <si>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</si>
  <si>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</si>
  <si>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</si>
  <si>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</si>
  <si>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</si>
  <si>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</si>
  <si>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</si>
  <si>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</si>
  <si>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</si>
  <si>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</si>
  <si>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</si>
  <si>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</si>
  <si>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</si>
  <si>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</si>
  <si>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</si>
  <si>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</si>
  <si>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</si>
  <si>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</si>
  <si>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</si>
  <si>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</si>
  <si>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</si>
  <si>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</si>
  <si>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TRABIOETH</t>
  </si>
  <si>
    <t>Pure Bioethanol (TRA)</t>
  </si>
  <si>
    <t>TRABIODSL</t>
  </si>
  <si>
    <t>Biodiesel (TRA)</t>
  </si>
  <si>
    <t>Bioethanol (TRA)</t>
  </si>
  <si>
    <t>TRABIOBGS</t>
  </si>
  <si>
    <t>Biogas (TRA)</t>
  </si>
  <si>
    <t>ELECOACCL</t>
  </si>
  <si>
    <t>Coking coal (ELE)</t>
  </si>
  <si>
    <t>ELECOABIC</t>
  </si>
  <si>
    <t>Other bituminous coal (ELE)</t>
  </si>
  <si>
    <t>Lignite/Brown Coal  (ELE)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</si>
  <si>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</si>
  <si>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</si>
  <si>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</si>
  <si>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</si>
  <si>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</si>
  <si>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</si>
  <si>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</si>
  <si>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</si>
  <si>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</si>
  <si>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</si>
  <si>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</si>
  <si>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</si>
  <si>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</si>
  <si>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</si>
  <si>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</si>
  <si>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</si>
  <si>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</si>
  <si>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</si>
  <si>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</si>
  <si>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</si>
  <si>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</si>
  <si>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</si>
  <si>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</si>
  <si>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</si>
  <si>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</si>
  <si>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</si>
  <si>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</si>
  <si>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</si>
  <si>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</si>
  <si>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</si>
  <si>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</si>
  <si>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</si>
  <si>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</si>
  <si>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</si>
  <si>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</si>
  <si>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</si>
  <si>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</si>
  <si>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</si>
  <si>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</si>
  <si>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</si>
  <si>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</si>
  <si>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</si>
  <si>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</si>
  <si>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</si>
  <si>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</si>
  <si>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</si>
  <si>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</si>
  <si>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</si>
  <si>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</si>
  <si>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</si>
  <si>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</si>
  <si>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</si>
  <si>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</si>
  <si>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</si>
  <si>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</si>
  <si>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</si>
  <si>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</si>
  <si>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</si>
  <si>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</si>
  <si>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</si>
  <si>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</si>
  <si>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</si>
  <si>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</si>
  <si>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</si>
  <si>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</si>
  <si>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HETCOACCL</t>
  </si>
  <si>
    <t>Coking coal (HET)</t>
  </si>
  <si>
    <t>HETCOABIC</t>
  </si>
  <si>
    <t>Other bituminous coal (HET)</t>
  </si>
  <si>
    <t>Lignite/Brown Coal  (HET)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</si>
  <si>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</si>
  <si>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</si>
  <si>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</si>
  <si>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</si>
  <si>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</si>
  <si>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</si>
  <si>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</si>
  <si>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</si>
  <si>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</si>
  <si>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</si>
  <si>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</si>
  <si>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</si>
  <si>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</si>
  <si>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</si>
  <si>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</si>
  <si>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</si>
  <si>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</si>
  <si>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</si>
  <si>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</si>
  <si>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</si>
  <si>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</si>
  <si>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</si>
  <si>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</si>
  <si>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</si>
  <si>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</si>
  <si>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</si>
  <si>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</si>
  <si>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</si>
  <si>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</si>
  <si>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</si>
  <si>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</si>
  <si>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</si>
  <si>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</si>
  <si>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</si>
  <si>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</si>
  <si>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</si>
  <si>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</si>
  <si>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</si>
  <si>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</si>
  <si>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</si>
  <si>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</si>
  <si>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</si>
  <si>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</si>
  <si>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</si>
  <si>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</si>
  <si>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</si>
  <si>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</si>
  <si>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</si>
  <si>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</si>
  <si>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</si>
  <si>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</si>
  <si>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</si>
  <si>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</si>
  <si>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</si>
  <si>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</si>
  <si>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</si>
  <si>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</si>
  <si>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</si>
  <si>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</si>
  <si>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</si>
  <si>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</si>
  <si>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</si>
  <si>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</si>
  <si>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ELCHIG</t>
  </si>
  <si>
    <t>DAYNITE</t>
  </si>
  <si>
    <t>High Voltage electricity after losses</t>
  </si>
  <si>
    <t>ELCHIGG</t>
  </si>
  <si>
    <t>High Voltage electricity before Losses</t>
  </si>
  <si>
    <t>ELCMED</t>
  </si>
  <si>
    <t>Medium Voltage electricity</t>
  </si>
  <si>
    <t>ELCLOW</t>
  </si>
  <si>
    <t>Low Voltage electricity</t>
  </si>
  <si>
    <t>SUPELC</t>
  </si>
  <si>
    <t>Electricity (SUP)</t>
  </si>
  <si>
    <t>INDELC</t>
  </si>
  <si>
    <t>Electricity (IND)</t>
  </si>
  <si>
    <t>RSDELC</t>
  </si>
  <si>
    <t>Electricity (RSD)</t>
  </si>
  <si>
    <t>COMELC</t>
  </si>
  <si>
    <t>Electricity (COM)</t>
  </si>
  <si>
    <t>AGRELC</t>
  </si>
  <si>
    <t>Electricity (AGR)</t>
  </si>
  <si>
    <t>TRAELC</t>
  </si>
  <si>
    <t>Electricity (TRA)</t>
  </si>
  <si>
    <t>HETELC</t>
  </si>
  <si>
    <t>Electricity (HET)</t>
  </si>
  <si>
    <t>ELCMLO</t>
  </si>
  <si>
    <t>Medium-Low Voltage electricity</t>
  </si>
  <si>
    <t>RSDLTH</t>
  </si>
  <si>
    <t xml:space="preserve">Heat </t>
  </si>
  <si>
    <t>* Defined Commodities</t>
  </si>
  <si>
    <t>Default Units</t>
  </si>
  <si>
    <t>BASE_YEAR</t>
  </si>
  <si>
    <t>Energy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</si>
  <si>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</si>
  <si>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</si>
  <si>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</si>
  <si>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</si>
  <si>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</si>
  <si>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</si>
  <si>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</si>
  <si>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Attribute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</si>
  <si>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</si>
  <si>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</si>
  <si>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</si>
  <si>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</si>
  <si>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</si>
  <si>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</si>
  <si>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</si>
  <si>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</si>
  <si>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</si>
  <si>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</si>
  <si>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ACT_BND</t>
  </si>
  <si>
    <t>Annual Bound</t>
  </si>
  <si>
    <t>PRC_CAPACT</t>
  </si>
  <si>
    <t>Capacity to Activity</t>
  </si>
  <si>
    <t>GJ/kW</t>
  </si>
  <si>
    <t>PRC_RESID</t>
  </si>
  <si>
    <t>Existing Capacity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</si>
  <si>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</si>
  <si>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</si>
  <si>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</si>
  <si>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</si>
  <si>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</si>
  <si>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</si>
  <si>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Residential</t>
  </si>
  <si>
    <t>000dwellings</t>
  </si>
  <si>
    <t>Capacity unit</t>
  </si>
  <si>
    <t>Yes</t>
  </si>
  <si>
    <t>ACT_COST</t>
  </si>
  <si>
    <t>NCAP_AFA</t>
  </si>
  <si>
    <t>NCAP_COST</t>
  </si>
  <si>
    <t>* Definition of the Processes used in this worksheet</t>
  </si>
  <si>
    <t>Processes</t>
  </si>
  <si>
    <t>N</t>
  </si>
  <si>
    <t>*TechDesc</t>
  </si>
  <si>
    <t>* Technology Name</t>
  </si>
  <si>
    <t>*Process Set Membership</t>
  </si>
  <si>
    <t>TimeSlice level of Process Activity</t>
  </si>
  <si>
    <t>Primary Commodity Group</t>
  </si>
  <si>
    <t>*Units</t>
  </si>
  <si>
    <t>DMD</t>
  </si>
  <si>
    <t>Residential Buildings</t>
  </si>
  <si>
    <t>New Buildings</t>
  </si>
  <si>
    <t>YEAR</t>
  </si>
  <si>
    <t>Source</t>
  </si>
  <si>
    <t>Utilisation Factor</t>
  </si>
  <si>
    <t>Investment Cost</t>
  </si>
  <si>
    <t>Capacity to Activity Factor</t>
  </si>
  <si>
    <t>[0 - 1]</t>
  </si>
  <si>
    <t>PRE</t>
  </si>
  <si>
    <t>Max Share of How water output</t>
  </si>
  <si>
    <t>Efficiency for Cooling</t>
  </si>
  <si>
    <t>Efficiency for Hot water</t>
  </si>
  <si>
    <t>Efficiency for Space Heating'</t>
  </si>
  <si>
    <t>Geothermal Heat Share</t>
  </si>
  <si>
    <t>New Technologies for Space Cooling only</t>
  </si>
  <si>
    <t>New Technologies for Space Heating (with dual output for Space Cooling and Water heating).</t>
  </si>
  <si>
    <t>New Technologies for Hot Water only</t>
  </si>
  <si>
    <t>Solar Fraction</t>
  </si>
  <si>
    <t>New Technologies for Cooking</t>
  </si>
  <si>
    <t>INPUT</t>
  </si>
  <si>
    <t>Fuel Input per unit output</t>
  </si>
  <si>
    <t>Efficiency</t>
  </si>
  <si>
    <t>INCOST</t>
  </si>
  <si>
    <t>New Technologies for Lighting</t>
  </si>
  <si>
    <t>New Technologies for Refrigerating</t>
  </si>
  <si>
    <t>New Technologies for Cloth Washing</t>
  </si>
  <si>
    <t>New Technologies for Dish Washing</t>
  </si>
  <si>
    <t>New Technologies for Other Appliances</t>
  </si>
  <si>
    <t>~FI_Comm</t>
  </si>
  <si>
    <t>\I: Commodity Set Membership</t>
  </si>
  <si>
    <t>Balance Equ Type Override</t>
  </si>
  <si>
    <t>Timeslice Tracking Level</t>
  </si>
  <si>
    <t>Building Retrofit Options</t>
  </si>
  <si>
    <t>Process Definition and Structure for Retrofits</t>
  </si>
  <si>
    <t>IMP</t>
  </si>
  <si>
    <t>TJ/dwelling</t>
  </si>
  <si>
    <t>Dum_RSD_Retrofit</t>
  </si>
  <si>
    <t>000s_Units</t>
  </si>
  <si>
    <t>Cost</t>
  </si>
  <si>
    <t>AF~FX</t>
  </si>
  <si>
    <t>AF~FX~0</t>
  </si>
  <si>
    <t>*Technology Name</t>
  </si>
  <si>
    <t>*Units:</t>
  </si>
  <si>
    <t>Dummy Control of Total Retrofits</t>
  </si>
  <si>
    <t>NRGI</t>
  </si>
  <si>
    <t xml:space="preserve">Dummy Process to control Total Retrofits </t>
  </si>
  <si>
    <t>SEASON</t>
  </si>
  <si>
    <t/>
  </si>
  <si>
    <t xml:space="preserve"> </t>
  </si>
  <si>
    <t>RSD_DTA1_SH</t>
  </si>
  <si>
    <t>RSD_APA1_SH</t>
  </si>
  <si>
    <t>RSD_DTA1_WH</t>
  </si>
  <si>
    <t>RSD_APA1_WH</t>
  </si>
  <si>
    <t>RSD_DTA1_SC</t>
  </si>
  <si>
    <t>RSD_APA1_SC</t>
  </si>
  <si>
    <t>RSD_DTA1_CK</t>
  </si>
  <si>
    <t>RSD_APA1_CK</t>
  </si>
  <si>
    <t>RSD_DTA1_LI</t>
  </si>
  <si>
    <t>RSD_APA1_LI</t>
  </si>
  <si>
    <t>RSD_DTA1_RF</t>
  </si>
  <si>
    <t>RSD_APA1_RF</t>
  </si>
  <si>
    <t>RSD_DTA1_CW</t>
  </si>
  <si>
    <t>RSD_APA1_CW</t>
  </si>
  <si>
    <t>RSD_DTA1_DW</t>
  </si>
  <si>
    <t>RSD_APA1_DW</t>
  </si>
  <si>
    <t>RSD_DTA1_AP</t>
  </si>
  <si>
    <t>RSD_APA1_AP</t>
  </si>
  <si>
    <t>RSD_DTA2_SH</t>
  </si>
  <si>
    <t>RSD_APA2_SH</t>
  </si>
  <si>
    <t>RSD_DTA2_WH</t>
  </si>
  <si>
    <t>RSD_APA2_WH</t>
  </si>
  <si>
    <t>RSD_DTA2_SC</t>
  </si>
  <si>
    <t>RSD_APA2_SC</t>
  </si>
  <si>
    <t>RSD_DTA2_CK</t>
  </si>
  <si>
    <t>RSD_APA2_CK</t>
  </si>
  <si>
    <t>RSD_DTA2_LI</t>
  </si>
  <si>
    <t>RSD_APA2_LI</t>
  </si>
  <si>
    <t>RSD_DTA2_RF</t>
  </si>
  <si>
    <t>RSD_APA2_RF</t>
  </si>
  <si>
    <t>RSD_DTA2_CW</t>
  </si>
  <si>
    <t>RSD_APA2_CW</t>
  </si>
  <si>
    <t>RSD_DTA2_DW</t>
  </si>
  <si>
    <t>RSD_APA2_DW</t>
  </si>
  <si>
    <t>RSD_DTA2_AP</t>
  </si>
  <si>
    <t>RSD_APA2_AP</t>
  </si>
  <si>
    <t>RSD_DTA3_SH</t>
  </si>
  <si>
    <t>RSD_APA3_SH</t>
  </si>
  <si>
    <t>RSD_DTA3_WH</t>
  </si>
  <si>
    <t>RSD_APA3_WH</t>
  </si>
  <si>
    <t>RSD_DTA3_SC</t>
  </si>
  <si>
    <t>RSD_APA3_SC</t>
  </si>
  <si>
    <t>RSD_DTA3_CK</t>
  </si>
  <si>
    <t>RSD_APA3_CK</t>
  </si>
  <si>
    <t>RSD_DTA3_LI</t>
  </si>
  <si>
    <t>RSD_APA3_LI</t>
  </si>
  <si>
    <t>RSD_DTA3_RF</t>
  </si>
  <si>
    <t>RSD_APA3_RF</t>
  </si>
  <si>
    <t>RSD_DTA3_CW</t>
  </si>
  <si>
    <t>RSD_APA3_CW</t>
  </si>
  <si>
    <t>RSD_DTA3_DW</t>
  </si>
  <si>
    <t>RSD_APA3_DW</t>
  </si>
  <si>
    <t>RSD_DTA3_AP</t>
  </si>
  <si>
    <t>RSD_APA3_AP</t>
  </si>
  <si>
    <t>RSD_DTA4_SH</t>
  </si>
  <si>
    <t>RSD_APA4_SH</t>
  </si>
  <si>
    <t>RSD_DTA4_WH</t>
  </si>
  <si>
    <t>RSD_APA4_WH</t>
  </si>
  <si>
    <t>RSD_DTA4_SC</t>
  </si>
  <si>
    <t>RSD_APA4_SC</t>
  </si>
  <si>
    <t>RSD_DTA4_CK</t>
  </si>
  <si>
    <t>RSD_APA4_CK</t>
  </si>
  <si>
    <t>RSD_DTA4_LI</t>
  </si>
  <si>
    <t>RSD_APA4_LI</t>
  </si>
  <si>
    <t>RSD_DTA4_RF</t>
  </si>
  <si>
    <t>RSD_APA4_RF</t>
  </si>
  <si>
    <t>RSD_DTA4_CW</t>
  </si>
  <si>
    <t>RSD_APA4_CW</t>
  </si>
  <si>
    <t>RSD_DTA4_DW</t>
  </si>
  <si>
    <t>RSD_APA4_DW</t>
  </si>
  <si>
    <t>RSD_DTA4_AP</t>
  </si>
  <si>
    <t>RSD_APA4_AP</t>
  </si>
  <si>
    <t>Detached - A1 Space Heating</t>
  </si>
  <si>
    <t>Detached - A1 Water Heating</t>
  </si>
  <si>
    <t>Detached - A1 Space Cooling</t>
  </si>
  <si>
    <t>Detached - A1 Cooking</t>
  </si>
  <si>
    <t>Detached - A1 Lighting</t>
  </si>
  <si>
    <t>Detached - A1 Refrigerating</t>
  </si>
  <si>
    <t>Detached - A1 Cloth Washing</t>
  </si>
  <si>
    <t>Detached - A1 Dish Washing</t>
  </si>
  <si>
    <t>Detached - A1 Other Appliances</t>
  </si>
  <si>
    <t>Detached - A2 Space Heating</t>
  </si>
  <si>
    <t>Detached - A2 Water Heating</t>
  </si>
  <si>
    <t>Detached - A2 Space Cooling</t>
  </si>
  <si>
    <t>Detached - A2 Cooking</t>
  </si>
  <si>
    <t>Detached - A2 Lighting</t>
  </si>
  <si>
    <t>Detached - A2 Refrigerating</t>
  </si>
  <si>
    <t>Detached - A2 Cloth Washing</t>
  </si>
  <si>
    <t>Detached - A2 Dish Washing</t>
  </si>
  <si>
    <t>Detached - A2 Other Appliances</t>
  </si>
  <si>
    <t>Detached - A3 Space Heating</t>
  </si>
  <si>
    <t>Detached - A3 Water Heating</t>
  </si>
  <si>
    <t>Detached - A3 Space Cooling</t>
  </si>
  <si>
    <t>Detached - A3 Cooking</t>
  </si>
  <si>
    <t>Detached - A3 Lighting</t>
  </si>
  <si>
    <t>Detached - A3 Refrigerating</t>
  </si>
  <si>
    <t>Detached - A3 Cloth Washing</t>
  </si>
  <si>
    <t>Detached - A3 Dish Washing</t>
  </si>
  <si>
    <t>Detached - A3 Other Appliances</t>
  </si>
  <si>
    <t>Detached - A4 Space Heating</t>
  </si>
  <si>
    <t>Detached - A4 Water Heating</t>
  </si>
  <si>
    <t>Detached - A4 Cooking</t>
  </si>
  <si>
    <t>Detached - A4 Lighting</t>
  </si>
  <si>
    <t>Detached - A4 Refrigerating</t>
  </si>
  <si>
    <t>Detached - A4 Cloth Washing</t>
  </si>
  <si>
    <t>Detached - A4 Dish Washing</t>
  </si>
  <si>
    <t>Detached - A4 Other Appliances</t>
  </si>
  <si>
    <t>RSD_DTA1</t>
  </si>
  <si>
    <t>RSD_APA1</t>
  </si>
  <si>
    <t>RSD_DTA2</t>
  </si>
  <si>
    <t>RSD_APA2</t>
  </si>
  <si>
    <t>RSD_DTA3</t>
  </si>
  <si>
    <t>RSD_APA3</t>
  </si>
  <si>
    <t>RSD_DTA4</t>
  </si>
  <si>
    <t>RSD_APA4</t>
  </si>
  <si>
    <t>Apartment - A1 Space Heating</t>
  </si>
  <si>
    <t>Apartment - A2 Space Heating</t>
  </si>
  <si>
    <t>Apartment-A3 Space Heating</t>
  </si>
  <si>
    <t>Apartment-A4 Space Heating</t>
  </si>
  <si>
    <t>Apartment - A1 Water Heating</t>
  </si>
  <si>
    <t>Apartment - A2 Water Heating</t>
  </si>
  <si>
    <t>Apartment-A3 Water Heating</t>
  </si>
  <si>
    <t>Apartment-A4 Water Heating</t>
  </si>
  <si>
    <t>Apartment - A1 Space Cooling</t>
  </si>
  <si>
    <t>Apartment - A2 Space Cooling</t>
  </si>
  <si>
    <t>Apartment-A4 Space Cooling</t>
  </si>
  <si>
    <t>Apartment - A1 Cooking</t>
  </si>
  <si>
    <t>Apartment - A2 Cooking</t>
  </si>
  <si>
    <t>Apartment-A3 Cooking</t>
  </si>
  <si>
    <t>Apartment-A4 Cooking</t>
  </si>
  <si>
    <t>Apartment - A1 Lighting</t>
  </si>
  <si>
    <t>Apartment - A2 Lighting</t>
  </si>
  <si>
    <t>Apartment-A3 Lighting</t>
  </si>
  <si>
    <t>Apartment-A4 Lighting</t>
  </si>
  <si>
    <t>Apartment - A1 Refrigerating</t>
  </si>
  <si>
    <t>Apartment - A2 Refrigerating</t>
  </si>
  <si>
    <t>Apartment-A3 Refrigerating</t>
  </si>
  <si>
    <t>Apartment-A4 Refrigerating</t>
  </si>
  <si>
    <t>Apartment - A1 Cloth Washing</t>
  </si>
  <si>
    <t>Apartment - A2 Cloth Washing</t>
  </si>
  <si>
    <t>Apartment-A3 Cloth Washing</t>
  </si>
  <si>
    <t>Apartment-A4 Cloth Washing</t>
  </si>
  <si>
    <t>Apartment - A1 Dish Washing</t>
  </si>
  <si>
    <t>Apartment - A2 Dish Washing</t>
  </si>
  <si>
    <t>Apartment-A3 Dish Washing</t>
  </si>
  <si>
    <t>Apartment-A4 Dish Washing</t>
  </si>
  <si>
    <t>Apartment - A1 Other Appliances</t>
  </si>
  <si>
    <t>Apartment - A2 Other Appliances</t>
  </si>
  <si>
    <t>Apartment-A3 Other Appliances</t>
  </si>
  <si>
    <t>Apartment-A4 Other Appliances</t>
  </si>
  <si>
    <t>Detached -A4 Space Cooling</t>
  </si>
  <si>
    <t>New Detached-A1</t>
  </si>
  <si>
    <t>New Apartment-A1</t>
  </si>
  <si>
    <t>New Detached-A2</t>
  </si>
  <si>
    <t>New Detached-A3</t>
  </si>
  <si>
    <t>New Detached-A4</t>
  </si>
  <si>
    <t>New Apartment-A2</t>
  </si>
  <si>
    <t>New Apartment-A3</t>
  </si>
  <si>
    <t>New Apartment-A4</t>
  </si>
  <si>
    <t>Detached A1 SpCool A/C (Class B) (N)</t>
  </si>
  <si>
    <t>Detached A1 SpCool Fans (N)</t>
  </si>
  <si>
    <t>Detached A1 SpCool A/C (Class A) (N)</t>
  </si>
  <si>
    <t>Detached A1 SpCool A/C (Class A+) (N)</t>
  </si>
  <si>
    <t>Detached A1 SpCool A/C (Class A++) (N)</t>
  </si>
  <si>
    <t>Apartment A1 SpCool A/C (Class B) (N)</t>
  </si>
  <si>
    <t>Apartment A1 SpCool Fans (N)</t>
  </si>
  <si>
    <t>Apartment A1 SpCool A/C (Class A) (N)</t>
  </si>
  <si>
    <t>Apartment A1 SpCool A/C (Class A+) (N)</t>
  </si>
  <si>
    <t>Apartment A1 SpCool A/C (Class A++) (N)</t>
  </si>
  <si>
    <t>Detached A2 SpCool A/C (Class B) (N)</t>
  </si>
  <si>
    <t>Detached A2 SpCool Fans (N)</t>
  </si>
  <si>
    <t>Detached A2 SpCool A/C (Class A) (N)</t>
  </si>
  <si>
    <t>Detached A2 SpCool A/C (Class A+) (N)</t>
  </si>
  <si>
    <t>Detached A2 SpCool A/C (Class A++) (N)</t>
  </si>
  <si>
    <t>Apartment A2 SpCool A/C (Class B) (N)</t>
  </si>
  <si>
    <t>Apartment A2 SpCool Fans (N)</t>
  </si>
  <si>
    <t>Apartment A2 SpCool A/C (Class A) (N)</t>
  </si>
  <si>
    <t>Apartment A2 SpCool A/C (Class A+) (N)</t>
  </si>
  <si>
    <t>Apartment A2 SpCool A/C (Class A++) (N)</t>
  </si>
  <si>
    <t>Detached A3   SpCool A/C (Class B) (N)</t>
  </si>
  <si>
    <t>Detached A3   SpCool Fans (N)</t>
  </si>
  <si>
    <t>Detached A3   SpCool A/C (Class A) (N)</t>
  </si>
  <si>
    <t>Detached A3   SpCool A/C (Class A+) (N)</t>
  </si>
  <si>
    <t>Detached A3   SpCool A/C (Class A++) (N)</t>
  </si>
  <si>
    <t>Apartment A3 SpCool A/C (Class B) (N)</t>
  </si>
  <si>
    <t>Apartment A3 SpCool Fans (N)</t>
  </si>
  <si>
    <t>Apartment A3 Central A/C(N)</t>
  </si>
  <si>
    <t>Apartment A3 SpCool A/C (Class A) (N)</t>
  </si>
  <si>
    <t>Apartment A3 SpCool A/C (Class A+) (N)</t>
  </si>
  <si>
    <t>Apartment A3 SpCool A/C (Class A++) (N)</t>
  </si>
  <si>
    <t>Detached A4   SpCool A/C (Class B) (N)</t>
  </si>
  <si>
    <t>Detached A4   SpCool Fans (N)</t>
  </si>
  <si>
    <t>Detached A4   SpCool A/C (Class A) (N)</t>
  </si>
  <si>
    <t>Detached A4   SpCool A/C (Class A+) (N)</t>
  </si>
  <si>
    <t>Detached A4   SpCool A/C (Class A++) (N)</t>
  </si>
  <si>
    <t>Apartment A4 SpCool A/C (Class B) (N)</t>
  </si>
  <si>
    <t>Apartment A4 SpCool Fans (N)</t>
  </si>
  <si>
    <t>Apartment A4 SpCool A/C (Class A) (N)</t>
  </si>
  <si>
    <t>Apartment A4 SpCool A/C (Class A+) (N)</t>
  </si>
  <si>
    <t>Apartment A4 SpCool A/C (Class A++) (N)</t>
  </si>
  <si>
    <t>Detached A4 WaterHeat Electric Standard (N)</t>
  </si>
  <si>
    <t>Detached A4 WaterHeat Electric Improved (N)</t>
  </si>
  <si>
    <t>Detached A4 WaterHear Gas Standard (N)</t>
  </si>
  <si>
    <t>Detached A4 WaterHear Gas Improved (N)</t>
  </si>
  <si>
    <t>Detached A4 WaterHear Gas Advanced (N)</t>
  </si>
  <si>
    <t>Detached A4 WaterHeat Dist. Heating  Improved (N)</t>
  </si>
  <si>
    <t>Detached A4 WaterHeat Solar-Electric Improved (N)</t>
  </si>
  <si>
    <t>Detached A4 WaterHeat Solar-Gas Improved (N)</t>
  </si>
  <si>
    <t>Detached A4 WaterHeat Coal Standard (N)</t>
  </si>
  <si>
    <t>Detached A4 WaterHeat LPG Standard (N)</t>
  </si>
  <si>
    <t>Detached A3   WaterHeat Electric Standard (N)</t>
  </si>
  <si>
    <t>Detached A3   WaterHeat Electric Improved (N)</t>
  </si>
  <si>
    <t>Detached A3   WaterHear Gas Standard (N)</t>
  </si>
  <si>
    <t>Detached A3   WaterHear Gas Improved (N)</t>
  </si>
  <si>
    <t>Detached A3   WaterHear Gas Advanced (N)</t>
  </si>
  <si>
    <t>Detached A3   WaterHeat Dist. Heating  Improved (N)</t>
  </si>
  <si>
    <t>Detached A3   WaterHeat Solar-Electric Improved (N)</t>
  </si>
  <si>
    <t>Detached A3   WaterHeat Solar-Gas Improved (N)</t>
  </si>
  <si>
    <t>Detached A3 WaterHeat Coal Standard (N)</t>
  </si>
  <si>
    <t>Detached A3 WaterHeat LPG Standard (N)</t>
  </si>
  <si>
    <t>Detached A2 WaterHeat Electric Standard (N)</t>
  </si>
  <si>
    <t>Detached A2 WaterHeat Electric Improved (N)</t>
  </si>
  <si>
    <t>Detached A2 WaterHear Gas Standard (N)</t>
  </si>
  <si>
    <t>Detached A2 WaterHear Gas Improved (N)</t>
  </si>
  <si>
    <t>Detached A2 WaterHear Gas Advanced (N)</t>
  </si>
  <si>
    <t>Detached A2 WaterHeat Dist. Heating  Improved (N)</t>
  </si>
  <si>
    <t>Detached A2 WaterHeat Solar-Electric Improved (N)</t>
  </si>
  <si>
    <t>Detached A2 WaterHeat Solar-Gas Improved (N)</t>
  </si>
  <si>
    <t>Detached A2 WaterHeat Coal Standard (N)</t>
  </si>
  <si>
    <t>Detached A2 WaterHeat LPG Standard (N)</t>
  </si>
  <si>
    <t>Detached A1 WaterHeat Electric Standard (N)</t>
  </si>
  <si>
    <t>Detached A1 WaterHeat Electric Improved (N)</t>
  </si>
  <si>
    <t>Detached A1 WaterHear Gas Standard (N)</t>
  </si>
  <si>
    <t>Detached A1 WaterHear Gas Improved (N)</t>
  </si>
  <si>
    <t>Detached A1 WaterHear Advanced Gas (N)</t>
  </si>
  <si>
    <t>Detached A1 WaterHear Dist. Heating Improved (N)</t>
  </si>
  <si>
    <t>Detached A1 WaterHeat Solar-Electric Improved (N)</t>
  </si>
  <si>
    <t>Detached A1 WaterHeat Solar-Gas Improved (N)</t>
  </si>
  <si>
    <t>Detached A1 WaterHeat Coal Standard (N)</t>
  </si>
  <si>
    <t>Detached A1 WaterHeat LPG Standard (N)</t>
  </si>
  <si>
    <t>Apartment A1 WaterHeat Electric Standard (N)</t>
  </si>
  <si>
    <t>Apartment A1 WaterHeat Electric Improved (N)</t>
  </si>
  <si>
    <t>Apartment A1 WaterHear Gas Standard (N)</t>
  </si>
  <si>
    <t>Apartment A1 WaterHear Gas Improved (N)</t>
  </si>
  <si>
    <t>Apartment A1 WaterHear Gas Advanced (N)</t>
  </si>
  <si>
    <t>Apartment A1 WaterHeat Dist. Heating  Improved (N)</t>
  </si>
  <si>
    <t>Apartment A1 WaterHeat Solar-Electric Improved (N)</t>
  </si>
  <si>
    <t>Apartment A1 WaterHeat Solar-Gas Improved (N)</t>
  </si>
  <si>
    <t>Apartment A1  WaterHeat Coal Standard (N)</t>
  </si>
  <si>
    <t>Apartment A1 WaterHeat LPG Standard (N)</t>
  </si>
  <si>
    <t>Apartment A2 WaterHeat Electric Standard (N)</t>
  </si>
  <si>
    <t>Apartment A2 WaterHeat Electric Improved (N)</t>
  </si>
  <si>
    <t>Apartment A2 WaterHear Gas Standard (N)</t>
  </si>
  <si>
    <t>Apartment A2 WaterHear Gas Improved (N)</t>
  </si>
  <si>
    <t>Apartment A2 WaterHear Gas Advanced (N)</t>
  </si>
  <si>
    <t>Apartment A2 WaterHeat Dist. Heating  Improved (N)</t>
  </si>
  <si>
    <t>Apartment A2 WaterHeat Solar-Electric Improved (N)</t>
  </si>
  <si>
    <t>Apartment A2 WaterHeat Solar-Gas Improved (N)</t>
  </si>
  <si>
    <t>Apartment A2 WaterHeat Coal Standard (N)</t>
  </si>
  <si>
    <t>Apartment A2 WaterHeat LPG Standard (N)</t>
  </si>
  <si>
    <t>Apartment A3 WaterHeat Electric Standard (N)</t>
  </si>
  <si>
    <t>Apartment A3 WaterHeat Electric Improved (N)</t>
  </si>
  <si>
    <t>Apartment A3 WaterHear Gas Standard (N)</t>
  </si>
  <si>
    <t>Apartment A3 WaterHear Gas Improved (N)</t>
  </si>
  <si>
    <t>Apartment A3 WaterHear Gas Advanced (N)</t>
  </si>
  <si>
    <t>Apartment A3 WaterHeat Dist. Heating  Improved (N)</t>
  </si>
  <si>
    <t>Apartment A3 WaterHeat Solar-Electric Improved (N)</t>
  </si>
  <si>
    <t>Apartment A3 WaterHeat Solar-Gas Improved (N)</t>
  </si>
  <si>
    <t>Apartment A3 WaterHeat Coal Standard (N)</t>
  </si>
  <si>
    <t>Apartment A3 WaterHeat LPG Standard (N)</t>
  </si>
  <si>
    <t>Apartment A4 WaterHeat Electric Standard (N)</t>
  </si>
  <si>
    <t>Apartment A4 WaterHeat Electric Improved (N)</t>
  </si>
  <si>
    <t>Apartment A4 WaterHear Gas Standard (N)</t>
  </si>
  <si>
    <t>Apartment A4 WaterHear Gas Improved (N)</t>
  </si>
  <si>
    <t>Apartment A4 WaterHear Gas Advanced (N)</t>
  </si>
  <si>
    <t>Apartment A4 WaterHeat Dist. Heating  Improved (N)</t>
  </si>
  <si>
    <t>Apartment A4 WaterHeat Solar-Electric Improved (N)</t>
  </si>
  <si>
    <t>Apartment A4 WaterHeat Solar-Gas Improved (N)</t>
  </si>
  <si>
    <t>Apartment A4 WaterHeat Coal Standard (N)</t>
  </si>
  <si>
    <t>Apartment A4 WaterHeat LPG Standard (N)</t>
  </si>
  <si>
    <t>Detached A1 Cook Gas Standard (N)</t>
  </si>
  <si>
    <t>Detached A1 Cook Gas Improved (N)</t>
  </si>
  <si>
    <t>Detached A1 Cook Gas Advanced (N)</t>
  </si>
  <si>
    <t>Detached A1 Cook LPG Standard (N)</t>
  </si>
  <si>
    <t>Detached A1 Cook LPG Improved (N)</t>
  </si>
  <si>
    <t>Detached A1 Cook LPG Advanced (N)</t>
  </si>
  <si>
    <t>Detached A1 Cook Electric Standard (N)</t>
  </si>
  <si>
    <t>Detached A1 Cook Electric Improved (N)</t>
  </si>
  <si>
    <t>Detached A1 Cook Electric Advanced (N)</t>
  </si>
  <si>
    <t>Apartment A1 Cook Gas Standard (N)</t>
  </si>
  <si>
    <t>Apartment A1 Cook Gas Improved (N)</t>
  </si>
  <si>
    <t>Apartment A1 Cook Gas Advanced (N)</t>
  </si>
  <si>
    <t>Apartment A1 Cook LPG Standard (N)</t>
  </si>
  <si>
    <t>Apartment A1 Cook LPG Improved (N)</t>
  </si>
  <si>
    <t>Apartment A1 Cook LPG Advanced (N)</t>
  </si>
  <si>
    <t>Apartment A1 Cook Electric Standard (N)</t>
  </si>
  <si>
    <t>Apartment A1 Cook Electric Improved (N)</t>
  </si>
  <si>
    <t>Apartment A1 Cook Electric Advanced (N)</t>
  </si>
  <si>
    <t>Detached A2 Cook Gas Standard (N)</t>
  </si>
  <si>
    <t>Detached A2 Cook Gas Improved (N)</t>
  </si>
  <si>
    <t>Detached A2 Cook Gas Advanced (N)</t>
  </si>
  <si>
    <t>Detached A2 Cook LPG Standard (N)</t>
  </si>
  <si>
    <t>Detached A2 Cook LPG Improved (N)</t>
  </si>
  <si>
    <t>Detached A2 Cook LPG Advanced (N)</t>
  </si>
  <si>
    <t>Detached A2 Cook Electric Standard (N)</t>
  </si>
  <si>
    <t>Detached A2 Cook Electric Improved (N)</t>
  </si>
  <si>
    <t>Detached A2 Cook Electric Advanced (N)</t>
  </si>
  <si>
    <t>Apartment A2 Cook Gas Standard (N)</t>
  </si>
  <si>
    <t>Apartment A2 Cook Gas Improved (N)</t>
  </si>
  <si>
    <t>Apartment A2 Cook Gas Advanced (N)</t>
  </si>
  <si>
    <t>Apartment A2 Cook LPG Standard (N)</t>
  </si>
  <si>
    <t>Apartment A2 Cook LPG Improved (N)</t>
  </si>
  <si>
    <t>Apartment A2 Cook LPG Advanced (N)</t>
  </si>
  <si>
    <t>Apartment A2 Cook Electric Standard (N)</t>
  </si>
  <si>
    <t>Apartment A2 Cook Electric Improved (N)</t>
  </si>
  <si>
    <t>Apartment A2 Cook Electric Advanced (N)</t>
  </si>
  <si>
    <t>Detached A3  Cook Gas Standard (N)</t>
  </si>
  <si>
    <t>Detached A3  Cook Gas Improved (N)</t>
  </si>
  <si>
    <t>Detached A3  Cook Gas Advanced (N)</t>
  </si>
  <si>
    <t>Detached A3  Cook LPG Standard (N)</t>
  </si>
  <si>
    <t>Detached A3  Cook LPG Improved (N)</t>
  </si>
  <si>
    <t>Detached A3  Cook LPG Advanced (N)</t>
  </si>
  <si>
    <t>Detached A3  Cook Electric Standard (N)</t>
  </si>
  <si>
    <t>Detached A3  Cook Electric Improved (N)</t>
  </si>
  <si>
    <t>Detached A3  Cook Electric Advanced (N)</t>
  </si>
  <si>
    <t>Apartment A3 Cook Gas Standard (N)</t>
  </si>
  <si>
    <t>Apartment A3 Cook Gas Improved (N)</t>
  </si>
  <si>
    <t>Apartment A3 Cook Gas Advanced (N)</t>
  </si>
  <si>
    <t>Apartment A3 Cook LPG Standard (N)</t>
  </si>
  <si>
    <t>Apartment A3 Cook LPG Improved (N)</t>
  </si>
  <si>
    <t>Apartment A3 Cook LPG Advanced (N)</t>
  </si>
  <si>
    <t>Apartment A3 Cook Electric Standard (N)</t>
  </si>
  <si>
    <t>Apartment A3 Cook Electric Improved (N)</t>
  </si>
  <si>
    <t>Apartment A3 Cook Electric Advanced (N)</t>
  </si>
  <si>
    <t>Detached A4  Cook Gas Standard (N)</t>
  </si>
  <si>
    <t>Detached A4  Cook Gas Improved (N)</t>
  </si>
  <si>
    <t>Detached A4  Cook Gas Advanced (N)</t>
  </si>
  <si>
    <t>Detached A4  Cook LPG Standard (N)</t>
  </si>
  <si>
    <t>Detached A4  Cook LPG Improved (N)</t>
  </si>
  <si>
    <t>Detached A4  Cook LPG Advanced (N)</t>
  </si>
  <si>
    <t>Detached A4  Cook Electric Standard (N)</t>
  </si>
  <si>
    <t>Detached A4  Cook Electric Improved (N)</t>
  </si>
  <si>
    <t>Detached A4  Cook Electric Advanced (N)</t>
  </si>
  <si>
    <t>Apartment A4 Cook Gas Standard (N)</t>
  </si>
  <si>
    <t>Apartment A4 Cook Gas Improved (N)</t>
  </si>
  <si>
    <t>Apartment A4 Cook Gas Advanced (N)</t>
  </si>
  <si>
    <t>Apartment A4 Cook LPG Standard (N)</t>
  </si>
  <si>
    <t>Apartment A4 Cook LPG Improved (N)</t>
  </si>
  <si>
    <t>Apartment A4 Cook LPG Advanced (N)</t>
  </si>
  <si>
    <t>Apartment A4 Cook Electric Standard (N)</t>
  </si>
  <si>
    <t>Apartment A4 Cook Electric Improved (N)</t>
  </si>
  <si>
    <t>Apartment A4 Cook Electric Advanced (N)</t>
  </si>
  <si>
    <t>Detached A4  Light Standard  (N)</t>
  </si>
  <si>
    <t>Detached A4  Light Fluorescent  (N)</t>
  </si>
  <si>
    <t>Detached A4  Light LED  (N)</t>
  </si>
  <si>
    <t>Detached A4  Light Halogen  (N)</t>
  </si>
  <si>
    <t>Detached A4 Refrigerating Standard (Class A,B) (N)</t>
  </si>
  <si>
    <t>Detached A4 Refrigerating Improved (Class A+) (N)</t>
  </si>
  <si>
    <t>Detached A4 Refrigerating Advanced (Class A++) (N)</t>
  </si>
  <si>
    <t>Detached A4 Cloth Washing Standard A,B (N)</t>
  </si>
  <si>
    <t>Detached A4 Cloth Washing Improved A+ (N)</t>
  </si>
  <si>
    <t>Detached A4 Cloth Washing  Advanced A++ (N)</t>
  </si>
  <si>
    <t>Detached A4 Cloth Washing&amp;Drier Advanced A++ (N)</t>
  </si>
  <si>
    <t>Detached A4 Dish Washing Standard A,B (N)</t>
  </si>
  <si>
    <t>Detached A4 Dish Washing Improved A+ (N)</t>
  </si>
  <si>
    <t>Detached A4 Dish Washing Advanced A++ (N)</t>
  </si>
  <si>
    <t>Detached A4 Other Appliances Standard (N)</t>
  </si>
  <si>
    <t>Detached A4 Other Appliances Improved (N)</t>
  </si>
  <si>
    <t>Detached A4 Other Appliances Advanced (N)</t>
  </si>
  <si>
    <t>Detached A3  Light Standard  (N)</t>
  </si>
  <si>
    <t>Detached A3  Light Fluorescent  (N)</t>
  </si>
  <si>
    <t>Detached A3  Light LED  (N)</t>
  </si>
  <si>
    <t>Detached A3  Light Halogen  (N)</t>
  </si>
  <si>
    <t>Detached A3 Refrigerating Standard (Class A,B) (N)</t>
  </si>
  <si>
    <t>Detached A3 Refrigerating Improved (Class A+) (N)</t>
  </si>
  <si>
    <t>Detached A3 Refrigerating Advanced (Class A++)  (N)</t>
  </si>
  <si>
    <t>Detached A3 Cloth Washing Standard A,B (N)</t>
  </si>
  <si>
    <t>Detached A3 Cloth Washing Improved A+ (N)</t>
  </si>
  <si>
    <t>Detached A3 Cloth Washing  Advanced A++ (N)</t>
  </si>
  <si>
    <t>Detached A3 Cloth Washing&amp;Drier Advanced A++ (N)</t>
  </si>
  <si>
    <t>Detached A3 Dish Washing Standard A,B (N)</t>
  </si>
  <si>
    <t>Detached A3 Dish Washing Improved A+ (N)</t>
  </si>
  <si>
    <t>Detached A3 Dish Washing Advanced A++ (N)</t>
  </si>
  <si>
    <t>Detached A3 Other Appliances Standard (N)</t>
  </si>
  <si>
    <t>Detached A3 Other Appliances Improved (N)</t>
  </si>
  <si>
    <t>Detached A3 Other Appliances Advanced (N)</t>
  </si>
  <si>
    <t>Detached A2  Light Standard  (N)</t>
  </si>
  <si>
    <t>Detached A2  Light Fluorescent  (N)</t>
  </si>
  <si>
    <t>Detached A2  Light LED  (N)</t>
  </si>
  <si>
    <t>Detached A2  Light Halogen  (N)</t>
  </si>
  <si>
    <t>Detached A2 Refrigerating Standard (Class A,B) (N)</t>
  </si>
  <si>
    <t>Detached A2 Refrigerating Improved (Class A+) (N)</t>
  </si>
  <si>
    <t>Detached A2 Refrigerating Advanced (Class A++) (N)</t>
  </si>
  <si>
    <t>Detached A2 Cloth Washing Standard A,B (N)</t>
  </si>
  <si>
    <t>Detached A2 Cloth Washing Improved A+ (N)</t>
  </si>
  <si>
    <t>Detached A2 Cloth Washing  Advanced A++ (N)</t>
  </si>
  <si>
    <t>Detached A2 Cloth Washing&amp;Drier  Advanced A++ (N)</t>
  </si>
  <si>
    <t>Detached A2 Dish Washing Standard A,B (N)</t>
  </si>
  <si>
    <t>Detached A2 Dish Washing Improved A+ (N)</t>
  </si>
  <si>
    <t>Detached A2 Dish Washing Advanced A++ (N)</t>
  </si>
  <si>
    <t>Detached A2 Other Appliances Standard (N)</t>
  </si>
  <si>
    <t>Detached A2 Other Appliances Improved (N)</t>
  </si>
  <si>
    <t>Detached A2 Other Appliances Advanced (N)</t>
  </si>
  <si>
    <t>Detached A1 Light Standard  (N)</t>
  </si>
  <si>
    <t>Detached A1 Light Fluorescent  (N)</t>
  </si>
  <si>
    <t>Detached A1 Light LED  (N)</t>
  </si>
  <si>
    <t>Detached A1 Light Halogen  (N)</t>
  </si>
  <si>
    <t>Detached A1 Refrigerating Standard (Class A,B) (N)</t>
  </si>
  <si>
    <t>Detached A1 Refrigerating Improved (Class A+) (N)</t>
  </si>
  <si>
    <t>Detached A1 Refrigerating Advanced (Class A++) (N)</t>
  </si>
  <si>
    <t>Detached A1 Cloth Washing Standard A,B (N)</t>
  </si>
  <si>
    <t>Detached A1 Cloth Washing Improved A+ (N)</t>
  </si>
  <si>
    <t>Detached A1 Cloth Washing Advanced A++ (N)</t>
  </si>
  <si>
    <t>Detached A1 Cloth Washing&amp;Drier Advanced A++ (N)</t>
  </si>
  <si>
    <t>Detached A1 Dish Washing Standard A,B (N)</t>
  </si>
  <si>
    <t>Detached A1 Dish Washing Improve A+ (N)</t>
  </si>
  <si>
    <t>Detached A1 Dish Washing Advanced A++ (N)</t>
  </si>
  <si>
    <t>Detached A1 Other Appliances Standard (N)</t>
  </si>
  <si>
    <t>Detached A1 Other Appliances Improved (N)</t>
  </si>
  <si>
    <t>Detached A1 Other Appliances Advanced (N)</t>
  </si>
  <si>
    <t>Apartment A1  Light Standard  (N)</t>
  </si>
  <si>
    <t>Apartment A1  Light Fluorescent  (N)</t>
  </si>
  <si>
    <t>Apartment A1  Light LED  (N)</t>
  </si>
  <si>
    <t>Apartment A1  Light Halogen  (N)</t>
  </si>
  <si>
    <t>Apartment A2   Light Standard  (N)</t>
  </si>
  <si>
    <t>Apartment A2   Light Fluorescent  (N)</t>
  </si>
  <si>
    <t>Apartment A2   Light LED  (N)</t>
  </si>
  <si>
    <t>Apartment A2   Light Halogen  (N)</t>
  </si>
  <si>
    <t>Apartment A3   Light Standard  (N)</t>
  </si>
  <si>
    <t>Apartment A3   Light Fluorescent  (N)</t>
  </si>
  <si>
    <t>Apartment A3   Light LED  (N)</t>
  </si>
  <si>
    <t>Apartment A3   Light Halogen  (N)</t>
  </si>
  <si>
    <t>Apartment A4  Light Standard  (N)</t>
  </si>
  <si>
    <t>Apartment A4  Light Fluorescent  (N)</t>
  </si>
  <si>
    <t>Apartment A4  Light LED  (N)</t>
  </si>
  <si>
    <t>Apartment A4  Light Halogen  (N)</t>
  </si>
  <si>
    <t>Apartment A1 Refrigerating Standard (Class A,B) (N)</t>
  </si>
  <si>
    <t>Apartment A1 Refrigerating Improved (Class A+) (N)</t>
  </si>
  <si>
    <t>Apartment A1 Refrigerating Advanced (Class A++) (N)</t>
  </si>
  <si>
    <t>Apartment A2  Refrigerating Standard (Class A,B) (N)</t>
  </si>
  <si>
    <t>Apartment A2  Refrigerating Improved (Class A+) (N)</t>
  </si>
  <si>
    <t>Apartment A2  Refrigerating Advanced (Class A++) (N)</t>
  </si>
  <si>
    <t>Apartment A3 Refrigerating Standard (Class A,B) (N)</t>
  </si>
  <si>
    <t>Apartment A3 Refrigerating Improved (Class A+) (N)</t>
  </si>
  <si>
    <t>Apartment A3 Refrigerating Advanced (Class A++) (N)</t>
  </si>
  <si>
    <t>Apartment A4 Refrigerating Standard (Class A,B) (N)</t>
  </si>
  <si>
    <t>Apartment A4 Refrigerating Improved (Class A+) (N)</t>
  </si>
  <si>
    <t>Apartment A4 Refrigerating Advanced (Class A++) (N)</t>
  </si>
  <si>
    <t>Apartment A1 Cloth Washing Standard A,B (N)</t>
  </si>
  <si>
    <t>Apartment A1 Cloth Washing Improved A+ (N)</t>
  </si>
  <si>
    <t>Apartment A1 Cloth Washing  Advanced A++ (N)</t>
  </si>
  <si>
    <t>Apartment A1 Cloth Washing&amp;Drier  Advanced A++ (N)</t>
  </si>
  <si>
    <t>Apartment A2  Cloth Washing Standard A,B (N)</t>
  </si>
  <si>
    <t>Apartment A2  Cloth Washing Improved A+ (N)</t>
  </si>
  <si>
    <t>Apartment A2  Cloth Washing  Advanced A++ (N)</t>
  </si>
  <si>
    <t>Apartment A2  Cloth Washing&amp;Drier Advanced A++ (N)</t>
  </si>
  <si>
    <t>Apartment A3 Cloth Washing Standard A,B (N)</t>
  </si>
  <si>
    <t>Apartment A3 Cloth Washing Improved A+ (N)</t>
  </si>
  <si>
    <t>Apartment A3 Cloth Washing  Advanced A++ (N)</t>
  </si>
  <si>
    <t>Apartment A3 Cloth Washing&amp;Drier Advanced A++ (N)</t>
  </si>
  <si>
    <t>Apartment A4 Cloth Washing Standard A,B (N)</t>
  </si>
  <si>
    <t>Apartment A4 Cloth Washing Improved A+ (N)</t>
  </si>
  <si>
    <t>Apartment A4 Cloth Washing  Advanced A++ (N)</t>
  </si>
  <si>
    <t>Apartment A4 Cloth Washing&amp;Drier Advanced A++ (N)</t>
  </si>
  <si>
    <t>Apartment A1 Dish Washing Standard A,B (N)</t>
  </si>
  <si>
    <t>Apartment A1 Dish Washing Improved A+ (N)</t>
  </si>
  <si>
    <t>Apartment A1 Dish Washing Advanced A++ (N)</t>
  </si>
  <si>
    <t>Apartment A2  Dish Washing Standard A,B (N)</t>
  </si>
  <si>
    <t>Apartment A2  Dish Washing Improved A+ (N)</t>
  </si>
  <si>
    <t>Apartment A2  Dish Washing Advanced A++ (N)</t>
  </si>
  <si>
    <t>Apartment A3 Dish Washing Standard A,B (N)</t>
  </si>
  <si>
    <t>Apartment A3 Dish Washing Improved A+ (N)</t>
  </si>
  <si>
    <t>Apartment A3 Dish Washing Advanced A++ (N)</t>
  </si>
  <si>
    <t>Apartment A4 Dish Washing Standard A,B (N)</t>
  </si>
  <si>
    <t>Apartment A4 Dish Washing Improved A+ (N)</t>
  </si>
  <si>
    <t>Apartment A4 Dish Washing Advanced A++ (N)</t>
  </si>
  <si>
    <t>Apartment A1 Other Appliances Standard (N)</t>
  </si>
  <si>
    <t>Apartment A1 Other Appliances Improved (N)</t>
  </si>
  <si>
    <t>Apartment A1 Other Appliances Advanced (N)</t>
  </si>
  <si>
    <t>Apartment A2  Other Appliances Standard (N)</t>
  </si>
  <si>
    <t>Apartment A2  Other Appliances Improved (N)</t>
  </si>
  <si>
    <t>Apartment A2  Other Appliances Advanced (N)</t>
  </si>
  <si>
    <t>Apartment A3 Other Appliances Standard (N)</t>
  </si>
  <si>
    <t>Apartment A3 Other Appliances Improved (N)</t>
  </si>
  <si>
    <t>Apartment A3 Other Appliances Advanced (N)</t>
  </si>
  <si>
    <t>Apartment A4 Other Appliances Standard (N)</t>
  </si>
  <si>
    <t>Apartment A4 Other Appliances Improved (N)</t>
  </si>
  <si>
    <t>Apartment A4 Other Appliances Advanced (N)</t>
  </si>
  <si>
    <t>Detached A1 Envelope Insulation Standard (N)</t>
  </si>
  <si>
    <t>Detached A1 Windows Replacement  Standard (N)</t>
  </si>
  <si>
    <t>Detached A1 Env. Insulation&amp;Windows repl. Standard (N)</t>
  </si>
  <si>
    <t>Apartment A1 Envelope Insulation Standard (N)</t>
  </si>
  <si>
    <t>Apartment A1 Windows Replacement  Standard (N)</t>
  </si>
  <si>
    <t>Apartment A1 Env. Insulation&amp;Windows repl. Standard (N)</t>
  </si>
  <si>
    <t>Detached A1 Envelope Insulation Advanced (N)</t>
  </si>
  <si>
    <t>Detached A1 Windows Replacement  Advanced (N)</t>
  </si>
  <si>
    <t>Detached A1 Env. Insulation&amp;Windows repl. Advanced (N)</t>
  </si>
  <si>
    <t>Apartment A1 Envelope Insulation Advanced (N)</t>
  </si>
  <si>
    <t>Apartment A1 Windows Replacement  Advanced (N)</t>
  </si>
  <si>
    <t>Apartment A1 Env. Insulation&amp;Windows repl. Advanced (N)</t>
  </si>
  <si>
    <t>Detached A1 Dummy to control Insulation Standard</t>
  </si>
  <si>
    <t>Detached A1 Dummy to control Windows Repl. Standard</t>
  </si>
  <si>
    <t>Detached A1 Dummy to control Insulation&amp;Windows Standard</t>
  </si>
  <si>
    <t>Apartment A1 Dummy to control Insulation Standard</t>
  </si>
  <si>
    <t>Apartment A1 Dummy to control Windows Repl. Standard</t>
  </si>
  <si>
    <t>Apartment A1 Dummy to control Insulation&amp;Windows Standard</t>
  </si>
  <si>
    <t>Detached A1 Dummy to control Insulation Advanced</t>
  </si>
  <si>
    <t>Detached A1 Dummy to control Windows Repl. Advanced</t>
  </si>
  <si>
    <t>Detached A1 Dummy to control Insulation&amp;Windows Advanced</t>
  </si>
  <si>
    <t>Apartment A1 Dummy to control Insulation Advanced</t>
  </si>
  <si>
    <t>Apartment A1 Dummy to control Windows Repl. Advanced</t>
  </si>
  <si>
    <t>Apartment A1 Dummy to control Insulation&amp;Windows Advanced</t>
  </si>
  <si>
    <t>Detached A2  Envelope Insulation Standard (N)</t>
  </si>
  <si>
    <t>Detached A2 Windows Replacement Standard (N)</t>
  </si>
  <si>
    <t>Detached A2 Env. Insulation&amp;Windows repl. Standard (N)</t>
  </si>
  <si>
    <t>Apartment A2 Envelope Insulation Standard (N)</t>
  </si>
  <si>
    <t>Apartment A2 Windows Replacement Standard (N)</t>
  </si>
  <si>
    <t>Apartment A2 Env. Insulation&amp;Windows repl. Standard (N)</t>
  </si>
  <si>
    <t>Detached A2  Envelope Insulation Advanced (N)</t>
  </si>
  <si>
    <t>Detached A2 Windows Replacement Advanced (N)</t>
  </si>
  <si>
    <t>Detached A2 Env. Insulation&amp;Windows repl. Advanced (N)</t>
  </si>
  <si>
    <t>Apartment A2 Envelope Insulation Advanced (N)</t>
  </si>
  <si>
    <t>Apartment A2 Windows Replacement Advanced (N)</t>
  </si>
  <si>
    <t>Apartment A2 Env. Insulation&amp;Windows repl. Advanced (N)</t>
  </si>
  <si>
    <t>Detached A2 Dummy to control Insulation Standard</t>
  </si>
  <si>
    <t>Detached A2 Dummy to control Windows Repl. Standard</t>
  </si>
  <si>
    <t>Detached A2 Dummy to control Insulation&amp;Windows Standard</t>
  </si>
  <si>
    <t>Apartment A2 Dummy to control Insulation Standard</t>
  </si>
  <si>
    <t>Apartment A2 Dummy to control Windows Repl. Standard</t>
  </si>
  <si>
    <t>Apartment A2 Dummy to control Insulation&amp;Windows Standard</t>
  </si>
  <si>
    <t>Detached A2 Dummy to control Insulation Advanced</t>
  </si>
  <si>
    <t>Detached A2 Dummy to control Windows Repl. Advanced</t>
  </si>
  <si>
    <t>Detached A2 Dummy to control Insulation&amp;Windows Advanced</t>
  </si>
  <si>
    <t>Apartment A2 Dummy to control Insulation Advanced</t>
  </si>
  <si>
    <t>Apartment A2 Dummy to control Windows Repl. Advanced</t>
  </si>
  <si>
    <t>Apartment A2 Dummy to control Insulation&amp;Windows Advanced</t>
  </si>
  <si>
    <t>Detached A3 Envelope Insulation Standard (N)</t>
  </si>
  <si>
    <t>Detached A3 Windows Replacement Standard (N)</t>
  </si>
  <si>
    <t>Apartment A3 Envelope Insulation Standard (N)</t>
  </si>
  <si>
    <t>Apartment A3 Windows Replacement Standard (N)</t>
  </si>
  <si>
    <t>Apartment A3 Env. Insulation&amp;Windows repl. Standard (N)</t>
  </si>
  <si>
    <t>Detached A3 Envelope Insulation Advanced (N)</t>
  </si>
  <si>
    <t>Detached A3 Windows Replacement Advanced (N)</t>
  </si>
  <si>
    <t>Apartment A3 Envelope Insulation Advanced (N)</t>
  </si>
  <si>
    <t>Apartment A3 Windows Replacement Advanced (N)</t>
  </si>
  <si>
    <t>Apartment A3 Env. Insulation&amp;Windows repl. Advanced (N)</t>
  </si>
  <si>
    <t>Detached A3 Dummy to control Insulation Standard</t>
  </si>
  <si>
    <t>Detached A3 Dummy to control Windows Repl. Standard</t>
  </si>
  <si>
    <t>Detached A3 Dummy to control Insulation&amp;Windows Standard</t>
  </si>
  <si>
    <t>Apartment A3 Dummy to control Insulation Standard</t>
  </si>
  <si>
    <t>Apartment A3 Dummy to control Windows Repl. Standard</t>
  </si>
  <si>
    <t>Apartment A3 Dummy to control Insulation&amp;Windows Standard</t>
  </si>
  <si>
    <t>Detached A3 Dummy to control Insulation Advanced</t>
  </si>
  <si>
    <t>Detached A3 Dummy to control Windows Repl. Advanced</t>
  </si>
  <si>
    <t>Detached A3 Dummy to control Insulation&amp;Windows Advanced</t>
  </si>
  <si>
    <t>Apartment A3 Dummy to control Insulation Advanced</t>
  </si>
  <si>
    <t>Apartment A3 Dummy to control Windows Repl. Advanced</t>
  </si>
  <si>
    <t>Apartment A3 Dummy to control Insulation&amp;Windows Advanced</t>
  </si>
  <si>
    <t>Detached A4  Envelope Insulation Standard (N)</t>
  </si>
  <si>
    <t>Detached A4  Windows Replacement Standard (N)</t>
  </si>
  <si>
    <t>Apartment A4 Envelope Insulation Standard (N)</t>
  </si>
  <si>
    <t>Apartment A4 Windows Replacement Standard (N)</t>
  </si>
  <si>
    <t>Apartment A4 Env. Insulation&amp;Windows repl. Standard (N)</t>
  </si>
  <si>
    <t>Detached A4  Envelope Insulation Advanced (N)</t>
  </si>
  <si>
    <t>Detached A4  Windows Replacement Advanced (N)</t>
  </si>
  <si>
    <t>Apartment A4 Envelope Insulation Advanced (N)</t>
  </si>
  <si>
    <t>Apartment A4 Windows Replacement Advanced (N)</t>
  </si>
  <si>
    <t>Apartment A4 Env. Insulation&amp;Windows repl. Advanced (N)</t>
  </si>
  <si>
    <t>Detached A4 Dummy to control Insulation&amp;Windows Standard</t>
  </si>
  <si>
    <t>Apartment A4 Dummy to control Insulation&amp;Windows Standard</t>
  </si>
  <si>
    <t>Detached A4 Dummy to control Insulation&amp;Windows Advanced</t>
  </si>
  <si>
    <t>Apartment A4 Dummy to control Insulation&amp;Windows Advanced</t>
  </si>
  <si>
    <t>Detached - Area1</t>
  </si>
  <si>
    <t>Appartment - Area1</t>
  </si>
  <si>
    <t>Detached - Area2</t>
  </si>
  <si>
    <t>Appartment - Area2</t>
  </si>
  <si>
    <t>Detached - Area3</t>
  </si>
  <si>
    <t>Appartment - Area3</t>
  </si>
  <si>
    <t>Detached - Area4</t>
  </si>
  <si>
    <t>Appartment - Area4</t>
  </si>
  <si>
    <t>M$</t>
  </si>
  <si>
    <t>$/GJ</t>
  </si>
  <si>
    <t>$/kW</t>
  </si>
  <si>
    <t>000$/unit</t>
  </si>
  <si>
    <t>000$/Dwelling</t>
  </si>
  <si>
    <t>MUSD/000dwellings</t>
  </si>
  <si>
    <t>COASUB</t>
  </si>
  <si>
    <t>Sub-bituminous</t>
  </si>
  <si>
    <t>COABCO</t>
  </si>
  <si>
    <t>RSVCOASUB</t>
  </si>
  <si>
    <t>Sub-bituminous (RSV)</t>
  </si>
  <si>
    <t>RSVCOABCO</t>
  </si>
  <si>
    <t>STGCOABCO</t>
  </si>
  <si>
    <t>SUPCOASUB</t>
  </si>
  <si>
    <t>Sub-bituminous (SUP)</t>
  </si>
  <si>
    <t>SUPCOABCO</t>
  </si>
  <si>
    <t>INDCOASUB</t>
  </si>
  <si>
    <t>Sub-bituminous (IND)</t>
  </si>
  <si>
    <t>INDCOABCO</t>
  </si>
  <si>
    <t>RSDCOASUB</t>
  </si>
  <si>
    <t>Sub-bituminous (RSD)</t>
  </si>
  <si>
    <t>RSDCOABCO</t>
  </si>
  <si>
    <t>COMCOASUB</t>
  </si>
  <si>
    <t>Sub-bituminous (COM)</t>
  </si>
  <si>
    <t>COMCOABCO</t>
  </si>
  <si>
    <t>AGRCOASUB</t>
  </si>
  <si>
    <t>Sub-bituminous (AGR)</t>
  </si>
  <si>
    <t>AGRCOABCO</t>
  </si>
  <si>
    <t>ELECOASUB</t>
  </si>
  <si>
    <t>Sub-bituminous (ELE)</t>
  </si>
  <si>
    <t>ELECOABCO</t>
  </si>
  <si>
    <t>HETCOASUB</t>
  </si>
  <si>
    <t>Sub-bituminous (HET)</t>
  </si>
  <si>
    <t>HETCOABCO</t>
  </si>
  <si>
    <t>HETHTH</t>
  </si>
  <si>
    <t>SUPLTH</t>
  </si>
  <si>
    <t>Supply Heat (SUP)</t>
  </si>
  <si>
    <t>RDM: adjusted</t>
  </si>
  <si>
    <t>RSDLTHA1</t>
  </si>
  <si>
    <t>Heat _Area1</t>
  </si>
  <si>
    <t>RSDLTHA2</t>
  </si>
  <si>
    <t>Heat _Area2</t>
  </si>
  <si>
    <t>RSDLTHA3</t>
  </si>
  <si>
    <t>Heat _Area3</t>
  </si>
  <si>
    <t>RSDLTHA4</t>
  </si>
  <si>
    <t>Heat _Area4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</si>
</sst>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\Te\x\t"/>
    <numFmt numFmtId="166" formatCode="_([$€-2]\ * #,##0.00_);_([$€-2]\ * \(#,##0.00\);_([$€-2]\ * &quot;-&quot;??_);_(@_)"/>
    <numFmt numFmtId="167" formatCode="#,##0.0"/>
    <numFmt numFmtId="168" formatCode="_-* #,##0.000_-;\-* #,##0.000_-;_-* &quot;-&quot;??_-;_-@_-"/>
    <numFmt numFmtId="169" formatCode="0.000"/>
    <numFmt numFmtId="170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7" fillId="3" borderId="0" applyNumberFormat="0" applyBorder="0" applyAlignment="0" applyProtection="0"/>
    <xf numFmtId="9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3" fillId="0" borderId="0"/>
  </cellStyleXfs>
  <cellXfs count="144">
    <xf numFmtId="0" fontId="0" fillId="0" borderId="0" xfId="0"/>
    <xf numFmtId="0" fontId="8" fillId="4" borderId="0" xfId="1" applyFont="1" applyFill="1" applyAlignment="1"/>
    <xf numFmtId="0" fontId="9" fillId="4" borderId="0" xfId="2" applyFont="1" applyFill="1" applyAlignment="1">
      <alignment horizontal="center"/>
    </xf>
    <xf numFmtId="0" fontId="8" fillId="4" borderId="0" xfId="1" applyFont="1" applyFill="1" applyAlignment="1">
      <alignment horizontal="center"/>
    </xf>
    <xf numFmtId="0" fontId="6" fillId="5" borderId="0" xfId="1" applyFont="1" applyFill="1" applyAlignment="1"/>
    <xf numFmtId="0" fontId="5" fillId="5" borderId="0" xfId="1" applyFill="1" applyAlignment="1"/>
    <xf numFmtId="0" fontId="0" fillId="0" borderId="0" xfId="0" applyAlignment="1"/>
    <xf numFmtId="0" fontId="10" fillId="4" borderId="0" xfId="1" applyFont="1" applyFill="1" applyAlignment="1">
      <alignment horizontal="left"/>
    </xf>
    <xf numFmtId="0" fontId="10" fillId="4" borderId="0" xfId="1" applyFont="1" applyFill="1" applyAlignment="1"/>
    <xf numFmtId="0" fontId="8" fillId="4" borderId="0" xfId="1" applyFont="1" applyFill="1" applyAlignment="1">
      <alignment horizontal="right"/>
    </xf>
    <xf numFmtId="0" fontId="12" fillId="0" borderId="0" xfId="0" applyFont="1" applyFill="1"/>
    <xf numFmtId="0" fontId="12" fillId="0" borderId="6" xfId="0" applyFont="1" applyFill="1" applyBorder="1"/>
    <xf numFmtId="0" fontId="17" fillId="0" borderId="0" xfId="0" applyFont="1" applyFill="1"/>
    <xf numFmtId="165" fontId="17" fillId="0" borderId="0" xfId="0" applyNumberFormat="1" applyFont="1" applyFill="1"/>
    <xf numFmtId="165" fontId="12" fillId="0" borderId="0" xfId="0" applyNumberFormat="1" applyFont="1" applyFill="1"/>
    <xf numFmtId="165" fontId="17" fillId="0" borderId="3" xfId="0" applyNumberFormat="1" applyFont="1" applyFill="1" applyBorder="1"/>
    <xf numFmtId="165" fontId="17" fillId="0" borderId="4" xfId="0" applyNumberFormat="1" applyFont="1" applyFill="1" applyBorder="1"/>
    <xf numFmtId="165" fontId="17" fillId="0" borderId="3" xfId="0" applyNumberFormat="1" applyFont="1" applyFill="1" applyBorder="1" applyAlignment="1">
      <alignment horizontal="left"/>
    </xf>
    <xf numFmtId="165" fontId="12" fillId="0" borderId="5" xfId="0" applyNumberFormat="1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5" applyFont="1" applyFill="1"/>
    <xf numFmtId="0" fontId="16" fillId="0" borderId="0" xfId="5" applyFont="1" applyFill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2" fillId="0" borderId="0" xfId="0" applyFont="1" applyFill="1" applyBorder="1"/>
    <xf numFmtId="0" fontId="18" fillId="0" borderId="0" xfId="0" applyFont="1" applyFill="1"/>
    <xf numFmtId="0" fontId="12" fillId="0" borderId="0" xfId="0" applyFont="1" applyFill="1" applyBorder="1" applyAlignment="1">
      <alignment horizontal="left" wrapText="1"/>
    </xf>
    <xf numFmtId="0" fontId="17" fillId="0" borderId="0" xfId="0" applyFont="1" applyFill="1" applyBorder="1"/>
    <xf numFmtId="0" fontId="17" fillId="0" borderId="0" xfId="0" applyFont="1" applyFill="1" applyAlignment="1">
      <alignment horizontal="left"/>
    </xf>
    <xf numFmtId="0" fontId="19" fillId="0" borderId="0" xfId="0" applyFont="1" applyFill="1" applyAlignment="1"/>
    <xf numFmtId="0" fontId="16" fillId="0" borderId="0" xfId="0" applyFont="1" applyFill="1" applyBorder="1"/>
    <xf numFmtId="0" fontId="17" fillId="0" borderId="3" xfId="0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7" fillId="0" borderId="3" xfId="0" applyFont="1" applyFill="1" applyBorder="1" applyAlignment="1">
      <alignment horizontal="center" vertical="center" wrapText="1"/>
    </xf>
    <xf numFmtId="165" fontId="19" fillId="0" borderId="0" xfId="0" applyNumberFormat="1" applyFont="1" applyFill="1" applyAlignment="1"/>
    <xf numFmtId="165" fontId="16" fillId="0" borderId="0" xfId="0" applyNumberFormat="1" applyFont="1" applyFill="1" applyAlignment="1"/>
    <xf numFmtId="165" fontId="16" fillId="0" borderId="0" xfId="0" applyNumberFormat="1" applyFont="1" applyFill="1" applyAlignment="1">
      <alignment horizontal="center"/>
    </xf>
    <xf numFmtId="0" fontId="16" fillId="0" borderId="0" xfId="0" applyFont="1" applyFill="1" applyAlignment="1"/>
    <xf numFmtId="0" fontId="12" fillId="0" borderId="5" xfId="0" applyFont="1" applyFill="1" applyBorder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/>
    </xf>
    <xf numFmtId="165" fontId="19" fillId="0" borderId="3" xfId="0" applyNumberFormat="1" applyFont="1" applyFill="1" applyBorder="1" applyAlignment="1"/>
    <xf numFmtId="165" fontId="19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center" wrapText="1"/>
    </xf>
    <xf numFmtId="165" fontId="16" fillId="0" borderId="5" xfId="0" applyNumberFormat="1" applyFont="1" applyFill="1" applyBorder="1" applyAlignment="1">
      <alignment horizontal="left"/>
    </xf>
    <xf numFmtId="165" fontId="16" fillId="0" borderId="5" xfId="0" applyNumberFormat="1" applyFont="1" applyFill="1" applyBorder="1" applyAlignment="1">
      <alignment horizontal="center"/>
    </xf>
    <xf numFmtId="0" fontId="12" fillId="0" borderId="3" xfId="0" applyFont="1" applyFill="1" applyBorder="1"/>
    <xf numFmtId="165" fontId="12" fillId="0" borderId="3" xfId="0" applyNumberFormat="1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5" fontId="12" fillId="0" borderId="0" xfId="0" applyNumberFormat="1" applyFont="1" applyFill="1" applyAlignment="1"/>
    <xf numFmtId="0" fontId="12" fillId="0" borderId="0" xfId="0" applyFont="1" applyFill="1" applyAlignment="1"/>
    <xf numFmtId="0" fontId="16" fillId="0" borderId="0" xfId="0" applyFont="1" applyFill="1"/>
    <xf numFmtId="165" fontId="12" fillId="0" borderId="0" xfId="0" applyNumberFormat="1" applyFont="1" applyFill="1" applyBorder="1"/>
    <xf numFmtId="0" fontId="12" fillId="0" borderId="17" xfId="0" applyFont="1" applyFill="1" applyBorder="1" applyAlignment="1">
      <alignment horizontal="center"/>
    </xf>
    <xf numFmtId="165" fontId="12" fillId="0" borderId="6" xfId="0" applyNumberFormat="1" applyFont="1" applyFill="1" applyBorder="1"/>
    <xf numFmtId="0" fontId="12" fillId="0" borderId="14" xfId="0" applyFont="1" applyFill="1" applyBorder="1" applyAlignment="1">
      <alignment horizontal="center"/>
    </xf>
    <xf numFmtId="165" fontId="12" fillId="0" borderId="3" xfId="0" applyNumberFormat="1" applyFont="1" applyFill="1" applyBorder="1" applyAlignment="1"/>
    <xf numFmtId="165" fontId="12" fillId="0" borderId="0" xfId="0" applyNumberFormat="1" applyFont="1" applyFill="1" applyBorder="1" applyAlignment="1"/>
    <xf numFmtId="0" fontId="12" fillId="0" borderId="5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left" wrapText="1"/>
    </xf>
    <xf numFmtId="1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right"/>
    </xf>
    <xf numFmtId="165" fontId="17" fillId="0" borderId="4" xfId="0" applyNumberFormat="1" applyFont="1" applyFill="1" applyBorder="1" applyAlignment="1">
      <alignment horizontal="center"/>
    </xf>
    <xf numFmtId="0" fontId="19" fillId="0" borderId="0" xfId="0" applyFont="1" applyFill="1" applyBorder="1" applyAlignment="1"/>
    <xf numFmtId="165" fontId="12" fillId="0" borderId="2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center" wrapText="1"/>
    </xf>
    <xf numFmtId="0" fontId="12" fillId="0" borderId="10" xfId="0" applyFont="1" applyFill="1" applyBorder="1" applyAlignment="1">
      <alignment horizontal="center" wrapText="1"/>
    </xf>
    <xf numFmtId="0" fontId="16" fillId="0" borderId="0" xfId="0" applyFont="1" applyFill="1" applyBorder="1" applyAlignment="1"/>
    <xf numFmtId="0" fontId="12" fillId="0" borderId="11" xfId="0" applyFont="1" applyFill="1" applyBorder="1" applyAlignment="1">
      <alignment horizontal="center"/>
    </xf>
    <xf numFmtId="169" fontId="12" fillId="0" borderId="3" xfId="0" applyNumberFormat="1" applyFont="1" applyFill="1" applyBorder="1"/>
    <xf numFmtId="168" fontId="12" fillId="0" borderId="3" xfId="0" applyNumberFormat="1" applyFont="1" applyFill="1" applyBorder="1" applyAlignment="1">
      <alignment horizontal="center"/>
    </xf>
    <xf numFmtId="169" fontId="12" fillId="0" borderId="0" xfId="0" applyNumberFormat="1" applyFont="1" applyFill="1" applyBorder="1"/>
    <xf numFmtId="168" fontId="12" fillId="0" borderId="0" xfId="0" applyNumberFormat="1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69" fontId="12" fillId="0" borderId="6" xfId="0" applyNumberFormat="1" applyFont="1" applyFill="1" applyBorder="1"/>
    <xf numFmtId="168" fontId="12" fillId="0" borderId="6" xfId="0" applyNumberFormat="1" applyFont="1" applyFill="1" applyBorder="1" applyAlignment="1">
      <alignment horizontal="center"/>
    </xf>
    <xf numFmtId="0" fontId="12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4" fontId="12" fillId="0" borderId="3" xfId="0" applyNumberFormat="1" applyFont="1" applyFill="1" applyBorder="1"/>
    <xf numFmtId="4" fontId="12" fillId="0" borderId="0" xfId="0" applyNumberFormat="1" applyFont="1" applyFill="1" applyBorder="1"/>
    <xf numFmtId="4" fontId="12" fillId="0" borderId="6" xfId="0" applyNumberFormat="1" applyFont="1" applyFill="1" applyBorder="1"/>
    <xf numFmtId="166" fontId="16" fillId="0" borderId="0" xfId="0" applyNumberFormat="1" applyFont="1" applyFill="1"/>
    <xf numFmtId="166" fontId="12" fillId="0" borderId="0" xfId="0" applyNumberFormat="1" applyFont="1" applyFill="1"/>
    <xf numFmtId="166" fontId="12" fillId="0" borderId="0" xfId="0" applyNumberFormat="1" applyFont="1" applyFill="1" applyBorder="1" applyAlignment="1">
      <alignment horizontal="left"/>
    </xf>
    <xf numFmtId="166" fontId="17" fillId="0" borderId="3" xfId="0" applyNumberFormat="1" applyFont="1" applyFill="1" applyBorder="1" applyAlignment="1">
      <alignment horizontal="center" vertical="center" wrapText="1"/>
    </xf>
    <xf numFmtId="166" fontId="16" fillId="0" borderId="5" xfId="0" applyNumberFormat="1" applyFont="1" applyFill="1" applyBorder="1" applyAlignment="1">
      <alignment horizontal="center"/>
    </xf>
    <xf numFmtId="166" fontId="12" fillId="0" borderId="9" xfId="0" applyNumberFormat="1" applyFont="1" applyFill="1" applyBorder="1" applyAlignment="1">
      <alignment horizontal="center" wrapText="1"/>
    </xf>
    <xf numFmtId="4" fontId="12" fillId="0" borderId="0" xfId="0" applyNumberFormat="1" applyFont="1" applyFill="1" applyBorder="1" applyAlignment="1">
      <alignment horizontal="center"/>
    </xf>
    <xf numFmtId="4" fontId="12" fillId="0" borderId="6" xfId="0" applyNumberFormat="1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167" fontId="12" fillId="0" borderId="6" xfId="0" applyNumberFormat="1" applyFont="1" applyFill="1" applyBorder="1" applyAlignment="1">
      <alignment horizontal="center"/>
    </xf>
    <xf numFmtId="0" fontId="16" fillId="0" borderId="6" xfId="0" applyFont="1" applyFill="1" applyBorder="1"/>
    <xf numFmtId="2" fontId="12" fillId="0" borderId="0" xfId="3" applyNumberFormat="1" applyFont="1" applyFill="1" applyBorder="1" applyAlignment="1">
      <alignment horizontal="center"/>
    </xf>
    <xf numFmtId="2" fontId="12" fillId="0" borderId="6" xfId="3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2" fontId="12" fillId="0" borderId="0" xfId="0" applyNumberFormat="1" applyFont="1" applyFill="1" applyBorder="1"/>
    <xf numFmtId="2" fontId="12" fillId="0" borderId="6" xfId="0" applyNumberFormat="1" applyFont="1" applyFill="1" applyBorder="1"/>
    <xf numFmtId="0" fontId="19" fillId="0" borderId="4" xfId="0" applyFont="1" applyFill="1" applyBorder="1" applyAlignment="1">
      <alignment horizontal="center" vertical="center"/>
    </xf>
    <xf numFmtId="170" fontId="12" fillId="0" borderId="3" xfId="0" applyNumberFormat="1" applyFont="1" applyFill="1" applyBorder="1" applyAlignment="1">
      <alignment horizontal="center"/>
    </xf>
    <xf numFmtId="170" fontId="12" fillId="0" borderId="0" xfId="0" applyNumberFormat="1" applyFont="1" applyFill="1" applyBorder="1" applyAlignment="1">
      <alignment horizontal="center"/>
    </xf>
    <xf numFmtId="170" fontId="12" fillId="0" borderId="6" xfId="0" applyNumberFormat="1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 vertical="center"/>
    </xf>
    <xf numFmtId="165" fontId="12" fillId="0" borderId="3" xfId="0" applyNumberFormat="1" applyFont="1" applyFill="1" applyBorder="1" applyAlignment="1">
      <alignment horizontal="center" wrapText="1"/>
    </xf>
    <xf numFmtId="165" fontId="12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/>
    <xf numFmtId="0" fontId="2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center" wrapText="1"/>
    </xf>
    <xf numFmtId="0" fontId="21" fillId="0" borderId="13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/>
    <xf numFmtId="0" fontId="21" fillId="0" borderId="0" xfId="0" applyFont="1" applyFill="1" applyBorder="1" applyAlignment="1"/>
    <xf numFmtId="166" fontId="12" fillId="0" borderId="0" xfId="4" applyNumberFormat="1" applyFont="1" applyFill="1" applyBorder="1" applyAlignment="1">
      <alignment horizontal="center"/>
    </xf>
    <xf numFmtId="9" fontId="16" fillId="0" borderId="0" xfId="3" applyFont="1" applyFill="1"/>
    <xf numFmtId="0" fontId="2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20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2" fillId="0" borderId="11" xfId="0" applyFont="1" applyFill="1" applyBorder="1"/>
    <xf numFmtId="0" fontId="1" fillId="0" borderId="0" xfId="0" applyFont="1" applyFill="1" applyAlignment="1">
      <alignment horizontal="center" vertical="center"/>
    </xf>
    <xf numFmtId="0" fontId="12" fillId="0" borderId="12" xfId="0" applyFont="1" applyFill="1" applyBorder="1"/>
    <xf numFmtId="0" fontId="12" fillId="0" borderId="6" xfId="0" applyFont="1" applyFill="1" applyBorder="1" applyAlignment="1">
      <alignment horizontal="right"/>
    </xf>
  </cellXfs>
  <cellStyles count="6">
    <cellStyle name="Accent2" xfId="1" builtinId="33"/>
    <cellStyle name="Currency" xfId="4" builtinId="4"/>
    <cellStyle name="Good" xfId="2" builtinId="26"/>
    <cellStyle name="Normal" xfId="0" builtinId="0"/>
    <cellStyle name="Normal 2" xfId="5" xr:uid="{4DD38748-0046-43AE-B949-BD0A485B01F6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79"/>
  <sheetViews>
    <sheetView tabSelected="1" topLeftCell="A27" zoomScale="55" zoomScaleNormal="55" workbookViewId="0">
      <selection activeCell="A27" sqref="A1:XFD1048576"/>
    </sheetView>
  </sheetViews>
  <sheetFormatPr defaultRowHeight="13.2" x14ac:dyDescent="0.25"/>
  <cols>
    <col min="1" max="1" width="8.88671875" style="60"/>
    <col min="2" max="2" width="29.6640625" style="60" bestFit="1" customWidth="1"/>
    <col min="3" max="3" width="66.33203125" style="60" bestFit="1" customWidth="1"/>
    <col min="4" max="4" width="27.6640625" style="60" customWidth="1"/>
    <col min="5" max="5" width="18.88671875" style="60" bestFit="1" customWidth="1"/>
    <col min="6" max="6" width="16.33203125" style="60" bestFit="1" customWidth="1"/>
    <col min="7" max="7" width="18.33203125" style="60" bestFit="1" customWidth="1"/>
    <col min="8" max="8" width="22.33203125" style="60" bestFit="1" customWidth="1"/>
    <col min="9" max="10" width="18.33203125" style="60" customWidth="1"/>
    <col min="11" max="11" width="8.88671875" style="60"/>
    <col min="12" max="12" width="9.44140625" style="60" customWidth="1"/>
    <col min="13" max="13" width="14.33203125" style="60" bestFit="1" customWidth="1"/>
    <col min="14" max="14" width="28.109375" style="60" customWidth="1"/>
    <col min="15" max="15" width="66.33203125" style="60" bestFit="1" customWidth="1"/>
    <col min="16" max="16" width="16.33203125" style="60" customWidth="1"/>
    <col min="17" max="17" width="13.44140625" style="60" bestFit="1" customWidth="1"/>
    <col min="18" max="18" width="13.33203125" style="60" customWidth="1"/>
    <col min="19" max="19" width="13.88671875" style="60" customWidth="1"/>
    <col min="20" max="20" width="9.5546875" style="60" customWidth="1"/>
    <col min="21" max="16384" width="8.88671875" style="60"/>
  </cols>
  <sheetData>
    <row r="1" spans="1:25" s="10" customFormat="1" ht="17.399999999999999" x14ac:dyDescent="0.3">
      <c r="B1" s="27" t="s">
        <v>801</v>
      </c>
      <c r="C1" s="27"/>
      <c r="D1" s="27"/>
      <c r="E1" s="27"/>
      <c r="L1" s="10" t="s">
        <v>791</v>
      </c>
    </row>
    <row r="2" spans="1:25" s="10" customFormat="1" ht="17.399999999999999" x14ac:dyDescent="0.3">
      <c r="B2" s="27" t="s">
        <v>802</v>
      </c>
      <c r="C2" s="27"/>
      <c r="D2" s="27"/>
      <c r="E2" s="27"/>
    </row>
    <row r="3" spans="1:25" s="10" customFormat="1" ht="13.8" x14ac:dyDescent="0.25">
      <c r="B3" s="28"/>
      <c r="D3" s="29"/>
      <c r="E3" s="29"/>
      <c r="F3" s="29"/>
      <c r="G3" s="75"/>
      <c r="H3" s="75"/>
      <c r="I3" s="75"/>
      <c r="J3" s="75"/>
      <c r="L3" s="14" t="s">
        <v>792</v>
      </c>
      <c r="M3" s="14"/>
      <c r="N3" s="14" t="s">
        <v>793</v>
      </c>
      <c r="O3" s="14"/>
      <c r="P3" s="14"/>
      <c r="Q3" s="14"/>
      <c r="R3" s="14"/>
      <c r="S3" s="14"/>
      <c r="T3" s="14"/>
      <c r="X3" s="26"/>
      <c r="Y3" s="26"/>
    </row>
    <row r="4" spans="1:25" s="10" customFormat="1" ht="13.8" x14ac:dyDescent="0.25">
      <c r="E4" s="31" t="s">
        <v>0</v>
      </c>
      <c r="F4" s="31"/>
      <c r="L4" s="13" t="s">
        <v>17</v>
      </c>
      <c r="M4" s="13"/>
      <c r="N4" s="14"/>
      <c r="O4" s="14"/>
      <c r="P4" s="14"/>
      <c r="Q4" s="14"/>
      <c r="R4" s="14"/>
      <c r="S4" s="14"/>
      <c r="T4" s="14"/>
      <c r="X4" s="26"/>
      <c r="Y4" s="26"/>
    </row>
    <row r="5" spans="1:25" s="10" customFormat="1" ht="13.8" x14ac:dyDescent="0.25">
      <c r="B5" s="33" t="s">
        <v>1</v>
      </c>
      <c r="C5" s="33" t="s">
        <v>794</v>
      </c>
      <c r="D5" s="33" t="s">
        <v>3</v>
      </c>
      <c r="E5" s="34" t="s">
        <v>4</v>
      </c>
      <c r="F5" s="33" t="s">
        <v>14</v>
      </c>
      <c r="G5" s="36" t="s">
        <v>780</v>
      </c>
      <c r="H5" s="36" t="s">
        <v>790</v>
      </c>
      <c r="I5" s="139" t="s">
        <v>840</v>
      </c>
      <c r="J5" s="139" t="s">
        <v>841</v>
      </c>
      <c r="L5" s="16" t="s">
        <v>15</v>
      </c>
      <c r="M5" s="16" t="s">
        <v>39</v>
      </c>
      <c r="N5" s="16" t="s">
        <v>1</v>
      </c>
      <c r="O5" s="16" t="s">
        <v>2</v>
      </c>
      <c r="P5" s="16" t="s">
        <v>18</v>
      </c>
      <c r="Q5" s="16" t="s">
        <v>19</v>
      </c>
      <c r="R5" s="16" t="s">
        <v>20</v>
      </c>
      <c r="S5" s="16" t="s">
        <v>21</v>
      </c>
      <c r="T5" s="16" t="s">
        <v>22</v>
      </c>
      <c r="X5" s="26"/>
      <c r="Y5" s="26"/>
    </row>
    <row r="6" spans="1:25" s="10" customFormat="1" ht="19.5" customHeight="1" thickBot="1" x14ac:dyDescent="0.3">
      <c r="B6" s="41" t="s">
        <v>795</v>
      </c>
      <c r="C6" s="41" t="s">
        <v>28</v>
      </c>
      <c r="D6" s="41" t="s">
        <v>32</v>
      </c>
      <c r="E6" s="42" t="s">
        <v>33</v>
      </c>
      <c r="F6" s="43" t="s">
        <v>35</v>
      </c>
      <c r="G6" s="41" t="s">
        <v>781</v>
      </c>
      <c r="H6" s="41" t="s">
        <v>839</v>
      </c>
      <c r="I6" s="41"/>
      <c r="J6" s="41"/>
      <c r="L6" s="78" t="s">
        <v>796</v>
      </c>
      <c r="M6" s="78" t="s">
        <v>42</v>
      </c>
      <c r="N6" s="78" t="s">
        <v>27</v>
      </c>
      <c r="O6" s="78" t="s">
        <v>28</v>
      </c>
      <c r="P6" s="78" t="s">
        <v>29</v>
      </c>
      <c r="Q6" s="78" t="s">
        <v>30</v>
      </c>
      <c r="R6" s="78" t="s">
        <v>797</v>
      </c>
      <c r="S6" s="78" t="s">
        <v>798</v>
      </c>
      <c r="T6" s="78" t="s">
        <v>31</v>
      </c>
      <c r="U6" s="21"/>
      <c r="X6" s="26"/>
      <c r="Y6" s="26"/>
    </row>
    <row r="7" spans="1:25" s="10" customFormat="1" ht="17.25" customHeight="1" x14ac:dyDescent="0.25">
      <c r="B7" s="80"/>
      <c r="C7" s="81"/>
      <c r="D7" s="81"/>
      <c r="E7" s="82" t="s">
        <v>799</v>
      </c>
      <c r="F7" s="81"/>
      <c r="G7" s="81" t="s">
        <v>782</v>
      </c>
      <c r="H7" s="81" t="s">
        <v>1435</v>
      </c>
      <c r="I7" s="81"/>
      <c r="J7" s="81"/>
      <c r="K7" s="26"/>
      <c r="L7" s="26" t="s">
        <v>800</v>
      </c>
      <c r="N7" s="10" t="str">
        <f>"RSD_DW_DTA1_"&amp;$N$3</f>
        <v>RSD_DW_DTA1_N</v>
      </c>
      <c r="O7" s="10" t="s">
        <v>1001</v>
      </c>
      <c r="P7" s="10" t="str">
        <f>General!$D$23</f>
        <v>000dwellings</v>
      </c>
      <c r="Q7" s="10" t="str">
        <f>General!$D$23</f>
        <v>000dwellings</v>
      </c>
      <c r="T7" s="21" t="s">
        <v>787</v>
      </c>
      <c r="X7" s="26"/>
      <c r="Y7" s="26"/>
    </row>
    <row r="8" spans="1:25" s="10" customFormat="1" ht="14.4" x14ac:dyDescent="0.25">
      <c r="B8" s="26" t="str">
        <f>N7</f>
        <v>RSD_DW_DTA1_N</v>
      </c>
      <c r="C8" s="26" t="str">
        <f>O7</f>
        <v>New Detached-A1</v>
      </c>
      <c r="D8" s="26" t="str">
        <f>Commodities!$AD$15</f>
        <v>RSD_DTA1_SH</v>
      </c>
      <c r="E8" s="140" t="str">
        <f>Commodities!AD7</f>
        <v>RSD_DTA1</v>
      </c>
      <c r="F8" s="136">
        <f>BASE_YEAR+1</f>
        <v>2018</v>
      </c>
      <c r="G8" s="57">
        <v>100</v>
      </c>
      <c r="H8" s="57">
        <f>0.05*(1/0.9)</f>
        <v>5.5555555555555559E-2</v>
      </c>
      <c r="I8" s="141">
        <v>1</v>
      </c>
      <c r="J8" s="141">
        <v>3</v>
      </c>
      <c r="N8" s="10" t="str">
        <f>"RSD_DW_APA1_"&amp;$N$3</f>
        <v>RSD_DW_APA1_N</v>
      </c>
      <c r="O8" s="10" t="s">
        <v>1002</v>
      </c>
      <c r="P8" s="10" t="str">
        <f>General!$D$23</f>
        <v>000dwellings</v>
      </c>
      <c r="Q8" s="10" t="str">
        <f>General!$D$23</f>
        <v>000dwellings</v>
      </c>
      <c r="T8" s="21" t="s">
        <v>787</v>
      </c>
      <c r="X8" s="26"/>
      <c r="Y8" s="26"/>
    </row>
    <row r="9" spans="1:25" s="10" customFormat="1" ht="14.4" x14ac:dyDescent="0.25">
      <c r="B9" s="26"/>
      <c r="C9" s="26"/>
      <c r="D9" s="26" t="str">
        <f>Commodities!$AD$23</f>
        <v>RSD_DTA1_WH</v>
      </c>
      <c r="E9" s="140"/>
      <c r="F9" s="136"/>
      <c r="G9" s="57"/>
      <c r="H9" s="57"/>
      <c r="I9" s="141"/>
      <c r="J9" s="141"/>
      <c r="N9" s="10" t="str">
        <f>"RSD_DW_DTA2_"&amp;$N$3</f>
        <v>RSD_DW_DTA2_N</v>
      </c>
      <c r="O9" s="10" t="s">
        <v>1003</v>
      </c>
      <c r="P9" s="10" t="str">
        <f>General!$D$23</f>
        <v>000dwellings</v>
      </c>
      <c r="Q9" s="10" t="str">
        <f>General!$D$23</f>
        <v>000dwellings</v>
      </c>
      <c r="T9" s="21" t="s">
        <v>787</v>
      </c>
      <c r="X9" s="26"/>
      <c r="Y9" s="26"/>
    </row>
    <row r="10" spans="1:25" s="10" customFormat="1" ht="13.8" x14ac:dyDescent="0.25">
      <c r="B10" s="26"/>
      <c r="C10" s="26"/>
      <c r="D10" s="26" t="str">
        <f>Commodities!$AD$31</f>
        <v>RSD_DTA1_SC</v>
      </c>
      <c r="E10" s="140"/>
      <c r="F10" s="26"/>
      <c r="G10" s="57"/>
      <c r="H10" s="57"/>
      <c r="I10" s="57"/>
      <c r="J10" s="57"/>
      <c r="L10" s="26"/>
      <c r="M10" s="26"/>
      <c r="N10" s="26" t="str">
        <f>"RSD_DW_APA2_"&amp;$N$3</f>
        <v>RSD_DW_APA2_N</v>
      </c>
      <c r="O10" s="26" t="s">
        <v>1006</v>
      </c>
      <c r="P10" s="26" t="str">
        <f>General!$D$23</f>
        <v>000dwellings</v>
      </c>
      <c r="Q10" s="26" t="str">
        <f>General!$D$23</f>
        <v>000dwellings</v>
      </c>
      <c r="R10" s="26"/>
      <c r="S10" s="26"/>
      <c r="T10" s="57" t="s">
        <v>787</v>
      </c>
    </row>
    <row r="11" spans="1:25" s="10" customFormat="1" ht="13.8" x14ac:dyDescent="0.25">
      <c r="A11" s="26"/>
      <c r="B11" s="26"/>
      <c r="C11" s="26"/>
      <c r="D11" s="26" t="str">
        <f>Commodities!$AD$39</f>
        <v>RSD_DTA1_CK</v>
      </c>
      <c r="E11" s="140"/>
      <c r="F11" s="26"/>
      <c r="G11" s="57"/>
      <c r="H11" s="57"/>
      <c r="I11" s="57"/>
      <c r="J11" s="57"/>
      <c r="L11" s="26"/>
      <c r="M11" s="26"/>
      <c r="N11" s="26" t="str">
        <f>"RSD_DW_DTA3_"&amp;$N$3</f>
        <v>RSD_DW_DTA3_N</v>
      </c>
      <c r="O11" s="26" t="s">
        <v>1004</v>
      </c>
      <c r="P11" s="26" t="str">
        <f>General!$D$23</f>
        <v>000dwellings</v>
      </c>
      <c r="Q11" s="26" t="str">
        <f>General!$D$23</f>
        <v>000dwellings</v>
      </c>
      <c r="R11" s="26"/>
      <c r="S11" s="26"/>
      <c r="T11" s="57" t="s">
        <v>787</v>
      </c>
    </row>
    <row r="12" spans="1:25" s="10" customFormat="1" ht="13.8" x14ac:dyDescent="0.25">
      <c r="A12" s="26"/>
      <c r="B12" s="26"/>
      <c r="C12" s="26"/>
      <c r="D12" s="26" t="str">
        <f>Commodities!$AD$47</f>
        <v>RSD_DTA1_LI</v>
      </c>
      <c r="E12" s="140"/>
      <c r="F12" s="136"/>
      <c r="G12" s="57"/>
      <c r="H12" s="57"/>
      <c r="I12" s="57"/>
      <c r="J12" s="57"/>
      <c r="N12" s="10" t="str">
        <f>"RSD_DW_APA3_"&amp;$N$3</f>
        <v>RSD_DW_APA3_N</v>
      </c>
      <c r="O12" s="10" t="s">
        <v>1007</v>
      </c>
      <c r="P12" s="10" t="s">
        <v>785</v>
      </c>
      <c r="Q12" s="10" t="s">
        <v>785</v>
      </c>
      <c r="T12" s="21" t="s">
        <v>787</v>
      </c>
    </row>
    <row r="13" spans="1:25" s="10" customFormat="1" ht="13.8" x14ac:dyDescent="0.25">
      <c r="A13" s="26"/>
      <c r="B13" s="26"/>
      <c r="C13" s="26"/>
      <c r="D13" s="26" t="str">
        <f>Commodities!$AD$55</f>
        <v>RSD_DTA1_RF</v>
      </c>
      <c r="E13" s="140"/>
      <c r="F13" s="136"/>
      <c r="G13" s="57"/>
      <c r="H13" s="57"/>
      <c r="I13" s="57"/>
      <c r="J13" s="57"/>
      <c r="K13" s="26"/>
      <c r="L13" s="26"/>
      <c r="M13" s="26"/>
      <c r="N13" s="26" t="str">
        <f>"RSD_DW_DTA4_"&amp;$N$3</f>
        <v>RSD_DW_DTA4_N</v>
      </c>
      <c r="O13" s="26" t="s">
        <v>1005</v>
      </c>
      <c r="P13" s="26" t="s">
        <v>785</v>
      </c>
      <c r="Q13" s="26" t="s">
        <v>785</v>
      </c>
      <c r="R13" s="26"/>
      <c r="S13" s="26"/>
      <c r="T13" s="57" t="s">
        <v>787</v>
      </c>
    </row>
    <row r="14" spans="1:25" s="10" customFormat="1" ht="13.8" x14ac:dyDescent="0.25">
      <c r="A14" s="26"/>
      <c r="B14" s="26"/>
      <c r="C14" s="26"/>
      <c r="D14" s="26" t="str">
        <f>Commodities!$AD$63</f>
        <v>RSD_DTA1_CW</v>
      </c>
      <c r="E14" s="140"/>
      <c r="F14" s="26"/>
      <c r="G14" s="57"/>
      <c r="H14" s="57"/>
      <c r="I14" s="57"/>
      <c r="J14" s="57"/>
      <c r="K14" s="26"/>
      <c r="L14" s="26"/>
      <c r="M14" s="26"/>
      <c r="N14" s="26" t="str">
        <f>"RSD_DW_APA4_"&amp;$N$3</f>
        <v>RSD_DW_APA4_N</v>
      </c>
      <c r="O14" s="26" t="s">
        <v>1008</v>
      </c>
      <c r="P14" s="26" t="s">
        <v>785</v>
      </c>
      <c r="Q14" s="26" t="s">
        <v>785</v>
      </c>
      <c r="R14" s="26"/>
      <c r="S14" s="26"/>
      <c r="T14" s="57" t="s">
        <v>787</v>
      </c>
    </row>
    <row r="15" spans="1:25" s="10" customFormat="1" ht="13.8" x14ac:dyDescent="0.25">
      <c r="A15" s="26"/>
      <c r="B15" s="26"/>
      <c r="C15" s="26"/>
      <c r="D15" s="26" t="str">
        <f>Commodities!$AD$71</f>
        <v>RSD_DTA1_DW</v>
      </c>
      <c r="E15" s="140"/>
      <c r="F15" s="26"/>
      <c r="G15" s="57"/>
      <c r="H15" s="57"/>
      <c r="I15" s="57"/>
      <c r="J15" s="57"/>
      <c r="K15" s="26"/>
      <c r="L15" s="11"/>
      <c r="M15" s="11"/>
      <c r="N15" s="11"/>
      <c r="O15" s="11"/>
      <c r="P15" s="11"/>
      <c r="Q15" s="11"/>
      <c r="R15" s="11"/>
      <c r="S15" s="11"/>
      <c r="T15" s="22"/>
      <c r="U15" s="26"/>
    </row>
    <row r="16" spans="1:25" s="10" customFormat="1" ht="13.8" x14ac:dyDescent="0.25">
      <c r="A16" s="26"/>
      <c r="B16" s="11"/>
      <c r="C16" s="11"/>
      <c r="D16" s="11" t="str">
        <f>Commodities!$AD$79</f>
        <v>RSD_DTA1_AP</v>
      </c>
      <c r="E16" s="142"/>
      <c r="F16" s="143"/>
      <c r="G16" s="22"/>
      <c r="H16" s="22"/>
      <c r="I16" s="22"/>
      <c r="J16" s="22"/>
      <c r="K16" s="26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s="10" customFormat="1" ht="14.4" x14ac:dyDescent="0.25">
      <c r="A17" s="26"/>
      <c r="B17" s="26" t="str">
        <f>N8</f>
        <v>RSD_DW_APA1_N</v>
      </c>
      <c r="C17" s="26" t="str">
        <f>O8</f>
        <v>New Apartment-A1</v>
      </c>
      <c r="D17" s="26" t="str">
        <f>Commodities!$AD$16</f>
        <v>RSD_APA1_SH</v>
      </c>
      <c r="E17" s="140" t="str">
        <f>Commodities!AD8</f>
        <v>RSD_APA1</v>
      </c>
      <c r="F17" s="136">
        <f>BASE_YEAR+1</f>
        <v>2018</v>
      </c>
      <c r="G17" s="57">
        <f>G8</f>
        <v>100</v>
      </c>
      <c r="H17" s="57">
        <f>H8</f>
        <v>5.5555555555555559E-2</v>
      </c>
      <c r="I17" s="141">
        <v>1</v>
      </c>
      <c r="J17" s="141">
        <v>3</v>
      </c>
      <c r="K17" s="26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s="10" customFormat="1" ht="13.8" x14ac:dyDescent="0.25">
      <c r="A18" s="26"/>
      <c r="B18" s="26"/>
      <c r="C18" s="26"/>
      <c r="D18" s="26" t="str">
        <f>Commodities!$AD$24</f>
        <v>RSD_APA1_WH</v>
      </c>
      <c r="E18" s="140"/>
      <c r="F18" s="136"/>
      <c r="G18" s="57"/>
      <c r="H18" s="57"/>
      <c r="I18" s="57"/>
      <c r="J18" s="57"/>
      <c r="K18" s="26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s="10" customFormat="1" ht="13.8" x14ac:dyDescent="0.25">
      <c r="A19" s="26"/>
      <c r="B19" s="26"/>
      <c r="C19" s="26"/>
      <c r="D19" s="26" t="str">
        <f>Commodities!$AD$32</f>
        <v>RSD_APA1_SC</v>
      </c>
      <c r="E19" s="140"/>
      <c r="F19" s="26"/>
      <c r="G19" s="57"/>
      <c r="H19" s="57"/>
      <c r="I19" s="57"/>
      <c r="J19" s="57"/>
      <c r="K19" s="26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3.8" x14ac:dyDescent="0.25">
      <c r="B20" s="26"/>
      <c r="C20" s="26"/>
      <c r="D20" s="26" t="str">
        <f>Commodities!$AD$40</f>
        <v>RSD_APA1_CK</v>
      </c>
      <c r="E20" s="140"/>
      <c r="F20" s="26"/>
      <c r="G20" s="57"/>
      <c r="H20" s="57"/>
      <c r="I20" s="57"/>
      <c r="J20" s="57"/>
      <c r="K20" s="32"/>
    </row>
    <row r="21" spans="1:21" ht="13.8" x14ac:dyDescent="0.25">
      <c r="B21" s="26"/>
      <c r="C21" s="26"/>
      <c r="D21" s="26" t="str">
        <f>Commodities!$AD$48</f>
        <v>RSD_APA1_LI</v>
      </c>
      <c r="E21" s="140"/>
      <c r="F21" s="136"/>
      <c r="G21" s="57"/>
      <c r="H21" s="57"/>
      <c r="I21" s="57"/>
      <c r="J21" s="57"/>
    </row>
    <row r="22" spans="1:21" ht="13.8" x14ac:dyDescent="0.25">
      <c r="B22" s="26"/>
      <c r="C22" s="26"/>
      <c r="D22" s="26" t="str">
        <f>Commodities!$AD$56</f>
        <v>RSD_APA1_RF</v>
      </c>
      <c r="E22" s="140"/>
      <c r="F22" s="136"/>
      <c r="G22" s="57"/>
      <c r="H22" s="57"/>
      <c r="I22" s="57"/>
      <c r="J22" s="57"/>
    </row>
    <row r="23" spans="1:21" ht="13.8" x14ac:dyDescent="0.25">
      <c r="B23" s="26"/>
      <c r="C23" s="26"/>
      <c r="D23" s="26" t="str">
        <f>Commodities!$AD$64</f>
        <v>RSD_APA1_CW</v>
      </c>
      <c r="E23" s="140"/>
      <c r="F23" s="26"/>
      <c r="G23" s="57"/>
      <c r="H23" s="57"/>
      <c r="I23" s="57"/>
      <c r="J23" s="57"/>
    </row>
    <row r="24" spans="1:21" ht="13.8" x14ac:dyDescent="0.25">
      <c r="B24" s="26"/>
      <c r="C24" s="26"/>
      <c r="D24" s="26" t="str">
        <f>Commodities!$AD$72</f>
        <v>RSD_APA1_DW</v>
      </c>
      <c r="E24" s="140"/>
      <c r="F24" s="26"/>
      <c r="G24" s="57"/>
      <c r="H24" s="57"/>
      <c r="I24" s="57"/>
      <c r="J24" s="57"/>
    </row>
    <row r="25" spans="1:21" ht="13.8" x14ac:dyDescent="0.25">
      <c r="B25" s="11"/>
      <c r="C25" s="11"/>
      <c r="D25" s="11" t="str">
        <f>Commodities!$AD$80</f>
        <v>RSD_APA1_AP</v>
      </c>
      <c r="E25" s="142"/>
      <c r="F25" s="143"/>
      <c r="G25" s="22"/>
      <c r="H25" s="22"/>
      <c r="I25" s="22"/>
      <c r="J25" s="22"/>
    </row>
    <row r="26" spans="1:21" ht="14.4" x14ac:dyDescent="0.25">
      <c r="B26" s="26" t="str">
        <f>N9</f>
        <v>RSD_DW_DTA2_N</v>
      </c>
      <c r="C26" s="26" t="str">
        <f>O9</f>
        <v>New Detached-A2</v>
      </c>
      <c r="D26" s="26" t="str">
        <f>Commodities!$AD$17</f>
        <v>RSD_DTA2_SH</v>
      </c>
      <c r="E26" s="140" t="str">
        <f>Commodities!AD9</f>
        <v>RSD_DTA2</v>
      </c>
      <c r="F26" s="136">
        <f>BASE_YEAR+1</f>
        <v>2018</v>
      </c>
      <c r="G26" s="57">
        <f>G17</f>
        <v>100</v>
      </c>
      <c r="H26" s="57">
        <f>H17</f>
        <v>5.5555555555555559E-2</v>
      </c>
      <c r="I26" s="141">
        <v>1</v>
      </c>
      <c r="J26" s="141">
        <v>3</v>
      </c>
    </row>
    <row r="27" spans="1:21" ht="13.8" x14ac:dyDescent="0.25">
      <c r="B27" s="26"/>
      <c r="C27" s="26"/>
      <c r="D27" s="26" t="str">
        <f>Commodities!$AD$25</f>
        <v>RSD_DTA2_WH</v>
      </c>
      <c r="E27" s="140"/>
      <c r="F27" s="136"/>
      <c r="G27" s="57"/>
      <c r="H27" s="57"/>
      <c r="I27" s="57"/>
      <c r="J27" s="57"/>
    </row>
    <row r="28" spans="1:21" ht="13.8" x14ac:dyDescent="0.25">
      <c r="B28" s="26"/>
      <c r="C28" s="26"/>
      <c r="D28" s="26" t="str">
        <f>Commodities!$AD$33</f>
        <v>RSD_DTA2_SC</v>
      </c>
      <c r="E28" s="140"/>
      <c r="F28" s="26"/>
      <c r="G28" s="57"/>
      <c r="H28" s="57"/>
      <c r="I28" s="57"/>
      <c r="J28" s="57"/>
    </row>
    <row r="29" spans="1:21" ht="13.8" x14ac:dyDescent="0.25">
      <c r="B29" s="26"/>
      <c r="C29" s="26"/>
      <c r="D29" s="26" t="str">
        <f>Commodities!$AD$41</f>
        <v>RSD_DTA2_CK</v>
      </c>
      <c r="E29" s="140"/>
      <c r="F29" s="26"/>
      <c r="G29" s="57"/>
      <c r="H29" s="57"/>
      <c r="I29" s="57"/>
      <c r="J29" s="57"/>
    </row>
    <row r="30" spans="1:21" ht="13.8" x14ac:dyDescent="0.25">
      <c r="B30" s="26"/>
      <c r="C30" s="26"/>
      <c r="D30" s="26" t="str">
        <f>Commodities!$AD$49</f>
        <v>RSD_DTA2_LI</v>
      </c>
      <c r="E30" s="140"/>
      <c r="F30" s="136"/>
      <c r="G30" s="57"/>
      <c r="H30" s="57"/>
      <c r="I30" s="57"/>
      <c r="J30" s="57"/>
    </row>
    <row r="31" spans="1:21" ht="13.8" x14ac:dyDescent="0.25">
      <c r="B31" s="26"/>
      <c r="C31" s="26"/>
      <c r="D31" s="26" t="str">
        <f>Commodities!$AD$57</f>
        <v>RSD_DTA2_RF</v>
      </c>
      <c r="E31" s="140"/>
      <c r="F31" s="136"/>
      <c r="G31" s="57"/>
      <c r="H31" s="57"/>
      <c r="I31" s="57"/>
      <c r="J31" s="57"/>
    </row>
    <row r="32" spans="1:21" ht="13.8" x14ac:dyDescent="0.25">
      <c r="B32" s="26"/>
      <c r="C32" s="26"/>
      <c r="D32" s="26" t="str">
        <f>Commodities!$AD$65</f>
        <v>RSD_DTA2_CW</v>
      </c>
      <c r="E32" s="140"/>
      <c r="F32" s="26"/>
      <c r="G32" s="57"/>
      <c r="H32" s="57"/>
      <c r="I32" s="57"/>
      <c r="J32" s="57"/>
    </row>
    <row r="33" spans="2:10" ht="13.8" x14ac:dyDescent="0.25">
      <c r="B33" s="26"/>
      <c r="C33" s="26"/>
      <c r="D33" s="26" t="str">
        <f>Commodities!$AD$73</f>
        <v>RSD_DTA2_DW</v>
      </c>
      <c r="E33" s="140"/>
      <c r="F33" s="26"/>
      <c r="G33" s="57"/>
      <c r="H33" s="57"/>
      <c r="I33" s="57"/>
      <c r="J33" s="57"/>
    </row>
    <row r="34" spans="2:10" ht="13.8" x14ac:dyDescent="0.25">
      <c r="B34" s="11"/>
      <c r="C34" s="11"/>
      <c r="D34" s="11" t="str">
        <f>Commodities!$AD$81</f>
        <v>RSD_DTA2_AP</v>
      </c>
      <c r="E34" s="142"/>
      <c r="F34" s="143"/>
      <c r="G34" s="22"/>
      <c r="H34" s="22"/>
      <c r="I34" s="22"/>
      <c r="J34" s="22"/>
    </row>
    <row r="35" spans="2:10" ht="14.4" x14ac:dyDescent="0.25">
      <c r="B35" s="26" t="str">
        <f>N10</f>
        <v>RSD_DW_APA2_N</v>
      </c>
      <c r="C35" s="26" t="str">
        <f>O10</f>
        <v>New Apartment-A2</v>
      </c>
      <c r="D35" s="26" t="str">
        <f>Commodities!$AD$18</f>
        <v>RSD_APA2_SH</v>
      </c>
      <c r="E35" s="140" t="str">
        <f>Commodities!AD10</f>
        <v>RSD_APA2</v>
      </c>
      <c r="F35" s="136">
        <f>BASE_YEAR+1</f>
        <v>2018</v>
      </c>
      <c r="G35" s="57">
        <f>G26</f>
        <v>100</v>
      </c>
      <c r="H35" s="57">
        <f>H26</f>
        <v>5.5555555555555559E-2</v>
      </c>
      <c r="I35" s="141">
        <v>1</v>
      </c>
      <c r="J35" s="141">
        <v>3</v>
      </c>
    </row>
    <row r="36" spans="2:10" ht="13.8" x14ac:dyDescent="0.25">
      <c r="B36" s="26"/>
      <c r="C36" s="26"/>
      <c r="D36" s="26" t="str">
        <f>Commodities!$AD$26</f>
        <v>RSD_APA2_WH</v>
      </c>
      <c r="E36" s="140"/>
      <c r="F36" s="136"/>
      <c r="G36" s="57"/>
      <c r="H36" s="57"/>
      <c r="I36" s="57"/>
      <c r="J36" s="57"/>
    </row>
    <row r="37" spans="2:10" ht="13.8" x14ac:dyDescent="0.25">
      <c r="B37" s="26"/>
      <c r="C37" s="26"/>
      <c r="D37" s="26" t="str">
        <f>Commodities!$AD$34</f>
        <v>RSD_APA2_SC</v>
      </c>
      <c r="E37" s="140"/>
      <c r="F37" s="26"/>
      <c r="G37" s="57"/>
      <c r="H37" s="57"/>
      <c r="I37" s="57"/>
      <c r="J37" s="57"/>
    </row>
    <row r="38" spans="2:10" ht="13.8" x14ac:dyDescent="0.25">
      <c r="B38" s="26"/>
      <c r="C38" s="26"/>
      <c r="D38" s="26" t="str">
        <f>Commodities!$AD$42</f>
        <v>RSD_APA2_CK</v>
      </c>
      <c r="E38" s="140"/>
      <c r="F38" s="26"/>
      <c r="G38" s="57"/>
      <c r="H38" s="57"/>
      <c r="I38" s="57"/>
      <c r="J38" s="57"/>
    </row>
    <row r="39" spans="2:10" ht="13.8" x14ac:dyDescent="0.25">
      <c r="B39" s="26"/>
      <c r="C39" s="26"/>
      <c r="D39" s="26" t="str">
        <f>Commodities!$AD$50</f>
        <v>RSD_APA2_LI</v>
      </c>
      <c r="E39" s="140"/>
      <c r="F39" s="136"/>
      <c r="G39" s="57"/>
      <c r="H39" s="57"/>
      <c r="I39" s="57"/>
      <c r="J39" s="57"/>
    </row>
    <row r="40" spans="2:10" ht="13.8" x14ac:dyDescent="0.25">
      <c r="B40" s="26"/>
      <c r="C40" s="26"/>
      <c r="D40" s="26" t="str">
        <f>Commodities!$AD$58</f>
        <v>RSD_APA2_RF</v>
      </c>
      <c r="E40" s="140"/>
      <c r="F40" s="136"/>
      <c r="G40" s="57"/>
      <c r="H40" s="57"/>
      <c r="I40" s="57"/>
      <c r="J40" s="57"/>
    </row>
    <row r="41" spans="2:10" ht="13.8" x14ac:dyDescent="0.25">
      <c r="B41" s="26"/>
      <c r="C41" s="26"/>
      <c r="D41" s="26" t="str">
        <f>Commodities!$AD$66</f>
        <v>RSD_APA2_CW</v>
      </c>
      <c r="E41" s="140"/>
      <c r="F41" s="26"/>
      <c r="G41" s="57"/>
      <c r="H41" s="57"/>
      <c r="I41" s="57"/>
      <c r="J41" s="57"/>
    </row>
    <row r="42" spans="2:10" ht="13.8" x14ac:dyDescent="0.25">
      <c r="B42" s="26"/>
      <c r="C42" s="26"/>
      <c r="D42" s="26" t="str">
        <f>Commodities!$AD$74</f>
        <v>RSD_APA2_DW</v>
      </c>
      <c r="E42" s="140"/>
      <c r="F42" s="26"/>
      <c r="G42" s="57"/>
      <c r="H42" s="57"/>
      <c r="I42" s="57"/>
      <c r="J42" s="57"/>
    </row>
    <row r="43" spans="2:10" ht="13.8" x14ac:dyDescent="0.25">
      <c r="B43" s="11"/>
      <c r="C43" s="11"/>
      <c r="D43" s="11" t="str">
        <f>Commodities!$AD$82</f>
        <v>RSD_APA2_AP</v>
      </c>
      <c r="E43" s="142"/>
      <c r="F43" s="143"/>
      <c r="G43" s="22"/>
      <c r="H43" s="22"/>
      <c r="I43" s="22"/>
      <c r="J43" s="22"/>
    </row>
    <row r="44" spans="2:10" ht="14.4" x14ac:dyDescent="0.25">
      <c r="B44" s="26" t="str">
        <f>N11</f>
        <v>RSD_DW_DTA3_N</v>
      </c>
      <c r="C44" s="26" t="str">
        <f>O11</f>
        <v>New Detached-A3</v>
      </c>
      <c r="D44" s="26" t="str">
        <f>Commodities!$AD$19</f>
        <v>RSD_DTA3_SH</v>
      </c>
      <c r="E44" s="140" t="str">
        <f>Commodities!AD11</f>
        <v>RSD_DTA3</v>
      </c>
      <c r="F44" s="136">
        <f>BASE_YEAR+1</f>
        <v>2018</v>
      </c>
      <c r="G44" s="57">
        <f>G35</f>
        <v>100</v>
      </c>
      <c r="H44" s="57">
        <f>H35</f>
        <v>5.5555555555555559E-2</v>
      </c>
      <c r="I44" s="141">
        <v>1</v>
      </c>
      <c r="J44" s="141">
        <v>3</v>
      </c>
    </row>
    <row r="45" spans="2:10" ht="13.8" x14ac:dyDescent="0.25">
      <c r="B45" s="26"/>
      <c r="C45" s="26"/>
      <c r="D45" s="26" t="str">
        <f>Commodities!$AD$27</f>
        <v>RSD_DTA3_WH</v>
      </c>
      <c r="E45" s="140"/>
      <c r="F45" s="136"/>
      <c r="G45" s="57"/>
      <c r="H45" s="57"/>
      <c r="I45" s="57"/>
      <c r="J45" s="57"/>
    </row>
    <row r="46" spans="2:10" ht="13.8" x14ac:dyDescent="0.25">
      <c r="B46" s="26"/>
      <c r="C46" s="26"/>
      <c r="D46" s="26" t="str">
        <f>Commodities!$AD$35</f>
        <v>RSD_DTA3_SC</v>
      </c>
      <c r="E46" s="140"/>
      <c r="F46" s="26"/>
      <c r="G46" s="57"/>
      <c r="H46" s="57"/>
      <c r="I46" s="57"/>
      <c r="J46" s="57"/>
    </row>
    <row r="47" spans="2:10" ht="13.8" x14ac:dyDescent="0.25">
      <c r="B47" s="26"/>
      <c r="C47" s="26"/>
      <c r="D47" s="26" t="str">
        <f>Commodities!$AD$43</f>
        <v>RSD_DTA3_CK</v>
      </c>
      <c r="E47" s="140"/>
      <c r="F47" s="26"/>
      <c r="G47" s="57"/>
      <c r="H47" s="57"/>
      <c r="I47" s="57"/>
      <c r="J47" s="57"/>
    </row>
    <row r="48" spans="2:10" ht="13.8" x14ac:dyDescent="0.25">
      <c r="B48" s="26"/>
      <c r="C48" s="26"/>
      <c r="D48" s="26" t="str">
        <f>Commodities!$AD$51</f>
        <v>RSD_DTA3_LI</v>
      </c>
      <c r="E48" s="140"/>
      <c r="F48" s="136"/>
      <c r="G48" s="57"/>
      <c r="H48" s="57"/>
      <c r="I48" s="57"/>
      <c r="J48" s="57"/>
    </row>
    <row r="49" spans="2:10" ht="13.8" x14ac:dyDescent="0.25">
      <c r="B49" s="26"/>
      <c r="C49" s="26"/>
      <c r="D49" s="26" t="str">
        <f>Commodities!$AD$59</f>
        <v>RSD_DTA3_RF</v>
      </c>
      <c r="E49" s="140"/>
      <c r="F49" s="136"/>
      <c r="G49" s="57"/>
      <c r="H49" s="57"/>
      <c r="I49" s="57"/>
      <c r="J49" s="57"/>
    </row>
    <row r="50" spans="2:10" ht="13.8" x14ac:dyDescent="0.25">
      <c r="B50" s="26"/>
      <c r="C50" s="26"/>
      <c r="D50" s="26" t="str">
        <f>Commodities!$AD$67</f>
        <v>RSD_DTA3_CW</v>
      </c>
      <c r="E50" s="140"/>
      <c r="F50" s="26"/>
      <c r="G50" s="57"/>
      <c r="H50" s="57"/>
      <c r="I50" s="57"/>
      <c r="J50" s="57"/>
    </row>
    <row r="51" spans="2:10" ht="13.8" x14ac:dyDescent="0.25">
      <c r="B51" s="26"/>
      <c r="C51" s="26"/>
      <c r="D51" s="26" t="str">
        <f>Commodities!$AD$75</f>
        <v>RSD_DTA3_DW</v>
      </c>
      <c r="E51" s="140"/>
      <c r="F51" s="26"/>
      <c r="G51" s="57"/>
      <c r="H51" s="57"/>
      <c r="I51" s="57"/>
      <c r="J51" s="57"/>
    </row>
    <row r="52" spans="2:10" ht="13.8" x14ac:dyDescent="0.25">
      <c r="B52" s="11"/>
      <c r="C52" s="11"/>
      <c r="D52" s="11" t="str">
        <f>Commodities!$AD$83</f>
        <v>RSD_DTA3_AP</v>
      </c>
      <c r="E52" s="142"/>
      <c r="F52" s="143"/>
      <c r="G52" s="22"/>
      <c r="H52" s="22"/>
      <c r="I52" s="22"/>
      <c r="J52" s="22"/>
    </row>
    <row r="53" spans="2:10" ht="14.4" x14ac:dyDescent="0.25">
      <c r="B53" s="26" t="str">
        <f>N12</f>
        <v>RSD_DW_APA3_N</v>
      </c>
      <c r="C53" s="26" t="str">
        <f>O12</f>
        <v>New Apartment-A3</v>
      </c>
      <c r="D53" s="26" t="str">
        <f>Commodities!$AD$20</f>
        <v>RSD_APA3_SH</v>
      </c>
      <c r="E53" s="140" t="str">
        <f>Commodities!AD12</f>
        <v>RSD_APA3</v>
      </c>
      <c r="F53" s="136">
        <f>BASE_YEAR+1</f>
        <v>2018</v>
      </c>
      <c r="G53" s="57">
        <f>G44</f>
        <v>100</v>
      </c>
      <c r="H53" s="57">
        <f>H44</f>
        <v>5.5555555555555559E-2</v>
      </c>
      <c r="I53" s="141">
        <v>1</v>
      </c>
      <c r="J53" s="141">
        <v>3</v>
      </c>
    </row>
    <row r="54" spans="2:10" ht="13.8" x14ac:dyDescent="0.25">
      <c r="B54" s="26"/>
      <c r="C54" s="26"/>
      <c r="D54" s="26" t="str">
        <f>Commodities!$AD$28</f>
        <v>RSD_APA3_WH</v>
      </c>
      <c r="E54" s="140"/>
      <c r="F54" s="136"/>
      <c r="G54" s="57"/>
      <c r="H54" s="57"/>
      <c r="I54" s="57"/>
      <c r="J54" s="57"/>
    </row>
    <row r="55" spans="2:10" ht="13.8" x14ac:dyDescent="0.25">
      <c r="B55" s="26"/>
      <c r="C55" s="26"/>
      <c r="D55" s="26" t="str">
        <f>Commodities!$AD$36</f>
        <v>RSD_APA3_SC</v>
      </c>
      <c r="E55" s="140"/>
      <c r="F55" s="26"/>
      <c r="G55" s="57"/>
      <c r="H55" s="57"/>
      <c r="I55" s="57"/>
      <c r="J55" s="57"/>
    </row>
    <row r="56" spans="2:10" ht="13.8" x14ac:dyDescent="0.25">
      <c r="B56" s="26"/>
      <c r="C56" s="26"/>
      <c r="D56" s="26" t="str">
        <f>Commodities!$AD$44</f>
        <v>RSD_APA3_CK</v>
      </c>
      <c r="E56" s="140"/>
      <c r="F56" s="26"/>
      <c r="G56" s="57"/>
      <c r="H56" s="57"/>
      <c r="I56" s="57"/>
      <c r="J56" s="57"/>
    </row>
    <row r="57" spans="2:10" ht="13.8" x14ac:dyDescent="0.25">
      <c r="B57" s="26"/>
      <c r="C57" s="26"/>
      <c r="D57" s="26" t="str">
        <f>Commodities!$AD$52</f>
        <v>RSD_APA3_LI</v>
      </c>
      <c r="E57" s="140"/>
      <c r="F57" s="136"/>
      <c r="G57" s="57"/>
      <c r="H57" s="57"/>
      <c r="I57" s="57"/>
      <c r="J57" s="57"/>
    </row>
    <row r="58" spans="2:10" ht="13.8" x14ac:dyDescent="0.25">
      <c r="B58" s="26"/>
      <c r="C58" s="26"/>
      <c r="D58" s="26" t="str">
        <f>Commodities!$AD$60</f>
        <v>RSD_APA3_RF</v>
      </c>
      <c r="E58" s="140"/>
      <c r="F58" s="136"/>
      <c r="G58" s="57"/>
      <c r="H58" s="57"/>
      <c r="I58" s="57"/>
      <c r="J58" s="57"/>
    </row>
    <row r="59" spans="2:10" ht="13.8" x14ac:dyDescent="0.25">
      <c r="B59" s="26"/>
      <c r="C59" s="26"/>
      <c r="D59" s="26" t="str">
        <f>Commodities!$AD$68</f>
        <v>RSD_APA3_CW</v>
      </c>
      <c r="E59" s="140"/>
      <c r="F59" s="26"/>
      <c r="G59" s="57"/>
      <c r="H59" s="57"/>
      <c r="I59" s="57"/>
      <c r="J59" s="57"/>
    </row>
    <row r="60" spans="2:10" ht="13.8" x14ac:dyDescent="0.25">
      <c r="B60" s="26"/>
      <c r="C60" s="26"/>
      <c r="D60" s="26" t="str">
        <f>Commodities!$AD$76</f>
        <v>RSD_APA3_DW</v>
      </c>
      <c r="E60" s="140"/>
      <c r="F60" s="26"/>
      <c r="G60" s="57"/>
      <c r="H60" s="57"/>
      <c r="I60" s="57"/>
      <c r="J60" s="57"/>
    </row>
    <row r="61" spans="2:10" ht="13.8" x14ac:dyDescent="0.25">
      <c r="B61" s="11"/>
      <c r="C61" s="11"/>
      <c r="D61" s="11" t="str">
        <f>Commodities!$AD$84</f>
        <v>RSD_APA3_AP</v>
      </c>
      <c r="E61" s="142"/>
      <c r="F61" s="143"/>
      <c r="G61" s="22"/>
      <c r="H61" s="22"/>
      <c r="I61" s="22"/>
      <c r="J61" s="22"/>
    </row>
    <row r="62" spans="2:10" ht="14.4" x14ac:dyDescent="0.25">
      <c r="B62" s="26" t="str">
        <f>N13</f>
        <v>RSD_DW_DTA4_N</v>
      </c>
      <c r="C62" s="26" t="str">
        <f>O13</f>
        <v>New Detached-A4</v>
      </c>
      <c r="D62" s="26" t="str">
        <f>Commodities!$AD$21</f>
        <v>RSD_DTA4_SH</v>
      </c>
      <c r="E62" s="140" t="str">
        <f>Commodities!AD13</f>
        <v>RSD_DTA4</v>
      </c>
      <c r="F62" s="136">
        <f>BASE_YEAR+1</f>
        <v>2018</v>
      </c>
      <c r="G62" s="57">
        <f>G53</f>
        <v>100</v>
      </c>
      <c r="H62" s="57">
        <f>H53</f>
        <v>5.5555555555555559E-2</v>
      </c>
      <c r="I62" s="141">
        <v>1</v>
      </c>
      <c r="J62" s="141">
        <v>3</v>
      </c>
    </row>
    <row r="63" spans="2:10" ht="13.8" x14ac:dyDescent="0.25">
      <c r="B63" s="26"/>
      <c r="C63" s="26"/>
      <c r="D63" s="26" t="str">
        <f>Commodities!$AD$29</f>
        <v>RSD_DTA4_WH</v>
      </c>
      <c r="E63" s="140"/>
      <c r="F63" s="136"/>
      <c r="G63" s="57"/>
      <c r="H63" s="57"/>
      <c r="I63" s="57"/>
      <c r="J63" s="57"/>
    </row>
    <row r="64" spans="2:10" ht="13.8" x14ac:dyDescent="0.25">
      <c r="B64" s="26"/>
      <c r="C64" s="26"/>
      <c r="D64" s="26" t="str">
        <f>Commodities!$AD$37</f>
        <v>RSD_DTA4_SC</v>
      </c>
      <c r="E64" s="140"/>
      <c r="F64" s="26"/>
      <c r="G64" s="57"/>
      <c r="H64" s="57"/>
      <c r="I64" s="57"/>
      <c r="J64" s="57"/>
    </row>
    <row r="65" spans="2:10" ht="13.8" x14ac:dyDescent="0.25">
      <c r="B65" s="26"/>
      <c r="C65" s="26"/>
      <c r="D65" s="26" t="str">
        <f>Commodities!$AD$45</f>
        <v>RSD_DTA4_CK</v>
      </c>
      <c r="E65" s="140"/>
      <c r="F65" s="26"/>
      <c r="G65" s="57"/>
      <c r="H65" s="57"/>
      <c r="I65" s="57"/>
      <c r="J65" s="57"/>
    </row>
    <row r="66" spans="2:10" ht="13.8" x14ac:dyDescent="0.25">
      <c r="B66" s="26"/>
      <c r="C66" s="26"/>
      <c r="D66" s="26" t="str">
        <f>Commodities!$AD$53</f>
        <v>RSD_DTA4_LI</v>
      </c>
      <c r="E66" s="140"/>
      <c r="F66" s="136"/>
      <c r="G66" s="57"/>
      <c r="H66" s="57"/>
      <c r="I66" s="57"/>
      <c r="J66" s="57"/>
    </row>
    <row r="67" spans="2:10" ht="13.8" x14ac:dyDescent="0.25">
      <c r="B67" s="26"/>
      <c r="C67" s="26"/>
      <c r="D67" s="26" t="str">
        <f>Commodities!$AD$61</f>
        <v>RSD_DTA4_RF</v>
      </c>
      <c r="E67" s="140"/>
      <c r="F67" s="136"/>
      <c r="G67" s="57"/>
      <c r="H67" s="57"/>
      <c r="I67" s="57"/>
      <c r="J67" s="57"/>
    </row>
    <row r="68" spans="2:10" ht="13.8" x14ac:dyDescent="0.25">
      <c r="B68" s="26"/>
      <c r="C68" s="26"/>
      <c r="D68" s="26" t="str">
        <f>Commodities!$AD$69</f>
        <v>RSD_DTA4_CW</v>
      </c>
      <c r="E68" s="140"/>
      <c r="F68" s="26"/>
      <c r="G68" s="57"/>
      <c r="H68" s="57"/>
      <c r="I68" s="57"/>
      <c r="J68" s="57"/>
    </row>
    <row r="69" spans="2:10" ht="13.8" x14ac:dyDescent="0.25">
      <c r="B69" s="26"/>
      <c r="C69" s="26"/>
      <c r="D69" s="26" t="str">
        <f>Commodities!$AD$77</f>
        <v>RSD_DTA4_DW</v>
      </c>
      <c r="E69" s="140"/>
      <c r="F69" s="26"/>
      <c r="G69" s="57"/>
      <c r="H69" s="57"/>
      <c r="I69" s="57"/>
      <c r="J69" s="57"/>
    </row>
    <row r="70" spans="2:10" ht="13.8" x14ac:dyDescent="0.25">
      <c r="B70" s="11"/>
      <c r="C70" s="11"/>
      <c r="D70" s="11" t="str">
        <f>Commodities!$AD$85</f>
        <v>RSD_DTA4_AP</v>
      </c>
      <c r="E70" s="142"/>
      <c r="F70" s="143"/>
      <c r="G70" s="22"/>
      <c r="H70" s="22"/>
      <c r="I70" s="22"/>
      <c r="J70" s="22"/>
    </row>
    <row r="71" spans="2:10" ht="14.4" x14ac:dyDescent="0.25">
      <c r="B71" s="26" t="str">
        <f>N14</f>
        <v>RSD_DW_APA4_N</v>
      </c>
      <c r="C71" s="26" t="str">
        <f>O14</f>
        <v>New Apartment-A4</v>
      </c>
      <c r="D71" s="26" t="str">
        <f>Commodities!$AD$22</f>
        <v>RSD_APA4_SH</v>
      </c>
      <c r="E71" s="140" t="str">
        <f>Commodities!AD14</f>
        <v>RSD_APA4</v>
      </c>
      <c r="F71" s="136">
        <f>BASE_YEAR+1</f>
        <v>2018</v>
      </c>
      <c r="G71" s="57">
        <f>G62</f>
        <v>100</v>
      </c>
      <c r="H71" s="57">
        <f>H62</f>
        <v>5.5555555555555559E-2</v>
      </c>
      <c r="I71" s="141">
        <v>1</v>
      </c>
      <c r="J71" s="141">
        <v>3</v>
      </c>
    </row>
    <row r="72" spans="2:10" ht="13.8" x14ac:dyDescent="0.25">
      <c r="B72" s="26"/>
      <c r="C72" s="26"/>
      <c r="D72" s="26" t="str">
        <f>Commodities!$AD$30</f>
        <v>RSD_APA4_WH</v>
      </c>
      <c r="E72" s="140"/>
      <c r="F72" s="136"/>
      <c r="G72" s="57"/>
      <c r="H72" s="57"/>
      <c r="I72" s="57"/>
      <c r="J72" s="57"/>
    </row>
    <row r="73" spans="2:10" ht="13.8" x14ac:dyDescent="0.25">
      <c r="B73" s="26"/>
      <c r="C73" s="26"/>
      <c r="D73" s="26" t="str">
        <f>Commodities!$AD$38</f>
        <v>RSD_APA4_SC</v>
      </c>
      <c r="E73" s="140"/>
      <c r="F73" s="26"/>
      <c r="G73" s="57"/>
      <c r="H73" s="57"/>
      <c r="I73" s="57"/>
      <c r="J73" s="57"/>
    </row>
    <row r="74" spans="2:10" ht="13.8" x14ac:dyDescent="0.25">
      <c r="B74" s="26"/>
      <c r="C74" s="26"/>
      <c r="D74" s="26" t="str">
        <f>Commodities!$AD$46</f>
        <v>RSD_APA4_CK</v>
      </c>
      <c r="E74" s="140"/>
      <c r="F74" s="26"/>
      <c r="G74" s="57"/>
      <c r="H74" s="57"/>
      <c r="I74" s="57"/>
      <c r="J74" s="57"/>
    </row>
    <row r="75" spans="2:10" ht="13.8" x14ac:dyDescent="0.25">
      <c r="B75" s="26"/>
      <c r="C75" s="26"/>
      <c r="D75" s="26" t="str">
        <f>Commodities!$AD$54</f>
        <v>RSD_APA4_LI</v>
      </c>
      <c r="E75" s="140"/>
      <c r="F75" s="136"/>
      <c r="G75" s="57"/>
      <c r="H75" s="57"/>
      <c r="I75" s="57"/>
      <c r="J75" s="57"/>
    </row>
    <row r="76" spans="2:10" ht="13.8" x14ac:dyDescent="0.25">
      <c r="B76" s="26"/>
      <c r="C76" s="26"/>
      <c r="D76" s="26" t="str">
        <f>Commodities!$AD$62</f>
        <v>RSD_APA4_RF</v>
      </c>
      <c r="E76" s="140"/>
      <c r="F76" s="136"/>
      <c r="G76" s="57"/>
      <c r="H76" s="57"/>
      <c r="I76" s="57"/>
      <c r="J76" s="57"/>
    </row>
    <row r="77" spans="2:10" ht="13.8" x14ac:dyDescent="0.25">
      <c r="B77" s="26"/>
      <c r="C77" s="26"/>
      <c r="D77" s="26" t="str">
        <f>Commodities!$AD$70</f>
        <v>RSD_APA4_CW</v>
      </c>
      <c r="E77" s="140"/>
      <c r="F77" s="26"/>
      <c r="G77" s="57"/>
      <c r="H77" s="57"/>
      <c r="I77" s="57"/>
      <c r="J77" s="57"/>
    </row>
    <row r="78" spans="2:10" ht="13.8" x14ac:dyDescent="0.25">
      <c r="B78" s="26"/>
      <c r="C78" s="26"/>
      <c r="D78" s="26" t="str">
        <f>Commodities!$AD$78</f>
        <v>RSD_APA4_DW</v>
      </c>
      <c r="E78" s="140"/>
      <c r="F78" s="26"/>
      <c r="G78" s="57"/>
      <c r="H78" s="57"/>
      <c r="I78" s="57"/>
      <c r="J78" s="57"/>
    </row>
    <row r="79" spans="2:10" ht="13.8" x14ac:dyDescent="0.25">
      <c r="B79" s="11"/>
      <c r="C79" s="11"/>
      <c r="D79" s="11" t="str">
        <f>Commodities!$AD$86</f>
        <v>RSD_APA4_AP</v>
      </c>
      <c r="E79" s="142"/>
      <c r="F79" s="143"/>
      <c r="G79" s="22"/>
      <c r="H79" s="22"/>
      <c r="I79" s="22"/>
      <c r="J79" s="2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330"/>
  <sheetViews>
    <sheetView zoomScale="70" zoomScaleNormal="70" workbookViewId="0">
      <selection sqref="A1:XFD1048576"/>
    </sheetView>
  </sheetViews>
  <sheetFormatPr defaultColWidth="9.109375" defaultRowHeight="13.2" x14ac:dyDescent="0.25"/>
  <cols>
    <col min="1" max="1" width="4" style="32" customWidth="1"/>
    <col min="2" max="2" width="33.5546875" style="60" customWidth="1"/>
    <col min="3" max="3" width="69.109375" style="60" customWidth="1"/>
    <col min="4" max="4" width="21.5546875" style="60" customWidth="1"/>
    <col min="5" max="5" width="24.5546875" style="60" customWidth="1"/>
    <col min="6" max="6" width="8.88671875" style="60"/>
    <col min="7" max="7" width="16" style="60" customWidth="1"/>
    <col min="8" max="8" width="29.44140625" style="60" bestFit="1" customWidth="1"/>
    <col min="9" max="9" width="32.88671875" style="60" customWidth="1"/>
    <col min="10" max="10" width="30" style="60" bestFit="1" customWidth="1"/>
    <col min="11" max="11" width="18.33203125" style="60" bestFit="1" customWidth="1"/>
    <col min="12" max="12" width="32.33203125" style="60" customWidth="1"/>
    <col min="13" max="13" width="43.44140625" style="60" customWidth="1"/>
    <col min="14" max="14" width="15.44140625" style="60" bestFit="1" customWidth="1"/>
    <col min="15" max="15" width="16.6640625" style="60" bestFit="1" customWidth="1"/>
    <col min="16" max="16" width="22.44140625" style="60" customWidth="1"/>
    <col min="17" max="17" width="18.109375" style="60" bestFit="1" customWidth="1"/>
    <col min="18" max="18" width="27.88671875" style="60" bestFit="1" customWidth="1"/>
    <col min="19" max="19" width="8.88671875" style="60"/>
    <col min="20" max="20" width="13" style="32" customWidth="1"/>
    <col min="21" max="21" width="9.109375" style="32"/>
    <col min="22" max="22" width="8.88671875" style="60"/>
    <col min="23" max="23" width="25.33203125" style="60" customWidth="1"/>
    <col min="24" max="24" width="13.88671875" style="60" bestFit="1" customWidth="1"/>
    <col min="25" max="25" width="35.6640625" style="60" customWidth="1"/>
    <col min="26" max="26" width="67.6640625" style="60" customWidth="1"/>
    <col min="27" max="27" width="16.44140625" style="60" customWidth="1"/>
    <col min="28" max="28" width="14.44140625" style="60" bestFit="1" customWidth="1"/>
    <col min="29" max="29" width="28.6640625" style="94" bestFit="1" customWidth="1"/>
    <col min="30" max="30" width="28.6640625" style="60" bestFit="1" customWidth="1"/>
    <col min="31" max="31" width="17.44140625" style="60" bestFit="1" customWidth="1"/>
    <col min="32" max="32" width="9.109375" style="60"/>
    <col min="33" max="33" width="104.44140625" style="60" bestFit="1" customWidth="1"/>
    <col min="34" max="16384" width="9.109375" style="60"/>
  </cols>
  <sheetData>
    <row r="1" spans="1:38" s="10" customFormat="1" ht="17.399999999999999" x14ac:dyDescent="0.3">
      <c r="A1" s="26"/>
      <c r="B1" s="27" t="s">
        <v>801</v>
      </c>
      <c r="C1" s="27"/>
      <c r="D1" s="27"/>
      <c r="E1" s="27"/>
      <c r="F1" s="27"/>
      <c r="G1" s="27"/>
      <c r="S1" s="26"/>
      <c r="T1" s="26"/>
      <c r="U1" s="26"/>
      <c r="W1" s="10" t="s">
        <v>791</v>
      </c>
      <c r="AC1" s="21"/>
    </row>
    <row r="2" spans="1:38" s="10" customFormat="1" ht="17.399999999999999" x14ac:dyDescent="0.3">
      <c r="A2" s="26"/>
      <c r="B2" s="27" t="s">
        <v>816</v>
      </c>
      <c r="C2" s="27"/>
      <c r="D2" s="27"/>
      <c r="E2" s="27"/>
      <c r="F2" s="27"/>
      <c r="G2" s="27"/>
      <c r="H2" s="10" t="s">
        <v>1467</v>
      </c>
      <c r="N2" s="10" t="s">
        <v>1467</v>
      </c>
      <c r="O2" s="10" t="s">
        <v>1467</v>
      </c>
      <c r="S2" s="26"/>
      <c r="T2" s="26"/>
      <c r="U2" s="26"/>
      <c r="AC2" s="21"/>
    </row>
    <row r="3" spans="1:38" s="10" customFormat="1" ht="13.8" x14ac:dyDescent="0.25">
      <c r="A3" s="26"/>
      <c r="B3" s="28"/>
      <c r="D3" s="29"/>
      <c r="E3" s="29"/>
      <c r="F3" s="29"/>
      <c r="G3" s="29"/>
      <c r="K3" s="74"/>
      <c r="L3" s="74"/>
      <c r="M3" s="74"/>
      <c r="N3" s="74"/>
      <c r="O3" s="74"/>
      <c r="P3" s="74"/>
      <c r="Q3" s="75"/>
      <c r="S3" s="26"/>
      <c r="T3" s="26"/>
      <c r="U3" s="26"/>
      <c r="W3" s="14" t="s">
        <v>792</v>
      </c>
      <c r="X3" s="14"/>
      <c r="Y3" s="14" t="s">
        <v>793</v>
      </c>
      <c r="Z3" s="14"/>
      <c r="AA3" s="14"/>
      <c r="AB3" s="14"/>
      <c r="AC3" s="121"/>
      <c r="AD3" s="14"/>
      <c r="AE3" s="14"/>
      <c r="AJ3" s="26"/>
      <c r="AK3" s="26"/>
      <c r="AL3" s="26"/>
    </row>
    <row r="4" spans="1:38" s="10" customFormat="1" ht="13.8" x14ac:dyDescent="0.25">
      <c r="A4" s="26"/>
      <c r="E4" s="30"/>
      <c r="F4" s="31" t="s">
        <v>0</v>
      </c>
      <c r="G4" s="31"/>
      <c r="H4" s="122">
        <v>3</v>
      </c>
      <c r="I4" s="10">
        <v>4</v>
      </c>
      <c r="J4" s="74">
        <v>5</v>
      </c>
      <c r="N4" s="10">
        <v>7</v>
      </c>
      <c r="O4" s="10">
        <v>8</v>
      </c>
      <c r="P4" s="10">
        <v>9</v>
      </c>
      <c r="Q4" s="10">
        <v>10</v>
      </c>
      <c r="S4" s="26"/>
      <c r="T4" s="26"/>
      <c r="U4" s="26"/>
      <c r="W4" s="13" t="s">
        <v>17</v>
      </c>
      <c r="X4" s="13"/>
      <c r="Y4" s="14"/>
      <c r="Z4" s="14"/>
      <c r="AA4" s="14"/>
      <c r="AB4" s="14"/>
      <c r="AC4" s="121"/>
      <c r="AD4" s="14"/>
      <c r="AE4" s="14"/>
      <c r="AJ4" s="32"/>
      <c r="AK4" s="26"/>
      <c r="AL4" s="26"/>
    </row>
    <row r="5" spans="1:38" s="10" customFormat="1" ht="13.8" x14ac:dyDescent="0.25">
      <c r="A5" s="26"/>
      <c r="B5" s="33" t="s">
        <v>1</v>
      </c>
      <c r="C5" s="33" t="s">
        <v>794</v>
      </c>
      <c r="D5" s="33" t="s">
        <v>3</v>
      </c>
      <c r="E5" s="33" t="s">
        <v>4</v>
      </c>
      <c r="F5" s="34" t="s">
        <v>803</v>
      </c>
      <c r="G5" s="35" t="s">
        <v>14</v>
      </c>
      <c r="H5" s="36" t="s">
        <v>16</v>
      </c>
      <c r="I5" s="36" t="str">
        <f>"CEFF~"&amp;E15</f>
        <v>CEFF~RSD_DTA1_WH</v>
      </c>
      <c r="J5" s="36" t="str">
        <f>"CEFF~"&amp;E25</f>
        <v>CEFF~RSD_DTA1_SC</v>
      </c>
      <c r="K5" s="36" t="s">
        <v>789</v>
      </c>
      <c r="L5" s="36" t="str">
        <f>"SHARE~"&amp;Commodities!$D$182</f>
        <v>SHARE~RSDRESGEO</v>
      </c>
      <c r="M5" s="36" t="str">
        <f>"SHARE~UP~"&amp;E15</f>
        <v>SHARE~UP~RSD_DTA1_WH</v>
      </c>
      <c r="N5" s="36" t="s">
        <v>36</v>
      </c>
      <c r="O5" s="36" t="s">
        <v>5</v>
      </c>
      <c r="P5" s="36" t="s">
        <v>34</v>
      </c>
      <c r="Q5" s="36" t="s">
        <v>780</v>
      </c>
      <c r="R5" s="36" t="s">
        <v>773</v>
      </c>
      <c r="S5" s="26"/>
      <c r="T5" s="123"/>
      <c r="U5" s="123"/>
      <c r="W5" s="16" t="s">
        <v>15</v>
      </c>
      <c r="X5" s="16" t="s">
        <v>39</v>
      </c>
      <c r="Y5" s="16" t="s">
        <v>1</v>
      </c>
      <c r="Z5" s="16" t="s">
        <v>2</v>
      </c>
      <c r="AA5" s="16" t="s">
        <v>18</v>
      </c>
      <c r="AB5" s="16" t="s">
        <v>19</v>
      </c>
      <c r="AC5" s="76" t="s">
        <v>20</v>
      </c>
      <c r="AD5" s="16" t="s">
        <v>21</v>
      </c>
      <c r="AE5" s="16" t="s">
        <v>22</v>
      </c>
      <c r="AG5" s="76"/>
      <c r="AJ5" s="77"/>
      <c r="AK5" s="26"/>
      <c r="AL5" s="26"/>
    </row>
    <row r="6" spans="1:38" s="10" customFormat="1" ht="22.5" customHeight="1" thickBot="1" x14ac:dyDescent="0.3">
      <c r="A6" s="26"/>
      <c r="B6" s="41" t="s">
        <v>795</v>
      </c>
      <c r="C6" s="41" t="s">
        <v>28</v>
      </c>
      <c r="D6" s="41" t="s">
        <v>32</v>
      </c>
      <c r="E6" s="41" t="s">
        <v>33</v>
      </c>
      <c r="F6" s="42"/>
      <c r="G6" s="43" t="s">
        <v>35</v>
      </c>
      <c r="H6" s="41" t="s">
        <v>813</v>
      </c>
      <c r="I6" s="41" t="s">
        <v>812</v>
      </c>
      <c r="J6" s="41" t="s">
        <v>811</v>
      </c>
      <c r="K6" s="41" t="s">
        <v>805</v>
      </c>
      <c r="L6" s="41" t="s">
        <v>814</v>
      </c>
      <c r="M6" s="41" t="s">
        <v>810</v>
      </c>
      <c r="N6" s="43" t="s">
        <v>806</v>
      </c>
      <c r="O6" s="41" t="s">
        <v>37</v>
      </c>
      <c r="P6" s="41" t="s">
        <v>38</v>
      </c>
      <c r="Q6" s="41" t="s">
        <v>781</v>
      </c>
      <c r="R6" s="41" t="s">
        <v>807</v>
      </c>
      <c r="S6" s="26"/>
      <c r="T6" s="26"/>
      <c r="U6" s="26"/>
      <c r="W6" s="124" t="s">
        <v>796</v>
      </c>
      <c r="X6" s="124" t="s">
        <v>42</v>
      </c>
      <c r="Y6" s="124" t="s">
        <v>27</v>
      </c>
      <c r="Z6" s="124" t="s">
        <v>28</v>
      </c>
      <c r="AA6" s="124" t="s">
        <v>29</v>
      </c>
      <c r="AB6" s="124" t="s">
        <v>30</v>
      </c>
      <c r="AC6" s="124" t="s">
        <v>797</v>
      </c>
      <c r="AD6" s="124" t="s">
        <v>798</v>
      </c>
      <c r="AE6" s="124" t="s">
        <v>31</v>
      </c>
      <c r="AF6" s="21"/>
      <c r="AG6" s="125"/>
      <c r="AJ6" s="79"/>
      <c r="AK6" s="26"/>
      <c r="AL6" s="26"/>
    </row>
    <row r="7" spans="1:38" s="131" customFormat="1" ht="12.75" customHeight="1" x14ac:dyDescent="0.25">
      <c r="A7" s="126"/>
      <c r="B7" s="127"/>
      <c r="C7" s="128"/>
      <c r="D7" s="128"/>
      <c r="E7" s="128" t="s">
        <v>799</v>
      </c>
      <c r="F7" s="129"/>
      <c r="G7" s="128"/>
      <c r="H7" s="128" t="s">
        <v>808</v>
      </c>
      <c r="I7" s="128" t="s">
        <v>808</v>
      </c>
      <c r="J7" s="128" t="s">
        <v>808</v>
      </c>
      <c r="K7" s="128" t="s">
        <v>808</v>
      </c>
      <c r="L7" s="128" t="s">
        <v>808</v>
      </c>
      <c r="M7" s="128" t="s">
        <v>808</v>
      </c>
      <c r="N7" s="128" t="str">
        <f>General!$D$14</f>
        <v>$/kW</v>
      </c>
      <c r="O7" s="128" t="str">
        <f>General!$D$14</f>
        <v>$/kW</v>
      </c>
      <c r="P7" s="128" t="str">
        <f>General!$D$15</f>
        <v>$/GJ</v>
      </c>
      <c r="Q7" s="128" t="str">
        <f>General!$D$21</f>
        <v>Years</v>
      </c>
      <c r="R7" s="128" t="str">
        <f>General!$E$16</f>
        <v>PJ/GW</v>
      </c>
      <c r="S7" s="126"/>
      <c r="T7" s="126"/>
      <c r="U7" s="126"/>
      <c r="V7" s="126"/>
      <c r="W7" s="126" t="s">
        <v>809</v>
      </c>
      <c r="X7" s="126"/>
      <c r="Y7" s="26" t="str">
        <f>Commodities!$AD$15&amp;"_"&amp;RIGHT(Commodities!$D$153,3)&amp;"_"&amp;$Y$3&amp;"_ST"</f>
        <v>RSD_DTA1_SH_BIC_N_ST</v>
      </c>
      <c r="Z7" s="26" t="str">
        <f>"Detached A1 SpHeat Coal Boiler Standard (N)|"&amp;AG7</f>
        <v>Detached A1 SpHeat Coal Boiler Standard (N)|</v>
      </c>
      <c r="AA7" s="57" t="str">
        <f>General!$B$2</f>
        <v>PJ</v>
      </c>
      <c r="AB7" s="57" t="str">
        <f>General!$B$5</f>
        <v>GW</v>
      </c>
      <c r="AC7" s="130" t="s">
        <v>723</v>
      </c>
      <c r="AD7" s="130"/>
      <c r="AE7" s="126"/>
      <c r="AF7" s="126"/>
      <c r="AG7" s="126"/>
      <c r="AJ7" s="132"/>
      <c r="AK7" s="126"/>
      <c r="AL7" s="126"/>
    </row>
    <row r="8" spans="1:38" s="10" customFormat="1" ht="12.75" customHeight="1" x14ac:dyDescent="0.25">
      <c r="A8" s="26"/>
      <c r="B8" s="26" t="str">
        <f t="shared" ref="B8:C9" si="0">Y7</f>
        <v>RSD_DTA1_SH_BIC_N_ST</v>
      </c>
      <c r="C8" s="26" t="str">
        <f t="shared" si="0"/>
        <v>Detached A1 SpHeat Coal Boiler Standard (N)|</v>
      </c>
      <c r="D8" s="26" t="str">
        <f>Commodities!$D$153</f>
        <v>RSDCOABIC</v>
      </c>
      <c r="E8" s="26" t="str">
        <f>Commodities!$AD$15</f>
        <v>RSD_DTA1_SH</v>
      </c>
      <c r="F8" s="84">
        <f t="shared" ref="F8:F13" si="1">G8</f>
        <v>2018</v>
      </c>
      <c r="G8" s="57">
        <f>BASE_YEAR+1</f>
        <v>2018</v>
      </c>
      <c r="H8" s="72">
        <v>0.65</v>
      </c>
      <c r="I8" s="72"/>
      <c r="J8" s="72"/>
      <c r="K8" s="72"/>
      <c r="L8" s="72"/>
      <c r="M8" s="72"/>
      <c r="N8" s="72">
        <v>250</v>
      </c>
      <c r="O8" s="72">
        <f>N8*2%</f>
        <v>5</v>
      </c>
      <c r="P8" s="72">
        <v>0</v>
      </c>
      <c r="Q8" s="72">
        <v>15</v>
      </c>
      <c r="R8" s="72">
        <v>31.536000000000001</v>
      </c>
      <c r="S8" s="26"/>
      <c r="T8" s="126"/>
      <c r="U8" s="26"/>
      <c r="W8" s="26"/>
      <c r="X8" s="26"/>
      <c r="Y8" s="26" t="str">
        <f>Commodities!$AD$15&amp;"_"&amp;RIGHT(Commodities!$D$167,3)&amp;"_"&amp;$Y$3&amp;"_ST01"</f>
        <v>RSD_DTA1_SH_LOG_N_ST01</v>
      </c>
      <c r="Z8" s="26" t="str">
        <f>"Detached A1 SpHeat Wood Stove Standard (N)|"&amp;AG8</f>
        <v>Detached A1 SpHeat Wood Stove Standard (N)|</v>
      </c>
      <c r="AA8" s="57" t="str">
        <f>General!$B$2</f>
        <v>PJ</v>
      </c>
      <c r="AB8" s="57" t="str">
        <f>General!$B$5</f>
        <v>GW</v>
      </c>
      <c r="AC8" s="57" t="s">
        <v>723</v>
      </c>
      <c r="AD8" s="57"/>
      <c r="AE8" s="26"/>
      <c r="AF8" s="26"/>
      <c r="AG8" s="126"/>
      <c r="AJ8" s="83"/>
      <c r="AK8" s="26"/>
      <c r="AL8" s="26"/>
    </row>
    <row r="9" spans="1:38" s="10" customFormat="1" ht="12.75" customHeight="1" x14ac:dyDescent="0.25">
      <c r="A9" s="26"/>
      <c r="B9" s="26" t="str">
        <f t="shared" si="0"/>
        <v>RSD_DTA1_SH_LOG_N_ST01</v>
      </c>
      <c r="C9" s="26" t="str">
        <f t="shared" si="0"/>
        <v>Detached A1 SpHeat Wood Stove Standard (N)|</v>
      </c>
      <c r="D9" s="26" t="str">
        <f>Commodities!$D$167</f>
        <v>RSDBIOLOG</v>
      </c>
      <c r="E9" s="26" t="str">
        <f>E8</f>
        <v>RSD_DTA1_SH</v>
      </c>
      <c r="F9" s="84">
        <f t="shared" si="1"/>
        <v>2018</v>
      </c>
      <c r="G9" s="57">
        <f>BASE_YEAR+1</f>
        <v>2018</v>
      </c>
      <c r="H9" s="72">
        <v>0.5</v>
      </c>
      <c r="I9" s="72"/>
      <c r="J9" s="72"/>
      <c r="K9" s="72"/>
      <c r="L9" s="72"/>
      <c r="M9" s="72"/>
      <c r="N9" s="72">
        <v>30</v>
      </c>
      <c r="O9" s="72">
        <f>N9*2%</f>
        <v>0.6</v>
      </c>
      <c r="P9" s="72">
        <v>0</v>
      </c>
      <c r="Q9" s="72">
        <v>15</v>
      </c>
      <c r="R9" s="72">
        <v>31.536000000000001</v>
      </c>
      <c r="S9" s="26"/>
      <c r="T9" s="126"/>
      <c r="U9" s="26"/>
      <c r="W9" s="26"/>
      <c r="X9" s="26"/>
      <c r="Y9" s="26" t="str">
        <f>Commodities!$AD$15&amp;"_"&amp;RIGHT(Commodities!$D$167,3)&amp;"_"&amp;$Y$3&amp;"_ST02"</f>
        <v>RSD_DTA1_SH_LOG_N_ST02</v>
      </c>
      <c r="Z9" s="26" t="str">
        <f>"Detached A1 SpHeat Wood Boiler Standard (N)|"&amp;AG9</f>
        <v>Detached A1 SpHeat Wood Boiler Standard (N)|</v>
      </c>
      <c r="AA9" s="57" t="str">
        <f>General!$B$2</f>
        <v>PJ</v>
      </c>
      <c r="AB9" s="57" t="str">
        <f>General!$B$5</f>
        <v>GW</v>
      </c>
      <c r="AC9" s="57" t="s">
        <v>723</v>
      </c>
      <c r="AD9" s="57"/>
      <c r="AE9" s="26"/>
      <c r="AF9" s="26"/>
      <c r="AG9" s="126"/>
      <c r="AJ9" s="83"/>
      <c r="AK9" s="26"/>
      <c r="AL9" s="26"/>
    </row>
    <row r="10" spans="1:38" s="10" customFormat="1" ht="12.75" customHeight="1" x14ac:dyDescent="0.25">
      <c r="A10" s="26"/>
      <c r="B10" s="26" t="str">
        <f t="shared" ref="B10" si="2">Y9</f>
        <v>RSD_DTA1_SH_LOG_N_ST02</v>
      </c>
      <c r="C10" s="26" t="str">
        <f t="shared" ref="C10" si="3">Z9</f>
        <v>Detached A1 SpHeat Wood Boiler Standard (N)|</v>
      </c>
      <c r="D10" s="26" t="str">
        <f>Commodities!$D$167</f>
        <v>RSDBIOLOG</v>
      </c>
      <c r="E10" s="26" t="str">
        <f>E9</f>
        <v>RSD_DTA1_SH</v>
      </c>
      <c r="F10" s="84">
        <f t="shared" ref="F10" si="4">G10</f>
        <v>2018</v>
      </c>
      <c r="G10" s="57">
        <f>BASE_YEAR+1</f>
        <v>2018</v>
      </c>
      <c r="H10" s="72">
        <v>0.65</v>
      </c>
      <c r="I10" s="72"/>
      <c r="J10" s="72"/>
      <c r="K10" s="72"/>
      <c r="L10" s="72"/>
      <c r="M10" s="72"/>
      <c r="N10" s="72">
        <v>285</v>
      </c>
      <c r="O10" s="72">
        <f t="shared" ref="O10:O12" si="5">N10*2%</f>
        <v>5.7</v>
      </c>
      <c r="P10" s="72">
        <v>0</v>
      </c>
      <c r="Q10" s="72">
        <v>20</v>
      </c>
      <c r="R10" s="72">
        <v>31.536000000000001</v>
      </c>
      <c r="S10" s="26"/>
      <c r="T10" s="126"/>
      <c r="U10" s="26"/>
      <c r="W10" s="26"/>
      <c r="X10" s="26"/>
      <c r="Y10" s="26" t="str">
        <f>Commodities!$AD$15&amp;"_"&amp;RIGHT(Commodities!$D$177,3)&amp;"_"&amp;$Y$3&amp;"_ST01"</f>
        <v>RSD_DTA1_SH_PLT_N_ST01</v>
      </c>
      <c r="Z10" s="26" t="str">
        <f>"Detached A1 SpHeat Pellet Boiler Standard (N)|"&amp;AG10</f>
        <v>Detached A1 SpHeat Pellet Boiler Standard (N)|</v>
      </c>
      <c r="AA10" s="57" t="str">
        <f>General!$B$2</f>
        <v>PJ</v>
      </c>
      <c r="AB10" s="57" t="str">
        <f>General!$B$5</f>
        <v>GW</v>
      </c>
      <c r="AC10" s="57" t="s">
        <v>723</v>
      </c>
      <c r="AD10" s="57"/>
      <c r="AE10" s="26"/>
      <c r="AF10" s="26"/>
      <c r="AG10" s="126"/>
      <c r="AJ10" s="40"/>
    </row>
    <row r="11" spans="1:38" s="10" customFormat="1" ht="12.75" customHeight="1" x14ac:dyDescent="0.25">
      <c r="A11" s="26"/>
      <c r="B11" s="26" t="str">
        <f t="shared" ref="B11:C14" si="6">Y10</f>
        <v>RSD_DTA1_SH_PLT_N_ST01</v>
      </c>
      <c r="C11" s="26" t="str">
        <f t="shared" si="6"/>
        <v>Detached A1 SpHeat Pellet Boiler Standard (N)|</v>
      </c>
      <c r="D11" s="26" t="str">
        <f>Commodities!$D$177</f>
        <v>RSDBIOPLT</v>
      </c>
      <c r="E11" s="26" t="str">
        <f>E10</f>
        <v>RSD_DTA1_SH</v>
      </c>
      <c r="F11" s="84">
        <f t="shared" ref="F11" si="7">G11</f>
        <v>2018</v>
      </c>
      <c r="G11" s="57">
        <f>BASE_YEAR+1</f>
        <v>2018</v>
      </c>
      <c r="H11" s="72">
        <v>0.65</v>
      </c>
      <c r="I11" s="72"/>
      <c r="J11" s="72"/>
      <c r="K11" s="72"/>
      <c r="L11" s="72"/>
      <c r="M11" s="72"/>
      <c r="N11" s="72">
        <v>210</v>
      </c>
      <c r="O11" s="72">
        <f t="shared" si="5"/>
        <v>4.2</v>
      </c>
      <c r="P11" s="72">
        <v>0</v>
      </c>
      <c r="Q11" s="72">
        <v>15</v>
      </c>
      <c r="R11" s="72">
        <v>31.536000000000001</v>
      </c>
      <c r="S11" s="26"/>
      <c r="T11" s="126"/>
      <c r="U11" s="26"/>
      <c r="W11" s="26"/>
      <c r="X11" s="26"/>
      <c r="Y11" s="26" t="str">
        <f>Commodities!$AD$15&amp;"_"&amp;RIGHT(Commodities!$D$177,3)&amp;"_"&amp;$Y$3&amp;"_IM01"</f>
        <v>RSD_DTA1_SH_PLT_N_IM01</v>
      </c>
      <c r="Z11" s="26" t="str">
        <f>"Detached A1 SpHeat Pellet Boiler Improved (N)|"&amp;AG11</f>
        <v>Detached A1 SpHeat Pellet Boiler Improved (N)|</v>
      </c>
      <c r="AA11" s="57" t="str">
        <f>General!$B$2</f>
        <v>PJ</v>
      </c>
      <c r="AB11" s="57" t="str">
        <f>General!$B$5</f>
        <v>GW</v>
      </c>
      <c r="AC11" s="57" t="s">
        <v>723</v>
      </c>
      <c r="AD11" s="57"/>
      <c r="AE11" s="26"/>
      <c r="AF11" s="26"/>
      <c r="AG11" s="126"/>
      <c r="AJ11" s="40"/>
    </row>
    <row r="12" spans="1:38" s="10" customFormat="1" ht="12.75" customHeight="1" x14ac:dyDescent="0.25">
      <c r="A12" s="26"/>
      <c r="B12" s="26" t="str">
        <f t="shared" si="6"/>
        <v>RSD_DTA1_SH_PLT_N_IM01</v>
      </c>
      <c r="C12" s="26" t="str">
        <f t="shared" si="6"/>
        <v>Detached A1 SpHeat Pellet Boiler Improved (N)|</v>
      </c>
      <c r="D12" s="26" t="str">
        <f>Commodities!$D$177</f>
        <v>RSDBIOPLT</v>
      </c>
      <c r="E12" s="26" t="str">
        <f>E11</f>
        <v>RSD_DTA1_SH</v>
      </c>
      <c r="F12" s="84">
        <f t="shared" ref="F12" si="8">G12</f>
        <v>2020</v>
      </c>
      <c r="G12" s="57">
        <f>BASE_YEAR+3</f>
        <v>2020</v>
      </c>
      <c r="H12" s="72">
        <v>0.7</v>
      </c>
      <c r="I12" s="72"/>
      <c r="J12" s="72"/>
      <c r="K12" s="72"/>
      <c r="L12" s="72"/>
      <c r="M12" s="72"/>
      <c r="N12" s="72">
        <v>230</v>
      </c>
      <c r="O12" s="72">
        <f t="shared" si="5"/>
        <v>4.6000000000000005</v>
      </c>
      <c r="P12" s="72">
        <v>0</v>
      </c>
      <c r="Q12" s="72">
        <v>15</v>
      </c>
      <c r="R12" s="72">
        <v>31.536000000000001</v>
      </c>
      <c r="S12" s="26"/>
      <c r="T12" s="126"/>
      <c r="U12" s="26"/>
      <c r="W12" s="26"/>
      <c r="X12" s="26"/>
      <c r="Y12" s="26" t="str">
        <f>Commodities!$AD$15&amp;"_"&amp;LEFT(RIGHT(Commodities!$D$166,6),3)&amp;"_"&amp;$Y$3&amp;"_ST01"</f>
        <v>RSD_DTA1_SH_GAS_N_ST01</v>
      </c>
      <c r="Z12" s="26" t="str">
        <f>"Detached A1 SpHeat Gas Boiler Condensing (N)|"&amp;AG12</f>
        <v>Detached A1 SpHeat Gas Boiler Condensing (N)|</v>
      </c>
      <c r="AA12" s="57" t="str">
        <f>General!$B$2</f>
        <v>PJ</v>
      </c>
      <c r="AB12" s="57" t="str">
        <f>General!$B$5</f>
        <v>GW</v>
      </c>
      <c r="AC12" s="57" t="s">
        <v>723</v>
      </c>
      <c r="AD12" s="57"/>
      <c r="AE12" s="26"/>
      <c r="AF12" s="26"/>
      <c r="AG12" s="126"/>
      <c r="AJ12" s="40"/>
    </row>
    <row r="13" spans="1:38" s="10" customFormat="1" ht="12.75" customHeight="1" x14ac:dyDescent="0.25">
      <c r="A13" s="26"/>
      <c r="B13" s="26" t="str">
        <f t="shared" si="6"/>
        <v>RSD_DTA1_SH_GAS_N_ST01</v>
      </c>
      <c r="C13" s="26" t="str">
        <f t="shared" si="6"/>
        <v>Detached A1 SpHeat Gas Boiler Condensing (N)|</v>
      </c>
      <c r="D13" s="26" t="str">
        <f>Commodities!$D$166</f>
        <v>RSDGASNAT</v>
      </c>
      <c r="E13" s="26" t="str">
        <f t="shared" ref="E13:E14" si="9">E12</f>
        <v>RSD_DTA1_SH</v>
      </c>
      <c r="F13" s="84">
        <f t="shared" si="1"/>
        <v>2018</v>
      </c>
      <c r="G13" s="57">
        <f>BASE_YEAR+1</f>
        <v>2018</v>
      </c>
      <c r="H13" s="72">
        <v>0.85</v>
      </c>
      <c r="I13" s="72"/>
      <c r="J13" s="72"/>
      <c r="K13" s="72"/>
      <c r="L13" s="72"/>
      <c r="M13" s="72"/>
      <c r="N13" s="72">
        <f>ROUNDUP(114.94542626643*1.5,0)</f>
        <v>173</v>
      </c>
      <c r="O13" s="72">
        <f>ROUNDDOWN(4.49036663406935,0)</f>
        <v>4</v>
      </c>
      <c r="P13" s="72">
        <v>0</v>
      </c>
      <c r="Q13" s="72">
        <v>20</v>
      </c>
      <c r="R13" s="72">
        <v>31.536000000000001</v>
      </c>
      <c r="S13" s="26"/>
      <c r="T13" s="126"/>
      <c r="U13" s="26"/>
      <c r="W13" s="26"/>
      <c r="X13" s="26"/>
      <c r="Y13" s="26" t="str">
        <f>Commodities!$AD$15&amp;"_"&amp;LEFT(RIGHT(Commodities!$D$166,6),3)&amp;"_"&amp;$Y$3&amp;"_ST02"</f>
        <v>RSD_DTA1_SH_GAS_N_ST02</v>
      </c>
      <c r="Z13" s="26" t="str">
        <f>"Detached A1 Combi Gas Boiler Condensing (N)|"&amp;AG13</f>
        <v>Detached A1 Combi Gas Boiler Condensing (N)|</v>
      </c>
      <c r="AA13" s="57" t="str">
        <f>General!$B$2</f>
        <v>PJ</v>
      </c>
      <c r="AB13" s="57" t="str">
        <f>General!$B$5</f>
        <v>GW</v>
      </c>
      <c r="AC13" s="57" t="s">
        <v>723</v>
      </c>
      <c r="AD13" s="57"/>
      <c r="AE13" s="26"/>
      <c r="AF13" s="26"/>
      <c r="AG13" s="26"/>
      <c r="AJ13" s="40"/>
    </row>
    <row r="14" spans="1:38" s="10" customFormat="1" ht="12.75" customHeight="1" x14ac:dyDescent="0.25">
      <c r="A14" s="26"/>
      <c r="B14" s="26" t="str">
        <f t="shared" si="6"/>
        <v>RSD_DTA1_SH_GAS_N_ST02</v>
      </c>
      <c r="C14" s="26" t="str">
        <f t="shared" si="6"/>
        <v>Detached A1 Combi Gas Boiler Condensing (N)|</v>
      </c>
      <c r="D14" s="26" t="str">
        <f>Commodities!$D$166</f>
        <v>RSDGASNAT</v>
      </c>
      <c r="E14" s="26" t="str">
        <f t="shared" si="9"/>
        <v>RSD_DTA1_SH</v>
      </c>
      <c r="F14" s="84">
        <f t="shared" ref="F14" si="10">G14</f>
        <v>2018</v>
      </c>
      <c r="G14" s="57">
        <f>BASE_YEAR+1</f>
        <v>2018</v>
      </c>
      <c r="H14" s="72">
        <v>0.85</v>
      </c>
      <c r="I14" s="72"/>
      <c r="J14" s="72"/>
      <c r="K14" s="72"/>
      <c r="L14" s="72"/>
      <c r="M14" s="72"/>
      <c r="N14" s="72">
        <f>ROUNDUP(114.94542626643*1.5,0)</f>
        <v>173</v>
      </c>
      <c r="O14" s="72">
        <f>ROUNDDOWN(4.49036663406935,0)</f>
        <v>4</v>
      </c>
      <c r="P14" s="72">
        <v>0</v>
      </c>
      <c r="Q14" s="72">
        <v>20</v>
      </c>
      <c r="R14" s="72">
        <v>31.536000000000001</v>
      </c>
      <c r="S14" s="26"/>
      <c r="T14" s="126"/>
      <c r="U14" s="26"/>
      <c r="W14" s="26"/>
      <c r="X14" s="26"/>
      <c r="Y14" s="26" t="str">
        <f>Commodities!$AD$15&amp;"_"&amp;LEFT(RIGHT(Commodities!$D$166,6),3)&amp;"_"&amp;$Y$3&amp;"_AD01"</f>
        <v>RSD_DTA1_SH_GAS_N_AD01</v>
      </c>
      <c r="Z14" s="26" t="str">
        <f>"Detached A1 SpHeat Gas Boiler Condensing Improved (N)|"&amp;AG14</f>
        <v>Detached A1 SpHeat Gas Boiler Condensing Improved (N)|</v>
      </c>
      <c r="AA14" s="57" t="str">
        <f>General!$B$2</f>
        <v>PJ</v>
      </c>
      <c r="AB14" s="57" t="str">
        <f>General!$B$5</f>
        <v>GW</v>
      </c>
      <c r="AC14" s="57" t="s">
        <v>723</v>
      </c>
      <c r="AD14" s="57"/>
      <c r="AE14" s="26"/>
      <c r="AF14" s="26"/>
      <c r="AG14" s="126"/>
      <c r="AJ14" s="40"/>
    </row>
    <row r="15" spans="1:38" s="10" customFormat="1" ht="12.75" customHeight="1" x14ac:dyDescent="0.25">
      <c r="A15" s="26"/>
      <c r="E15" s="26" t="str">
        <f>Commodities!$AD$23</f>
        <v>RSD_DTA1_WH</v>
      </c>
      <c r="F15" s="84">
        <f>F14</f>
        <v>2018</v>
      </c>
      <c r="H15" s="72" t="s">
        <v>848</v>
      </c>
      <c r="I15" s="72">
        <v>0.9</v>
      </c>
      <c r="J15" s="72" t="s">
        <v>848</v>
      </c>
      <c r="K15" s="72"/>
      <c r="L15" s="72"/>
      <c r="M15" s="72">
        <v>0.2</v>
      </c>
      <c r="N15" s="72" t="s">
        <v>848</v>
      </c>
      <c r="O15" s="72" t="s">
        <v>848</v>
      </c>
      <c r="P15" s="72" t="s">
        <v>848</v>
      </c>
      <c r="Q15" s="72" t="s">
        <v>848</v>
      </c>
      <c r="R15" s="72"/>
      <c r="S15" s="26"/>
      <c r="T15" s="126"/>
      <c r="U15" s="26"/>
      <c r="W15" s="26"/>
      <c r="X15" s="26"/>
      <c r="Y15" s="26" t="str">
        <f>Commodities!$AD$15&amp;"_"&amp;LEFT(RIGHT(Commodities!$D$166,6),3)&amp;"_"&amp;$Y$3&amp;"_AD02"</f>
        <v>RSD_DTA1_SH_GAS_N_AD02</v>
      </c>
      <c r="Z15" s="26" t="str">
        <f>"Detached A1 Combi Gas Boiler Condensing Improved (N)|"&amp;AG15</f>
        <v>Detached A1 Combi Gas Boiler Condensing Improved (N)|</v>
      </c>
      <c r="AA15" s="57" t="str">
        <f>General!$B$2</f>
        <v>PJ</v>
      </c>
      <c r="AB15" s="57" t="str">
        <f>General!$B$5</f>
        <v>GW</v>
      </c>
      <c r="AC15" s="57" t="s">
        <v>723</v>
      </c>
      <c r="AD15" s="57"/>
      <c r="AE15" s="26"/>
      <c r="AF15" s="26"/>
      <c r="AG15" s="26"/>
      <c r="AJ15" s="40"/>
    </row>
    <row r="16" spans="1:38" s="10" customFormat="1" ht="12.75" customHeight="1" x14ac:dyDescent="0.25">
      <c r="A16" s="26"/>
      <c r="B16" s="26" t="str">
        <f>Y14</f>
        <v>RSD_DTA1_SH_GAS_N_AD01</v>
      </c>
      <c r="C16" s="26" t="str">
        <f>Z14</f>
        <v>Detached A1 SpHeat Gas Boiler Condensing Improved (N)|</v>
      </c>
      <c r="D16" s="26" t="str">
        <f>Commodities!$D$166</f>
        <v>RSDGASNAT</v>
      </c>
      <c r="E16" s="26" t="str">
        <f>E14</f>
        <v>RSD_DTA1_SH</v>
      </c>
      <c r="F16" s="84">
        <f t="shared" ref="F16:F17" si="11">G16</f>
        <v>2025</v>
      </c>
      <c r="G16" s="57">
        <f>BASE_YEAR+8</f>
        <v>2025</v>
      </c>
      <c r="H16" s="72">
        <v>0.94500000000000006</v>
      </c>
      <c r="I16" s="72"/>
      <c r="J16" s="72"/>
      <c r="K16" s="72"/>
      <c r="L16" s="72"/>
      <c r="M16" s="72"/>
      <c r="N16" s="72">
        <f>ROUNDUP(122.99160610508*1.9,0)</f>
        <v>234</v>
      </c>
      <c r="O16" s="72">
        <f>ROUNDDOWN(4.17604096968449,0)</f>
        <v>4</v>
      </c>
      <c r="P16" s="72">
        <v>0</v>
      </c>
      <c r="Q16" s="72">
        <v>20</v>
      </c>
      <c r="R16" s="72">
        <v>31.536000000000001</v>
      </c>
      <c r="S16" s="26"/>
      <c r="T16" s="126"/>
      <c r="U16" s="26"/>
      <c r="W16" s="26"/>
      <c r="X16" s="26"/>
      <c r="Y16" s="26" t="str">
        <f>Commodities!$AD$15&amp;"_"&amp;RIGHT(Commodities!$D$347,3)&amp;"_"&amp;$Y$3&amp;"_ST01"</f>
        <v>RSD_DTA1_SH_LTH_N_ST01</v>
      </c>
      <c r="Z16" s="26" t="str">
        <f>"Detached A1 SpHeat Dist. Heat Standard (N)|"&amp;AG16</f>
        <v>Detached A1 SpHeat Dist. Heat Standard (N)|</v>
      </c>
      <c r="AA16" s="57" t="str">
        <f>General!$B$2</f>
        <v>PJ</v>
      </c>
      <c r="AB16" s="57" t="str">
        <f>General!$B$5</f>
        <v>GW</v>
      </c>
      <c r="AC16" s="57" t="s">
        <v>723</v>
      </c>
      <c r="AD16" s="57"/>
      <c r="AE16" s="26"/>
      <c r="AF16" s="26"/>
      <c r="AG16" s="26"/>
      <c r="AJ16" s="40"/>
    </row>
    <row r="17" spans="1:36" s="10" customFormat="1" ht="12.75" customHeight="1" x14ac:dyDescent="0.25">
      <c r="A17" s="26"/>
      <c r="B17" s="26" t="str">
        <f>Y15</f>
        <v>RSD_DTA1_SH_GAS_N_AD02</v>
      </c>
      <c r="C17" s="26" t="str">
        <f>Z15</f>
        <v>Detached A1 Combi Gas Boiler Condensing Improved (N)|</v>
      </c>
      <c r="D17" s="26" t="str">
        <f>Commodities!$D$166</f>
        <v>RSDGASNAT</v>
      </c>
      <c r="E17" s="26" t="str">
        <f>E16</f>
        <v>RSD_DTA1_SH</v>
      </c>
      <c r="F17" s="84">
        <f t="shared" si="11"/>
        <v>2030</v>
      </c>
      <c r="G17" s="57">
        <f>BASE_YEAR+13</f>
        <v>2030</v>
      </c>
      <c r="H17" s="72">
        <v>0.94500000000000006</v>
      </c>
      <c r="I17" s="72"/>
      <c r="J17" s="72"/>
      <c r="K17" s="72"/>
      <c r="L17" s="72"/>
      <c r="M17" s="72"/>
      <c r="N17" s="72">
        <f>ROUNDUP(122.99160610508*1.9,0)</f>
        <v>234</v>
      </c>
      <c r="O17" s="72">
        <f>ROUNDDOWN(4.17604096968449,0)</f>
        <v>4</v>
      </c>
      <c r="P17" s="72">
        <v>0</v>
      </c>
      <c r="Q17" s="72">
        <v>20</v>
      </c>
      <c r="R17" s="72">
        <v>31.536000000000001</v>
      </c>
      <c r="S17" s="26"/>
      <c r="T17" s="126"/>
      <c r="U17" s="26"/>
      <c r="W17" s="26"/>
      <c r="X17" s="26"/>
      <c r="Y17" s="26" t="str">
        <f>Commodities!$AD$15&amp;"_"&amp;RIGHT(Commodities!$D$347,3)&amp;"_"&amp;$Y$3&amp;"_IM01"</f>
        <v>RSD_DTA1_SH_LTH_N_IM01</v>
      </c>
      <c r="Z17" s="26" t="str">
        <f>"Detached A1 SpHeat Dist. Heat Improved (N)|"&amp;AG17</f>
        <v>Detached A1 SpHeat Dist. Heat Improved (N)|</v>
      </c>
      <c r="AA17" s="57" t="str">
        <f>General!$B$2</f>
        <v>PJ</v>
      </c>
      <c r="AB17" s="57" t="str">
        <f>General!$B$5</f>
        <v>GW</v>
      </c>
      <c r="AC17" s="57" t="s">
        <v>723</v>
      </c>
      <c r="AD17" s="57"/>
      <c r="AE17" s="26"/>
      <c r="AF17" s="26"/>
      <c r="AG17" s="26"/>
      <c r="AJ17" s="40"/>
    </row>
    <row r="18" spans="1:36" s="10" customFormat="1" ht="12.75" customHeight="1" x14ac:dyDescent="0.25">
      <c r="A18" s="26"/>
      <c r="E18" s="26" t="str">
        <f>E15</f>
        <v>RSD_DTA1_WH</v>
      </c>
      <c r="F18" s="84">
        <f>F17</f>
        <v>2030</v>
      </c>
      <c r="H18" s="72" t="s">
        <v>848</v>
      </c>
      <c r="I18" s="72">
        <v>0.94500000000000006</v>
      </c>
      <c r="J18" s="72"/>
      <c r="K18" s="72"/>
      <c r="L18" s="72"/>
      <c r="M18" s="72">
        <v>0.2</v>
      </c>
      <c r="N18" s="72" t="s">
        <v>848</v>
      </c>
      <c r="O18" s="72" t="s">
        <v>848</v>
      </c>
      <c r="P18" s="72" t="s">
        <v>848</v>
      </c>
      <c r="Q18" s="72" t="s">
        <v>848</v>
      </c>
      <c r="R18" s="72"/>
      <c r="S18" s="26"/>
      <c r="T18" s="126"/>
      <c r="U18" s="26"/>
      <c r="W18" s="26"/>
      <c r="X18" s="26"/>
      <c r="Y18" s="26" t="str">
        <f>Commodities!$AD$15&amp;"_"&amp;RIGHT(Commodities!$D$347,3)&amp;"_"&amp;$Y$3&amp;"_AD01"</f>
        <v>RSD_DTA1_SH_LTH_N_AD01</v>
      </c>
      <c r="Z18" s="26" t="str">
        <f>"Detached A1 SpHeat Dist. Heat Advanced (N)|"&amp;AG18</f>
        <v>Detached A1 SpHeat Dist. Heat Advanced (N)|</v>
      </c>
      <c r="AA18" s="57" t="str">
        <f>General!$B$2</f>
        <v>PJ</v>
      </c>
      <c r="AB18" s="57" t="str">
        <f>General!$B$5</f>
        <v>GW</v>
      </c>
      <c r="AC18" s="57" t="s">
        <v>723</v>
      </c>
      <c r="AD18" s="57"/>
      <c r="AE18" s="26"/>
      <c r="AF18" s="26"/>
      <c r="AG18" s="26"/>
      <c r="AJ18" s="40"/>
    </row>
    <row r="19" spans="1:36" s="10" customFormat="1" ht="12.75" customHeight="1" x14ac:dyDescent="0.25">
      <c r="A19" s="26"/>
      <c r="B19" s="26" t="str">
        <f t="shared" ref="B19:C24" si="12">Y16</f>
        <v>RSD_DTA1_SH_LTH_N_ST01</v>
      </c>
      <c r="C19" s="26" t="str">
        <f t="shared" si="12"/>
        <v>Detached A1 SpHeat Dist. Heat Standard (N)|</v>
      </c>
      <c r="D19" s="26" t="str">
        <f>Commodities!$D$350</f>
        <v>RSDLTHA1</v>
      </c>
      <c r="E19" s="26" t="str">
        <f>E17</f>
        <v>RSD_DTA1_SH</v>
      </c>
      <c r="F19" s="84">
        <f t="shared" ref="F19:F21" si="13">G19</f>
        <v>2018</v>
      </c>
      <c r="G19" s="57">
        <f>BASE_YEAR+1</f>
        <v>2018</v>
      </c>
      <c r="H19" s="72">
        <v>0.9</v>
      </c>
      <c r="I19" s="72"/>
      <c r="J19" s="72"/>
      <c r="K19" s="72"/>
      <c r="L19" s="72"/>
      <c r="M19" s="72"/>
      <c r="N19" s="72">
        <f>ROUNDUP(90.3,0)</f>
        <v>91</v>
      </c>
      <c r="O19" s="72">
        <f>ROUNDUP(9.72,0)</f>
        <v>10</v>
      </c>
      <c r="P19" s="72">
        <v>0</v>
      </c>
      <c r="Q19" s="72">
        <v>20</v>
      </c>
      <c r="R19" s="72">
        <v>31.536000000000001</v>
      </c>
      <c r="S19" s="26"/>
      <c r="T19" s="126"/>
      <c r="U19" s="26"/>
      <c r="W19" s="26"/>
      <c r="X19" s="26"/>
      <c r="Y19" s="26" t="str">
        <f>Commodities!$AD$15&amp;"_"&amp;RIGHT(Commodities!$D$340,3)&amp;"_"&amp;$Y$3&amp;"_ST01"</f>
        <v>RSD_DTA1_SH_ELC_N_ST01</v>
      </c>
      <c r="Z19" s="26" t="str">
        <f>"Detached A1 SpHeat Electric Heater Standard (N)|"&amp;AG19</f>
        <v>Detached A1 SpHeat Electric Heater Standard (N)|</v>
      </c>
      <c r="AA19" s="57" t="str">
        <f>General!$B$2</f>
        <v>PJ</v>
      </c>
      <c r="AB19" s="57" t="str">
        <f>General!$B$5</f>
        <v>GW</v>
      </c>
      <c r="AC19" s="57" t="s">
        <v>723</v>
      </c>
      <c r="AD19" s="57"/>
      <c r="AE19" s="26"/>
      <c r="AF19" s="26"/>
      <c r="AG19" s="26"/>
      <c r="AJ19" s="40"/>
    </row>
    <row r="20" spans="1:36" s="10" customFormat="1" ht="12.75" customHeight="1" x14ac:dyDescent="0.25">
      <c r="A20" s="26"/>
      <c r="B20" s="26" t="str">
        <f t="shared" si="12"/>
        <v>RSD_DTA1_SH_LTH_N_IM01</v>
      </c>
      <c r="C20" s="26" t="str">
        <f t="shared" si="12"/>
        <v>Detached A1 SpHeat Dist. Heat Improved (N)|</v>
      </c>
      <c r="D20" s="26" t="str">
        <f>D19</f>
        <v>RSDLTHA1</v>
      </c>
      <c r="E20" s="26" t="str">
        <f>E19</f>
        <v>RSD_DTA1_SH</v>
      </c>
      <c r="F20" s="84">
        <f t="shared" si="13"/>
        <v>2025</v>
      </c>
      <c r="G20" s="57">
        <f>BASE_YEAR+8</f>
        <v>2025</v>
      </c>
      <c r="H20" s="72">
        <f>H19*1.03</f>
        <v>0.92700000000000005</v>
      </c>
      <c r="I20" s="72"/>
      <c r="J20" s="72"/>
      <c r="K20" s="72"/>
      <c r="L20" s="72"/>
      <c r="M20" s="72"/>
      <c r="N20" s="72">
        <f>ROUNDUP(94.815*1.1,0)</f>
        <v>105</v>
      </c>
      <c r="O20" s="72">
        <f>ROUNDUP(9.234,0)</f>
        <v>10</v>
      </c>
      <c r="P20" s="72">
        <v>0</v>
      </c>
      <c r="Q20" s="72">
        <v>20</v>
      </c>
      <c r="R20" s="72">
        <v>31.536000000000001</v>
      </c>
      <c r="S20" s="26"/>
      <c r="T20" s="126"/>
      <c r="U20" s="26"/>
      <c r="W20" s="26"/>
      <c r="X20" s="26"/>
      <c r="Y20" s="26" t="str">
        <f>Commodities!$AD$15&amp;"_"&amp;RIGHT(Commodities!$D$340,3)&amp;"_"&amp;$Y$3&amp;"_ST02"</f>
        <v>RSD_DTA1_SH_ELC_N_ST02</v>
      </c>
      <c r="Z20" s="26" t="str">
        <f>"Detached A1 SpHeat ASHP Standard (N)|"&amp;AG20</f>
        <v>Detached A1 SpHeat ASHP Standard (N)|</v>
      </c>
      <c r="AA20" s="57" t="str">
        <f>General!$B$2</f>
        <v>PJ</v>
      </c>
      <c r="AB20" s="57" t="str">
        <f>General!$B$5</f>
        <v>GW</v>
      </c>
      <c r="AC20" s="57" t="s">
        <v>723</v>
      </c>
      <c r="AD20" s="57"/>
      <c r="AE20" s="26"/>
      <c r="AF20" s="26"/>
      <c r="AG20" s="26"/>
      <c r="AJ20" s="40"/>
    </row>
    <row r="21" spans="1:36" s="10" customFormat="1" ht="12.75" customHeight="1" x14ac:dyDescent="0.25">
      <c r="A21" s="26"/>
      <c r="B21" s="26" t="str">
        <f t="shared" si="12"/>
        <v>RSD_DTA1_SH_LTH_N_AD01</v>
      </c>
      <c r="C21" s="26" t="str">
        <f t="shared" si="12"/>
        <v>Detached A1 SpHeat Dist. Heat Advanced (N)|</v>
      </c>
      <c r="D21" s="26" t="str">
        <f>D20</f>
        <v>RSDLTHA1</v>
      </c>
      <c r="E21" s="26" t="str">
        <f>E20</f>
        <v>RSD_DTA1_SH</v>
      </c>
      <c r="F21" s="84">
        <f t="shared" si="13"/>
        <v>2035</v>
      </c>
      <c r="G21" s="57">
        <f>BASE_YEAR+18</f>
        <v>2035</v>
      </c>
      <c r="H21" s="72">
        <f>H19*1.05</f>
        <v>0.94500000000000006</v>
      </c>
      <c r="I21" s="72"/>
      <c r="J21" s="72"/>
      <c r="K21" s="72"/>
      <c r="L21" s="72"/>
      <c r="M21" s="72"/>
      <c r="N21" s="72">
        <f>ROUNDUP(99.55575*1.2,0)</f>
        <v>120</v>
      </c>
      <c r="O21" s="72">
        <f>ROUNDUP(8.7723,0)</f>
        <v>9</v>
      </c>
      <c r="P21" s="72">
        <v>0</v>
      </c>
      <c r="Q21" s="72">
        <v>20</v>
      </c>
      <c r="R21" s="72">
        <v>31.536000000000001</v>
      </c>
      <c r="S21" s="26"/>
      <c r="T21" s="126"/>
      <c r="U21" s="26"/>
      <c r="W21" s="26"/>
      <c r="X21" s="26"/>
      <c r="Y21" s="26" t="str">
        <f>Commodities!$AD$15&amp;"_"&amp;RIGHT(Commodities!$D$340,3)&amp;"_"&amp;$Y$3&amp;"_ST03"</f>
        <v>RSD_DTA1_SH_ELC_N_ST03</v>
      </c>
      <c r="Z21" s="26" t="str">
        <f>"Detached A1 SpHeat &amp; SpCooling ASHP Standard (N)|"&amp;AG21</f>
        <v>Detached A1 SpHeat &amp; SpCooling ASHP Standard (N)|</v>
      </c>
      <c r="AA21" s="57" t="str">
        <f>General!$B$2</f>
        <v>PJ</v>
      </c>
      <c r="AB21" s="57" t="str">
        <f>General!$B$5</f>
        <v>GW</v>
      </c>
      <c r="AC21" s="57" t="s">
        <v>723</v>
      </c>
      <c r="AD21" s="57"/>
      <c r="AE21" s="26"/>
      <c r="AF21" s="26"/>
      <c r="AG21" s="26"/>
      <c r="AJ21" s="40"/>
    </row>
    <row r="22" spans="1:36" s="10" customFormat="1" ht="12.75" customHeight="1" x14ac:dyDescent="0.25">
      <c r="A22" s="26"/>
      <c r="B22" s="26" t="str">
        <f t="shared" si="12"/>
        <v>RSD_DTA1_SH_ELC_N_ST01</v>
      </c>
      <c r="C22" s="26" t="str">
        <f t="shared" si="12"/>
        <v>Detached A1 SpHeat Electric Heater Standard (N)|</v>
      </c>
      <c r="D22" s="26" t="str">
        <f>Commodities!$D$341</f>
        <v>RSDELC</v>
      </c>
      <c r="E22" s="26" t="str">
        <f t="shared" ref="E22:E24" si="14">E21</f>
        <v>RSD_DTA1_SH</v>
      </c>
      <c r="F22" s="84">
        <f>G22</f>
        <v>2018</v>
      </c>
      <c r="G22" s="57">
        <f>BASE_YEAR+1</f>
        <v>2018</v>
      </c>
      <c r="H22" s="72">
        <v>0.95</v>
      </c>
      <c r="I22" s="72"/>
      <c r="J22" s="72"/>
      <c r="K22" s="72"/>
      <c r="L22" s="72"/>
      <c r="M22" s="72"/>
      <c r="N22" s="72">
        <f>ROUNDUP(320.85*0.3,0)</f>
        <v>97</v>
      </c>
      <c r="O22" s="72">
        <f>N22*0.01</f>
        <v>0.97</v>
      </c>
      <c r="P22" s="72">
        <v>0</v>
      </c>
      <c r="Q22" s="72">
        <v>15</v>
      </c>
      <c r="R22" s="72">
        <f>31.536/5</f>
        <v>6.3071999999999999</v>
      </c>
      <c r="S22" s="26"/>
      <c r="T22" s="126"/>
      <c r="U22" s="26"/>
      <c r="W22" s="26"/>
      <c r="X22" s="26"/>
      <c r="Y22" s="26" t="str">
        <f>Commodities!$AD$15&amp;"_"&amp;RIGHT(Commodities!$D$340,3)&amp;"_"&amp;$Y$3&amp;"_IM01"</f>
        <v>RSD_DTA1_SH_ELC_N_IM01</v>
      </c>
      <c r="Z22" s="26" t="str">
        <f>"Detached A1 SpHeat ASHP Improved (N)|"&amp;AG22</f>
        <v>Detached A1 SpHeat ASHP Improved (N)|</v>
      </c>
      <c r="AA22" s="57" t="str">
        <f>General!$B$2</f>
        <v>PJ</v>
      </c>
      <c r="AB22" s="57" t="str">
        <f>General!$B$5</f>
        <v>GW</v>
      </c>
      <c r="AC22" s="57" t="s">
        <v>723</v>
      </c>
      <c r="AD22" s="57"/>
      <c r="AE22" s="26"/>
      <c r="AF22" s="26"/>
      <c r="AG22" s="26"/>
      <c r="AJ22" s="40"/>
    </row>
    <row r="23" spans="1:36" s="10" customFormat="1" ht="12.75" customHeight="1" x14ac:dyDescent="0.25">
      <c r="A23" s="26"/>
      <c r="B23" s="26" t="str">
        <f t="shared" si="12"/>
        <v>RSD_DTA1_SH_ELC_N_ST02</v>
      </c>
      <c r="C23" s="26" t="str">
        <f t="shared" si="12"/>
        <v>Detached A1 SpHeat ASHP Standard (N)|</v>
      </c>
      <c r="D23" s="26" t="str">
        <f>Commodities!$D$341</f>
        <v>RSDELC</v>
      </c>
      <c r="E23" s="26" t="str">
        <f t="shared" si="14"/>
        <v>RSD_DTA1_SH</v>
      </c>
      <c r="F23" s="84">
        <f>G23</f>
        <v>2018</v>
      </c>
      <c r="G23" s="57">
        <f>BASE_YEAR+1</f>
        <v>2018</v>
      </c>
      <c r="H23" s="72">
        <v>2</v>
      </c>
      <c r="I23" s="72"/>
      <c r="J23" s="72"/>
      <c r="K23" s="72"/>
      <c r="L23" s="72"/>
      <c r="M23" s="72"/>
      <c r="N23" s="72">
        <f>ROUNDUP(612.593487394958*0.8,0)</f>
        <v>491</v>
      </c>
      <c r="O23" s="72">
        <v>1</v>
      </c>
      <c r="P23" s="72">
        <v>0</v>
      </c>
      <c r="Q23" s="72">
        <v>15</v>
      </c>
      <c r="R23" s="72">
        <v>31.536000000000001</v>
      </c>
      <c r="S23" s="26"/>
      <c r="T23" s="126"/>
      <c r="U23" s="26"/>
      <c r="W23" s="26"/>
      <c r="X23" s="26"/>
      <c r="Y23" s="26" t="str">
        <f>Commodities!$AD$15&amp;"_"&amp;RIGHT(Commodities!$D$340,3)&amp;"_"&amp;$Y$3&amp;"_IM02"</f>
        <v>RSD_DTA1_SH_ELC_N_IM02</v>
      </c>
      <c r="Z23" s="26" t="str">
        <f>"Detached A1 SpHeat &amp; SpCooling  ASHP Improved (N)|"&amp;AG23</f>
        <v>Detached A1 SpHeat &amp; SpCooling  ASHP Improved (N)|</v>
      </c>
      <c r="AA23" s="57" t="str">
        <f>General!$B$2</f>
        <v>PJ</v>
      </c>
      <c r="AB23" s="57" t="str">
        <f>General!$B$5</f>
        <v>GW</v>
      </c>
      <c r="AC23" s="57" t="s">
        <v>723</v>
      </c>
      <c r="AD23" s="57"/>
      <c r="AE23" s="26"/>
      <c r="AF23" s="26"/>
      <c r="AG23" s="26"/>
      <c r="AJ23" s="40"/>
    </row>
    <row r="24" spans="1:36" s="10" customFormat="1" ht="12.75" customHeight="1" x14ac:dyDescent="0.25">
      <c r="A24" s="26"/>
      <c r="B24" s="26" t="str">
        <f t="shared" si="12"/>
        <v>RSD_DTA1_SH_ELC_N_ST03</v>
      </c>
      <c r="C24" s="26" t="str">
        <f t="shared" si="12"/>
        <v>Detached A1 SpHeat &amp; SpCooling ASHP Standard (N)|</v>
      </c>
      <c r="D24" s="26" t="str">
        <f>Commodities!$D$341</f>
        <v>RSDELC</v>
      </c>
      <c r="E24" s="26" t="str">
        <f t="shared" si="14"/>
        <v>RSD_DTA1_SH</v>
      </c>
      <c r="F24" s="84">
        <f>G24</f>
        <v>2018</v>
      </c>
      <c r="G24" s="57">
        <f>BASE_YEAR+1</f>
        <v>2018</v>
      </c>
      <c r="H24" s="72">
        <v>2</v>
      </c>
      <c r="I24" s="72"/>
      <c r="J24" s="72"/>
      <c r="K24" s="72"/>
      <c r="L24" s="72"/>
      <c r="M24" s="72"/>
      <c r="N24" s="72">
        <f>ROUNDUP(612.593487394958*0.8,0)</f>
        <v>491</v>
      </c>
      <c r="O24" s="72">
        <v>1</v>
      </c>
      <c r="P24" s="72">
        <v>0</v>
      </c>
      <c r="Q24" s="72">
        <v>15</v>
      </c>
      <c r="R24" s="72">
        <v>31.536000000000001</v>
      </c>
      <c r="S24" s="26"/>
      <c r="T24" s="126"/>
      <c r="U24" s="26"/>
      <c r="W24" s="26"/>
      <c r="X24" s="26"/>
      <c r="Y24" s="26" t="str">
        <f>Commodities!$AD$15&amp;"_"&amp;RIGHT(Commodities!$D$340,3)&amp;"_"&amp;$Y$3&amp;"_AD01"</f>
        <v>RSD_DTA1_SH_ELC_N_AD01</v>
      </c>
      <c r="Z24" s="26" t="str">
        <f>"Detached A1 SpHeat ASHP Advanced (N)|"&amp;AG24</f>
        <v>Detached A1 SpHeat ASHP Advanced (N)|</v>
      </c>
      <c r="AA24" s="57" t="str">
        <f>General!$B$2</f>
        <v>PJ</v>
      </c>
      <c r="AB24" s="57" t="str">
        <f>General!$B$5</f>
        <v>GW</v>
      </c>
      <c r="AC24" s="57" t="s">
        <v>723</v>
      </c>
      <c r="AD24" s="57"/>
      <c r="AE24" s="26"/>
      <c r="AF24" s="26"/>
      <c r="AG24" s="26"/>
      <c r="AJ24" s="40"/>
    </row>
    <row r="25" spans="1:36" s="10" customFormat="1" ht="12.75" customHeight="1" x14ac:dyDescent="0.25">
      <c r="A25" s="26"/>
      <c r="E25" s="26" t="str">
        <f>Commodities!$AD$31</f>
        <v>RSD_DTA1_SC</v>
      </c>
      <c r="F25" s="84">
        <f>F24</f>
        <v>2018</v>
      </c>
      <c r="H25" s="72" t="s">
        <v>848</v>
      </c>
      <c r="I25" s="72"/>
      <c r="J25" s="72">
        <f>H24*1.5</f>
        <v>3</v>
      </c>
      <c r="K25" s="72"/>
      <c r="L25" s="72"/>
      <c r="M25" s="72"/>
      <c r="N25" s="72" t="s">
        <v>848</v>
      </c>
      <c r="O25" s="72" t="s">
        <v>848</v>
      </c>
      <c r="P25" s="72" t="s">
        <v>848</v>
      </c>
      <c r="Q25" s="72" t="s">
        <v>848</v>
      </c>
      <c r="R25" s="72"/>
      <c r="S25" s="26"/>
      <c r="T25" s="126"/>
      <c r="U25" s="26"/>
      <c r="W25" s="26"/>
      <c r="X25" s="26"/>
      <c r="Y25" s="26" t="str">
        <f>Commodities!$AD$15&amp;"_"&amp;RIGHT(Commodities!$D$340,3)&amp;"_"&amp;$Y$3&amp;"_AD02"</f>
        <v>RSD_DTA1_SH_ELC_N_AD02</v>
      </c>
      <c r="Z25" s="26" t="str">
        <f>"Detached A1 SpHeat &amp; SpCooling ASHP Advanced (N)|"&amp;AG25</f>
        <v>Detached A1 SpHeat &amp; SpCooling ASHP Advanced (N)|</v>
      </c>
      <c r="AA25" s="57" t="str">
        <f>General!$B$2</f>
        <v>PJ</v>
      </c>
      <c r="AB25" s="57" t="str">
        <f>General!$B$5</f>
        <v>GW</v>
      </c>
      <c r="AC25" s="57" t="s">
        <v>723</v>
      </c>
      <c r="AD25" s="57"/>
      <c r="AE25" s="26"/>
      <c r="AF25" s="26"/>
      <c r="AG25" s="26"/>
      <c r="AJ25" s="40"/>
    </row>
    <row r="26" spans="1:36" s="10" customFormat="1" ht="12.75" customHeight="1" x14ac:dyDescent="0.25">
      <c r="A26" s="26"/>
      <c r="B26" s="26" t="str">
        <f>Y22</f>
        <v>RSD_DTA1_SH_ELC_N_IM01</v>
      </c>
      <c r="C26" s="26" t="str">
        <f>Z22</f>
        <v>Detached A1 SpHeat ASHP Improved (N)|</v>
      </c>
      <c r="D26" s="26" t="str">
        <f>Commodities!$D$341</f>
        <v>RSDELC</v>
      </c>
      <c r="E26" s="26" t="str">
        <f>E24</f>
        <v>RSD_DTA1_SH</v>
      </c>
      <c r="F26" s="84">
        <f>G26</f>
        <v>2025</v>
      </c>
      <c r="G26" s="57">
        <f>BASE_YEAR+8</f>
        <v>2025</v>
      </c>
      <c r="H26" s="72">
        <v>2.5</v>
      </c>
      <c r="I26" s="72"/>
      <c r="J26" s="72"/>
      <c r="K26" s="72"/>
      <c r="L26" s="72"/>
      <c r="M26" s="72"/>
      <c r="N26" s="72">
        <f>ROUNDUP(655.475031512605*0.9,0)</f>
        <v>590</v>
      </c>
      <c r="O26" s="72">
        <v>1</v>
      </c>
      <c r="P26" s="72">
        <v>0</v>
      </c>
      <c r="Q26" s="72">
        <v>15</v>
      </c>
      <c r="R26" s="72">
        <v>31.536000000000001</v>
      </c>
      <c r="S26" s="26"/>
      <c r="T26" s="126"/>
      <c r="U26" s="26"/>
      <c r="W26" s="26"/>
      <c r="X26" s="26"/>
      <c r="Y26" s="26" t="str">
        <f>Commodities!$AD$15&amp;"_"&amp;RIGHT(Commodities!$D$182,3)&amp;"_"&amp;$Y$3&amp;"_ST01"</f>
        <v>RSD_DTA1_SH_GEO_N_ST01</v>
      </c>
      <c r="Z26" s="26" t="str">
        <f>"Detached A1 SpHeat GSHP Standard (N)|"&amp;AG26</f>
        <v>Detached A1 SpHeat GSHP Standard (N)|</v>
      </c>
      <c r="AA26" s="57" t="str">
        <f>General!$B$2</f>
        <v>PJ</v>
      </c>
      <c r="AB26" s="57" t="str">
        <f>General!$B$5</f>
        <v>GW</v>
      </c>
      <c r="AC26" s="57" t="s">
        <v>723</v>
      </c>
      <c r="AD26" s="57"/>
      <c r="AE26" s="26"/>
      <c r="AF26" s="26"/>
      <c r="AG26" s="26"/>
      <c r="AJ26" s="40"/>
    </row>
    <row r="27" spans="1:36" s="10" customFormat="1" ht="12.75" customHeight="1" x14ac:dyDescent="0.25">
      <c r="A27" s="26"/>
      <c r="B27" s="26" t="str">
        <f>Y23</f>
        <v>RSD_DTA1_SH_ELC_N_IM02</v>
      </c>
      <c r="C27" s="26" t="str">
        <f>Z23</f>
        <v>Detached A1 SpHeat &amp; SpCooling  ASHP Improved (N)|</v>
      </c>
      <c r="D27" s="26" t="str">
        <f>Commodities!$D$341</f>
        <v>RSDELC</v>
      </c>
      <c r="E27" s="26" t="str">
        <f>E26</f>
        <v>RSD_DTA1_SH</v>
      </c>
      <c r="F27" s="84">
        <f>G27</f>
        <v>2025</v>
      </c>
      <c r="G27" s="57">
        <f>BASE_YEAR+8</f>
        <v>2025</v>
      </c>
      <c r="H27" s="72">
        <v>2.5</v>
      </c>
      <c r="I27" s="72"/>
      <c r="J27" s="72"/>
      <c r="K27" s="72"/>
      <c r="L27" s="72"/>
      <c r="M27" s="72"/>
      <c r="N27" s="72">
        <f>ROUNDUP(655.475031512605*0.9,0)</f>
        <v>590</v>
      </c>
      <c r="O27" s="72">
        <v>1</v>
      </c>
      <c r="P27" s="72">
        <v>0</v>
      </c>
      <c r="Q27" s="72">
        <v>15</v>
      </c>
      <c r="R27" s="72">
        <v>31.536000000000001</v>
      </c>
      <c r="S27" s="26"/>
      <c r="T27" s="126"/>
      <c r="U27" s="26"/>
      <c r="W27" s="26"/>
      <c r="X27" s="26"/>
      <c r="Y27" s="26" t="str">
        <f>Commodities!$AD$15&amp;"_"&amp;RIGHT(Commodities!$D$182,3)&amp;"_"&amp;$Y$3&amp;"_ST02"</f>
        <v>RSD_DTA1_SH_GEO_N_ST02</v>
      </c>
      <c r="Z27" s="26" t="str">
        <f>"Detached A1 SpHeat &amp; SpCooling GSHP Standard (N)|"&amp;AG27</f>
        <v>Detached A1 SpHeat &amp; SpCooling GSHP Standard (N)|</v>
      </c>
      <c r="AA27" s="57" t="str">
        <f>General!$B$2</f>
        <v>PJ</v>
      </c>
      <c r="AB27" s="57" t="str">
        <f>General!$B$5</f>
        <v>GW</v>
      </c>
      <c r="AC27" s="57" t="s">
        <v>723</v>
      </c>
      <c r="AD27" s="57"/>
      <c r="AE27" s="26"/>
      <c r="AF27" s="26"/>
      <c r="AG27" s="26"/>
      <c r="AJ27" s="40"/>
    </row>
    <row r="28" spans="1:36" s="10" customFormat="1" ht="12.75" customHeight="1" x14ac:dyDescent="0.25">
      <c r="A28" s="26"/>
      <c r="E28" s="26" t="str">
        <f>E25</f>
        <v>RSD_DTA1_SC</v>
      </c>
      <c r="F28" s="84">
        <f>F27</f>
        <v>2025</v>
      </c>
      <c r="H28" s="72" t="s">
        <v>848</v>
      </c>
      <c r="I28" s="72"/>
      <c r="J28" s="72">
        <f>H27*1.5</f>
        <v>3.75</v>
      </c>
      <c r="K28" s="72"/>
      <c r="L28" s="72"/>
      <c r="M28" s="72"/>
      <c r="N28" s="72" t="s">
        <v>848</v>
      </c>
      <c r="O28" s="72" t="s">
        <v>848</v>
      </c>
      <c r="P28" s="72" t="s">
        <v>848</v>
      </c>
      <c r="Q28" s="72" t="s">
        <v>848</v>
      </c>
      <c r="R28" s="72"/>
      <c r="S28" s="26"/>
      <c r="T28" s="126"/>
      <c r="U28" s="26"/>
      <c r="W28" s="26"/>
      <c r="X28" s="26"/>
      <c r="Y28" s="26" t="str">
        <f>Commodities!$AD$15&amp;"_"&amp;RIGHT(Commodities!$D$182,3)&amp;"_"&amp;$Y$3&amp;"_IM01"</f>
        <v>RSD_DTA1_SH_GEO_N_IM01</v>
      </c>
      <c r="Z28" s="26" t="str">
        <f>"Detached A1 SpHeat GSHP Improved (N)|"&amp;AG28</f>
        <v>Detached A1 SpHeat GSHP Improved (N)|</v>
      </c>
      <c r="AA28" s="57" t="str">
        <f>General!$B$2</f>
        <v>PJ</v>
      </c>
      <c r="AB28" s="57" t="str">
        <f>General!$B$5</f>
        <v>GW</v>
      </c>
      <c r="AC28" s="57" t="s">
        <v>723</v>
      </c>
      <c r="AD28" s="26"/>
      <c r="AE28" s="26"/>
      <c r="AF28" s="26"/>
      <c r="AG28" s="26"/>
      <c r="AJ28" s="40"/>
    </row>
    <row r="29" spans="1:36" s="10" customFormat="1" ht="12.75" customHeight="1" x14ac:dyDescent="0.25">
      <c r="A29" s="26"/>
      <c r="B29" s="26" t="str">
        <f>Y24</f>
        <v>RSD_DTA1_SH_ELC_N_AD01</v>
      </c>
      <c r="C29" s="26" t="str">
        <f>Z24</f>
        <v>Detached A1 SpHeat ASHP Advanced (N)|</v>
      </c>
      <c r="D29" s="26" t="str">
        <f>Commodities!$D$341</f>
        <v>RSDELC</v>
      </c>
      <c r="E29" s="26" t="str">
        <f>E27</f>
        <v>RSD_DTA1_SH</v>
      </c>
      <c r="F29" s="84">
        <f>G29</f>
        <v>2035</v>
      </c>
      <c r="G29" s="57">
        <f>BASE_YEAR+18</f>
        <v>2035</v>
      </c>
      <c r="H29" s="72">
        <v>3</v>
      </c>
      <c r="I29" s="72"/>
      <c r="J29" s="72"/>
      <c r="K29" s="72"/>
      <c r="L29" s="72"/>
      <c r="M29" s="72"/>
      <c r="N29" s="72">
        <f>ROUNDUP(688.248783088235,0)</f>
        <v>689</v>
      </c>
      <c r="O29" s="72">
        <v>1</v>
      </c>
      <c r="P29" s="72">
        <v>0</v>
      </c>
      <c r="Q29" s="72">
        <v>15</v>
      </c>
      <c r="R29" s="72">
        <v>31.536000000000001</v>
      </c>
      <c r="S29" s="26"/>
      <c r="T29" s="126"/>
      <c r="U29" s="26"/>
      <c r="W29" s="26"/>
      <c r="X29" s="26"/>
      <c r="Y29" s="26" t="str">
        <f>Commodities!$AD$15&amp;"_"&amp;RIGHT(Commodities!$D$182,3)&amp;"_"&amp;$Y$3&amp;"_IM02"</f>
        <v>RSD_DTA1_SH_GEO_N_IM02</v>
      </c>
      <c r="Z29" s="26" t="str">
        <f>"Detached A1 SpHeat &amp; SpCooling GSHP Improved (N)|"&amp;AG29</f>
        <v>Detached A1 SpHeat &amp; SpCooling GSHP Improved (N)|</v>
      </c>
      <c r="AA29" s="57" t="str">
        <f>General!$B$2</f>
        <v>PJ</v>
      </c>
      <c r="AB29" s="57" t="str">
        <f>General!$B$5</f>
        <v>GW</v>
      </c>
      <c r="AC29" s="57" t="s">
        <v>723</v>
      </c>
      <c r="AD29" s="26"/>
      <c r="AE29" s="26"/>
      <c r="AF29" s="26"/>
      <c r="AG29" s="26"/>
      <c r="AJ29" s="40"/>
    </row>
    <row r="30" spans="1:36" s="10" customFormat="1" ht="12.75" customHeight="1" x14ac:dyDescent="0.25">
      <c r="A30" s="26"/>
      <c r="B30" s="26" t="str">
        <f>Y25</f>
        <v>RSD_DTA1_SH_ELC_N_AD02</v>
      </c>
      <c r="C30" s="26" t="str">
        <f>Z25</f>
        <v>Detached A1 SpHeat &amp; SpCooling ASHP Advanced (N)|</v>
      </c>
      <c r="D30" s="26" t="str">
        <f>Commodities!$D$341</f>
        <v>RSDELC</v>
      </c>
      <c r="E30" s="26" t="str">
        <f>E29</f>
        <v>RSD_DTA1_SH</v>
      </c>
      <c r="F30" s="84">
        <f>G30</f>
        <v>2035</v>
      </c>
      <c r="G30" s="57">
        <f>BASE_YEAR+18</f>
        <v>2035</v>
      </c>
      <c r="H30" s="72">
        <v>3</v>
      </c>
      <c r="I30" s="72"/>
      <c r="J30" s="72"/>
      <c r="K30" s="72"/>
      <c r="L30" s="72"/>
      <c r="M30" s="72"/>
      <c r="N30" s="72">
        <f>ROUNDUP(688.248783088235,0)</f>
        <v>689</v>
      </c>
      <c r="O30" s="72">
        <v>1</v>
      </c>
      <c r="P30" s="72">
        <v>0</v>
      </c>
      <c r="Q30" s="72">
        <v>15</v>
      </c>
      <c r="R30" s="72">
        <v>31.536000000000001</v>
      </c>
      <c r="S30" s="26"/>
      <c r="T30" s="126"/>
      <c r="U30" s="26"/>
      <c r="W30" s="26"/>
      <c r="X30" s="26"/>
      <c r="Y30" s="26" t="str">
        <f>Commodities!$AD$15&amp;"_"&amp;LEFT(RIGHT(Commodities!$D$159,3),3)&amp;"_"&amp;$Y$3&amp;"_AD02"</f>
        <v>RSD_DTA1_SH_DSL_N_AD02</v>
      </c>
      <c r="Z30" s="26" t="str">
        <f>"Detached A1 SpHeat DieselOil Boiler Advanced (N)|"&amp;AG30</f>
        <v>Detached A1 SpHeat DieselOil Boiler Advanced (N)|</v>
      </c>
      <c r="AA30" s="57" t="str">
        <f>General!$B$2</f>
        <v>PJ</v>
      </c>
      <c r="AB30" s="57" t="str">
        <f>General!$B$5</f>
        <v>GW</v>
      </c>
      <c r="AC30" s="57" t="s">
        <v>723</v>
      </c>
      <c r="AD30" s="26"/>
      <c r="AE30" s="26"/>
      <c r="AF30" s="26"/>
      <c r="AG30" s="26"/>
      <c r="AJ30" s="40"/>
    </row>
    <row r="31" spans="1:36" s="10" customFormat="1" ht="12.75" customHeight="1" x14ac:dyDescent="0.25">
      <c r="A31" s="26"/>
      <c r="E31" s="26" t="str">
        <f>E28</f>
        <v>RSD_DTA1_SC</v>
      </c>
      <c r="F31" s="84">
        <f>F30</f>
        <v>2035</v>
      </c>
      <c r="H31" s="72" t="s">
        <v>848</v>
      </c>
      <c r="I31" s="72"/>
      <c r="J31" s="72">
        <f>H30*1.5</f>
        <v>4.5</v>
      </c>
      <c r="K31" s="72"/>
      <c r="L31" s="72"/>
      <c r="M31" s="72"/>
      <c r="N31" s="72" t="s">
        <v>848</v>
      </c>
      <c r="O31" s="72" t="s">
        <v>848</v>
      </c>
      <c r="P31" s="72" t="s">
        <v>848</v>
      </c>
      <c r="Q31" s="72" t="s">
        <v>848</v>
      </c>
      <c r="R31" s="72"/>
      <c r="S31" s="26"/>
      <c r="T31" s="126"/>
      <c r="U31" s="26"/>
      <c r="W31" s="26"/>
      <c r="X31" s="26"/>
      <c r="Y31" s="26" t="str">
        <f>Commodities!$AD$15&amp;"_"&amp;LEFT(RIGHT(Commodities!$D$161,3),3)&amp;"_"&amp;$Y$3&amp;"_AD02"</f>
        <v>RSD_DTA1_SH_LPG_N_AD02</v>
      </c>
      <c r="Z31" s="26" t="str">
        <f>"Detached A1 SpHeat LPG Boiler Advanced (N)|"&amp;AG31</f>
        <v>Detached A1 SpHeat LPG Boiler Advanced (N)|</v>
      </c>
      <c r="AA31" s="57" t="str">
        <f>General!$B$2</f>
        <v>PJ</v>
      </c>
      <c r="AB31" s="57" t="str">
        <f>General!$B$5</f>
        <v>GW</v>
      </c>
      <c r="AC31" s="57" t="s">
        <v>723</v>
      </c>
      <c r="AD31" s="26"/>
      <c r="AE31" s="26"/>
      <c r="AF31" s="26"/>
      <c r="AG31" s="26"/>
      <c r="AJ31" s="40"/>
    </row>
    <row r="32" spans="1:36" s="10" customFormat="1" ht="12.75" customHeight="1" x14ac:dyDescent="0.25">
      <c r="A32" s="26"/>
      <c r="B32" s="26" t="str">
        <f>Y26</f>
        <v>RSD_DTA1_SH_GEO_N_ST01</v>
      </c>
      <c r="C32" s="26" t="str">
        <f>Z26</f>
        <v>Detached A1 SpHeat GSHP Standard (N)|</v>
      </c>
      <c r="D32" s="26" t="str">
        <f>Commodities!$D$341</f>
        <v>RSDELC</v>
      </c>
      <c r="E32" s="26" t="str">
        <f>E30</f>
        <v>RSD_DTA1_SH</v>
      </c>
      <c r="F32" s="84">
        <f>G32</f>
        <v>2020</v>
      </c>
      <c r="G32" s="57">
        <f>BASE_YEAR+3</f>
        <v>2020</v>
      </c>
      <c r="H32" s="72">
        <v>4</v>
      </c>
      <c r="I32" s="72"/>
      <c r="J32" s="72"/>
      <c r="K32" s="72"/>
      <c r="L32" s="72"/>
      <c r="M32" s="72"/>
      <c r="N32" s="72">
        <v>859.22430830039525</v>
      </c>
      <c r="O32" s="72">
        <v>1.7085427135678393</v>
      </c>
      <c r="P32" s="72">
        <v>0</v>
      </c>
      <c r="Q32" s="72">
        <v>15</v>
      </c>
      <c r="R32" s="72">
        <v>31.536000000000001</v>
      </c>
      <c r="S32" s="26"/>
      <c r="T32" s="126"/>
      <c r="U32" s="26"/>
      <c r="W32" s="26"/>
      <c r="X32" s="26"/>
      <c r="Y32" s="26" t="str">
        <f>Commodities!$AD$16&amp;"_"&amp;RIGHT(Commodities!$D$153,3)&amp;"_"&amp;$Y$3&amp;"_ST"</f>
        <v>RSD_APA1_SH_BIC_N_ST</v>
      </c>
      <c r="Z32" s="26" t="str">
        <f>"Apartment A1 SpHeat Coal Boiler Standard (N)|"&amp;AG30</f>
        <v>Apartment A1 SpHeat Coal Boiler Standard (N)|</v>
      </c>
      <c r="AA32" s="57" t="str">
        <f>General!$B$2</f>
        <v>PJ</v>
      </c>
      <c r="AB32" s="57" t="str">
        <f>General!$B$5</f>
        <v>GW</v>
      </c>
      <c r="AC32" s="57" t="s">
        <v>723</v>
      </c>
      <c r="AD32" s="57"/>
      <c r="AE32" s="26"/>
      <c r="AF32" s="26"/>
      <c r="AG32" s="26"/>
      <c r="AJ32" s="40"/>
    </row>
    <row r="33" spans="1:36" s="10" customFormat="1" ht="12.75" customHeight="1" x14ac:dyDescent="0.25">
      <c r="A33" s="26"/>
      <c r="D33" s="26" t="str">
        <f>Commodities!$D$182</f>
        <v>RSDRESGEO</v>
      </c>
      <c r="F33" s="84">
        <f>F32</f>
        <v>2020</v>
      </c>
      <c r="H33" s="72" t="s">
        <v>848</v>
      </c>
      <c r="I33" s="72"/>
      <c r="J33" s="72" t="s">
        <v>848</v>
      </c>
      <c r="K33" s="72"/>
      <c r="L33" s="72">
        <v>0.2</v>
      </c>
      <c r="M33" s="72"/>
      <c r="N33" s="72" t="s">
        <v>848</v>
      </c>
      <c r="O33" s="72" t="s">
        <v>848</v>
      </c>
      <c r="P33" s="72" t="s">
        <v>848</v>
      </c>
      <c r="Q33" s="72" t="s">
        <v>848</v>
      </c>
      <c r="R33" s="72">
        <v>31.536000000000001</v>
      </c>
      <c r="S33" s="26"/>
      <c r="T33" s="126"/>
      <c r="U33" s="26"/>
      <c r="W33" s="26"/>
      <c r="X33" s="26"/>
      <c r="Y33" s="26" t="str">
        <f>Commodities!$AD$16&amp;"_"&amp;RIGHT(Commodities!$D$167,3)&amp;"_"&amp;$Y$3&amp;"_ST01"</f>
        <v>RSD_APA1_SH_LOG_N_ST01</v>
      </c>
      <c r="Z33" s="26" t="str">
        <f>"Apartment A1 SpHeat Wood Stove Standard (N)|"&amp;AG31</f>
        <v>Apartment A1 SpHeat Wood Stove Standard (N)|</v>
      </c>
      <c r="AA33" s="57" t="str">
        <f>General!$B$2</f>
        <v>PJ</v>
      </c>
      <c r="AB33" s="57" t="str">
        <f>General!$B$5</f>
        <v>GW</v>
      </c>
      <c r="AC33" s="57" t="s">
        <v>723</v>
      </c>
      <c r="AD33" s="57"/>
      <c r="AE33" s="26"/>
      <c r="AF33" s="26"/>
      <c r="AG33" s="26"/>
      <c r="AJ33" s="40"/>
    </row>
    <row r="34" spans="1:36" s="10" customFormat="1" ht="12.75" customHeight="1" x14ac:dyDescent="0.25">
      <c r="A34" s="26"/>
      <c r="B34" s="26" t="str">
        <f>Y27</f>
        <v>RSD_DTA1_SH_GEO_N_ST02</v>
      </c>
      <c r="C34" s="26" t="str">
        <f>Z27</f>
        <v>Detached A1 SpHeat &amp; SpCooling GSHP Standard (N)|</v>
      </c>
      <c r="D34" s="26" t="str">
        <f>Commodities!$D$341</f>
        <v>RSDELC</v>
      </c>
      <c r="E34" s="26" t="str">
        <f>E30</f>
        <v>RSD_DTA1_SH</v>
      </c>
      <c r="F34" s="84">
        <f>G34</f>
        <v>2018</v>
      </c>
      <c r="G34" s="57">
        <f>BASE_YEAR+1</f>
        <v>2018</v>
      </c>
      <c r="H34" s="72">
        <v>4</v>
      </c>
      <c r="I34" s="72"/>
      <c r="J34" s="72"/>
      <c r="K34" s="72"/>
      <c r="L34" s="72"/>
      <c r="M34" s="72"/>
      <c r="N34" s="72">
        <v>859.22430830039525</v>
      </c>
      <c r="O34" s="72">
        <v>1.7085427135678393</v>
      </c>
      <c r="P34" s="72">
        <v>0</v>
      </c>
      <c r="Q34" s="72">
        <v>15</v>
      </c>
      <c r="R34" s="72">
        <v>31.536000000000001</v>
      </c>
      <c r="S34" s="26"/>
      <c r="T34" s="126"/>
      <c r="U34" s="26"/>
      <c r="W34" s="26"/>
      <c r="X34" s="26"/>
      <c r="Y34" s="26" t="str">
        <f>Commodities!$AD$16&amp;"_"&amp;RIGHT(Commodities!$D$167,3)&amp;"_"&amp;$Y$3&amp;"_ST02"</f>
        <v>RSD_APA1_SH_LOG_N_ST02</v>
      </c>
      <c r="Z34" s="26" t="str">
        <f>"Apartment A1 SpHeat Wood Boiler Standard (N)|"&amp;AG32</f>
        <v>Apartment A1 SpHeat Wood Boiler Standard (N)|</v>
      </c>
      <c r="AA34" s="57" t="str">
        <f>General!$B$2</f>
        <v>PJ</v>
      </c>
      <c r="AB34" s="57" t="str">
        <f>General!$B$5</f>
        <v>GW</v>
      </c>
      <c r="AC34" s="57" t="s">
        <v>723</v>
      </c>
      <c r="AD34" s="57"/>
      <c r="AE34" s="26"/>
      <c r="AF34" s="26"/>
      <c r="AG34" s="26"/>
      <c r="AJ34" s="40"/>
    </row>
    <row r="35" spans="1:36" s="10" customFormat="1" ht="12.75" customHeight="1" x14ac:dyDescent="0.25">
      <c r="A35" s="26"/>
      <c r="D35" s="26" t="str">
        <f>Commodities!$D$182</f>
        <v>RSDRESGEO</v>
      </c>
      <c r="E35" s="26" t="str">
        <f>E31</f>
        <v>RSD_DTA1_SC</v>
      </c>
      <c r="F35" s="84">
        <f>F34</f>
        <v>2018</v>
      </c>
      <c r="H35" s="72" t="s">
        <v>848</v>
      </c>
      <c r="I35" s="72"/>
      <c r="J35" s="72"/>
      <c r="K35" s="72"/>
      <c r="L35" s="72">
        <v>0.2</v>
      </c>
      <c r="M35" s="72"/>
      <c r="N35" s="72" t="s">
        <v>848</v>
      </c>
      <c r="O35" s="72" t="s">
        <v>848</v>
      </c>
      <c r="P35" s="72" t="s">
        <v>848</v>
      </c>
      <c r="Q35" s="72" t="s">
        <v>848</v>
      </c>
      <c r="R35" s="72">
        <v>31.536000000000001</v>
      </c>
      <c r="S35" s="26"/>
      <c r="T35" s="126"/>
      <c r="U35" s="26"/>
      <c r="W35" s="26"/>
      <c r="X35" s="26"/>
      <c r="Y35" s="26" t="str">
        <f>Commodities!$AD$16&amp;"_"&amp;RIGHT(Commodities!$D$177,3)&amp;"_"&amp;$Y$3&amp;"_ST01"</f>
        <v>RSD_APA1_SH_PLT_N_ST01</v>
      </c>
      <c r="Z35" s="26" t="str">
        <f>"Apartment A1 SpHeat Pellet Boiler Standard (N)|"&amp;AG33</f>
        <v>Apartment A1 SpHeat Pellet Boiler Standard (N)|</v>
      </c>
      <c r="AA35" s="57" t="str">
        <f>General!$B$2</f>
        <v>PJ</v>
      </c>
      <c r="AB35" s="57" t="str">
        <f>General!$B$5</f>
        <v>GW</v>
      </c>
      <c r="AC35" s="57" t="s">
        <v>723</v>
      </c>
      <c r="AD35" s="57"/>
      <c r="AE35" s="26"/>
      <c r="AF35" s="26"/>
      <c r="AG35" s="26"/>
      <c r="AJ35" s="40"/>
    </row>
    <row r="36" spans="1:36" s="10" customFormat="1" ht="12.75" customHeight="1" x14ac:dyDescent="0.25">
      <c r="A36" s="26"/>
      <c r="B36" s="26" t="str">
        <f>Y28</f>
        <v>RSD_DTA1_SH_GEO_N_IM01</v>
      </c>
      <c r="C36" s="26" t="str">
        <f>Z28</f>
        <v>Detached A1 SpHeat GSHP Improved (N)|</v>
      </c>
      <c r="D36" s="26" t="str">
        <f>Commodities!$D$341</f>
        <v>RSDELC</v>
      </c>
      <c r="E36" s="26" t="str">
        <f>E34</f>
        <v>RSD_DTA1_SH</v>
      </c>
      <c r="F36" s="84">
        <f>G36</f>
        <v>2025</v>
      </c>
      <c r="G36" s="57">
        <f>BASE_YEAR+8</f>
        <v>2025</v>
      </c>
      <c r="H36" s="72">
        <v>4.3</v>
      </c>
      <c r="I36" s="72"/>
      <c r="J36" s="72"/>
      <c r="K36" s="72"/>
      <c r="L36" s="72"/>
      <c r="M36" s="72"/>
      <c r="N36" s="72">
        <v>919.37000988142302</v>
      </c>
      <c r="O36" s="72">
        <v>1.5889447236180905</v>
      </c>
      <c r="P36" s="72">
        <v>0</v>
      </c>
      <c r="Q36" s="72">
        <v>15</v>
      </c>
      <c r="R36" s="72">
        <v>31.536000000000001</v>
      </c>
      <c r="S36" s="26"/>
      <c r="T36" s="126"/>
      <c r="U36" s="26"/>
      <c r="W36" s="26"/>
      <c r="X36" s="26"/>
      <c r="Y36" s="26" t="str">
        <f>Commodities!$AD$16&amp;"_"&amp;RIGHT(Commodities!$D$177,3)&amp;"_"&amp;$Y$3&amp;"_IM01"</f>
        <v>RSD_APA1_SH_PLT_N_IM01</v>
      </c>
      <c r="Z36" s="26" t="str">
        <f>"Apartment A1 SpHeat Pellet Boiler Improved (N)|"&amp;AG34</f>
        <v>Apartment A1 SpHeat Pellet Boiler Improved (N)|</v>
      </c>
      <c r="AA36" s="57" t="str">
        <f>General!$B$2</f>
        <v>PJ</v>
      </c>
      <c r="AB36" s="57" t="str">
        <f>General!$B$5</f>
        <v>GW</v>
      </c>
      <c r="AC36" s="57" t="s">
        <v>723</v>
      </c>
      <c r="AD36" s="57"/>
      <c r="AE36" s="26"/>
      <c r="AF36" s="26"/>
      <c r="AG36" s="26"/>
      <c r="AJ36" s="40"/>
    </row>
    <row r="37" spans="1:36" s="10" customFormat="1" ht="12.75" customHeight="1" x14ac:dyDescent="0.25">
      <c r="A37" s="26"/>
      <c r="D37" s="26" t="str">
        <f>Commodities!$D$182</f>
        <v>RSDRESGEO</v>
      </c>
      <c r="F37" s="84">
        <f>F36</f>
        <v>2025</v>
      </c>
      <c r="H37" s="72" t="s">
        <v>848</v>
      </c>
      <c r="I37" s="72"/>
      <c r="J37" s="72"/>
      <c r="K37" s="72"/>
      <c r="L37" s="72">
        <v>0.2</v>
      </c>
      <c r="M37" s="72"/>
      <c r="N37" s="72" t="s">
        <v>848</v>
      </c>
      <c r="O37" s="72" t="s">
        <v>848</v>
      </c>
      <c r="P37" s="72" t="s">
        <v>848</v>
      </c>
      <c r="Q37" s="72" t="s">
        <v>848</v>
      </c>
      <c r="R37" s="72">
        <v>31.536000000000001</v>
      </c>
      <c r="S37" s="26"/>
      <c r="T37" s="126"/>
      <c r="U37" s="26"/>
      <c r="W37" s="26"/>
      <c r="X37" s="26"/>
      <c r="Y37" s="26" t="str">
        <f>Commodities!$AD$16&amp;"_"&amp;LEFT(RIGHT(Commodities!$D$166,6),3)&amp;"_"&amp;$Y$3&amp;"_ST01"</f>
        <v>RSD_APA1_SH_GAS_N_ST01</v>
      </c>
      <c r="Z37" s="26" t="str">
        <f>"Apartment A1 SpHeat Gas Boiler Condensing (N)|"&amp;AG35</f>
        <v>Apartment A1 SpHeat Gas Boiler Condensing (N)|</v>
      </c>
      <c r="AA37" s="57" t="str">
        <f>General!$B$2</f>
        <v>PJ</v>
      </c>
      <c r="AB37" s="57" t="str">
        <f>General!$B$5</f>
        <v>GW</v>
      </c>
      <c r="AC37" s="57" t="s">
        <v>723</v>
      </c>
      <c r="AD37" s="57"/>
      <c r="AE37" s="26"/>
      <c r="AF37" s="26"/>
      <c r="AG37" s="26"/>
      <c r="AJ37" s="40"/>
    </row>
    <row r="38" spans="1:36" s="10" customFormat="1" ht="12.75" customHeight="1" x14ac:dyDescent="0.25">
      <c r="A38" s="26"/>
      <c r="B38" s="26" t="str">
        <f>Y29</f>
        <v>RSD_DTA1_SH_GEO_N_IM02</v>
      </c>
      <c r="C38" s="26" t="str">
        <f>Z29</f>
        <v>Detached A1 SpHeat &amp; SpCooling GSHP Improved (N)|</v>
      </c>
      <c r="D38" s="26" t="str">
        <f>Commodities!$D$341</f>
        <v>RSDELC</v>
      </c>
      <c r="E38" s="26" t="str">
        <f>E34</f>
        <v>RSD_DTA1_SH</v>
      </c>
      <c r="F38" s="84">
        <f>G38</f>
        <v>2025</v>
      </c>
      <c r="G38" s="57">
        <f>BASE_YEAR+8</f>
        <v>2025</v>
      </c>
      <c r="H38" s="72">
        <v>4.5</v>
      </c>
      <c r="I38" s="72"/>
      <c r="J38" s="72"/>
      <c r="K38" s="72"/>
      <c r="L38" s="72"/>
      <c r="M38" s="72"/>
      <c r="N38" s="72">
        <v>983.72591057312263</v>
      </c>
      <c r="O38" s="72">
        <v>1.477718592964824</v>
      </c>
      <c r="P38" s="72">
        <v>0</v>
      </c>
      <c r="Q38" s="72">
        <v>15</v>
      </c>
      <c r="R38" s="72">
        <v>31.536000000000001</v>
      </c>
      <c r="S38" s="26"/>
      <c r="T38" s="126"/>
      <c r="U38" s="26"/>
      <c r="W38" s="26"/>
      <c r="X38" s="26"/>
      <c r="Y38" s="26" t="str">
        <f>Commodities!$AD$16&amp;"_"&amp;LEFT(RIGHT(Commodities!$D$166,6),3)&amp;"_"&amp;$Y$3&amp;"_ST02"</f>
        <v>RSD_APA1_SH_GAS_N_ST02</v>
      </c>
      <c r="Z38" s="26" t="str">
        <f>"Apartment A1 Combi Gas Boiler Condensing (N)|"&amp;AG36</f>
        <v>Apartment A1 Combi Gas Boiler Condensing (N)|</v>
      </c>
      <c r="AA38" s="57" t="str">
        <f>General!$B$2</f>
        <v>PJ</v>
      </c>
      <c r="AB38" s="57" t="str">
        <f>General!$B$5</f>
        <v>GW</v>
      </c>
      <c r="AC38" s="57" t="s">
        <v>723</v>
      </c>
      <c r="AD38" s="57"/>
      <c r="AE38" s="26"/>
      <c r="AF38" s="26"/>
      <c r="AG38" s="26"/>
      <c r="AJ38" s="40"/>
    </row>
    <row r="39" spans="1:36" s="10" customFormat="1" ht="12.75" customHeight="1" x14ac:dyDescent="0.25">
      <c r="A39" s="26"/>
      <c r="D39" s="26" t="str">
        <f>Commodities!$D$182</f>
        <v>RSDRESGEO</v>
      </c>
      <c r="E39" s="26" t="str">
        <f>E35</f>
        <v>RSD_DTA1_SC</v>
      </c>
      <c r="F39" s="84">
        <f>F38</f>
        <v>2025</v>
      </c>
      <c r="H39" s="72" t="s">
        <v>848</v>
      </c>
      <c r="I39" s="72"/>
      <c r="J39" s="72" t="s">
        <v>848</v>
      </c>
      <c r="K39" s="72"/>
      <c r="L39" s="72">
        <v>0.2</v>
      </c>
      <c r="M39" s="72"/>
      <c r="N39" s="72" t="s">
        <v>848</v>
      </c>
      <c r="O39" s="72" t="s">
        <v>848</v>
      </c>
      <c r="P39" s="72" t="s">
        <v>848</v>
      </c>
      <c r="Q39" s="72" t="s">
        <v>848</v>
      </c>
      <c r="R39" s="72">
        <v>31.536000000000001</v>
      </c>
      <c r="S39" s="26"/>
      <c r="T39" s="126"/>
      <c r="U39" s="26"/>
      <c r="W39" s="26"/>
      <c r="X39" s="26"/>
      <c r="Y39" s="26" t="str">
        <f>Commodities!$AD$16&amp;"_"&amp;LEFT(RIGHT(Commodities!$D$166,6),3)&amp;"_"&amp;$Y$3&amp;"_AD01"</f>
        <v>RSD_APA1_SH_GAS_N_AD01</v>
      </c>
      <c r="Z39" s="26" t="str">
        <f>"Apartment A1 SpHeat Gas Boiler Condensing Improved (N)|"&amp;AG37</f>
        <v>Apartment A1 SpHeat Gas Boiler Condensing Improved (N)|</v>
      </c>
      <c r="AA39" s="57" t="str">
        <f>General!$B$2</f>
        <v>PJ</v>
      </c>
      <c r="AB39" s="57" t="str">
        <f>General!$B$5</f>
        <v>GW</v>
      </c>
      <c r="AC39" s="57" t="s">
        <v>723</v>
      </c>
      <c r="AD39" s="57"/>
      <c r="AE39" s="26"/>
      <c r="AF39" s="26"/>
      <c r="AG39" s="26"/>
      <c r="AJ39" s="40"/>
    </row>
    <row r="40" spans="1:36" s="10" customFormat="1" ht="12.75" customHeight="1" x14ac:dyDescent="0.25">
      <c r="A40" s="26"/>
      <c r="B40" s="26" t="str">
        <f>Y30</f>
        <v>RSD_DTA1_SH_DSL_N_AD02</v>
      </c>
      <c r="C40" s="26" t="str">
        <f>Z30</f>
        <v>Detached A1 SpHeat DieselOil Boiler Advanced (N)|</v>
      </c>
      <c r="D40" s="26" t="str">
        <f>Commodities!D159</f>
        <v>RSDOILDSL</v>
      </c>
      <c r="E40" s="26" t="str">
        <f>E17</f>
        <v>RSD_DTA1_SH</v>
      </c>
      <c r="F40" s="84">
        <v>2020</v>
      </c>
      <c r="G40" s="57">
        <f>F40</f>
        <v>2020</v>
      </c>
      <c r="H40" s="72">
        <f>H17</f>
        <v>0.94500000000000006</v>
      </c>
      <c r="I40" s="72"/>
      <c r="J40" s="72"/>
      <c r="K40" s="72"/>
      <c r="L40" s="72"/>
      <c r="M40" s="72"/>
      <c r="N40" s="72">
        <f>N17</f>
        <v>234</v>
      </c>
      <c r="O40" s="72">
        <f>O17</f>
        <v>4</v>
      </c>
      <c r="P40" s="72">
        <f>P17</f>
        <v>0</v>
      </c>
      <c r="Q40" s="72">
        <f>Q17</f>
        <v>20</v>
      </c>
      <c r="R40" s="72">
        <f>R17</f>
        <v>31.536000000000001</v>
      </c>
      <c r="S40" s="26"/>
      <c r="T40" s="126"/>
      <c r="U40" s="26"/>
      <c r="W40" s="26"/>
      <c r="X40" s="26"/>
      <c r="Y40" s="26" t="str">
        <f>Commodities!$AD$16&amp;"_"&amp;LEFT(RIGHT(Commodities!$D$166,6),3)&amp;"_"&amp;$Y$3&amp;"_AD02"</f>
        <v>RSD_APA1_SH_GAS_N_AD02</v>
      </c>
      <c r="Z40" s="26" t="str">
        <f>"Apartment A1 Combi Gas Boiler Condensing (N)|"&amp;AG38</f>
        <v>Apartment A1 Combi Gas Boiler Condensing (N)|</v>
      </c>
      <c r="AA40" s="57" t="str">
        <f>General!$B$2</f>
        <v>PJ</v>
      </c>
      <c r="AB40" s="57" t="str">
        <f>General!$B$5</f>
        <v>GW</v>
      </c>
      <c r="AC40" s="57" t="s">
        <v>723</v>
      </c>
      <c r="AD40" s="57"/>
      <c r="AE40" s="26"/>
      <c r="AF40" s="26"/>
      <c r="AG40" s="26"/>
      <c r="AJ40" s="40"/>
    </row>
    <row r="41" spans="1:36" s="10" customFormat="1" ht="12.75" customHeight="1" x14ac:dyDescent="0.25">
      <c r="A41" s="26"/>
      <c r="D41" s="26"/>
      <c r="E41" s="10" t="str">
        <f>E18</f>
        <v>RSD_DTA1_WH</v>
      </c>
      <c r="F41" s="84">
        <v>2020</v>
      </c>
      <c r="H41" s="72"/>
      <c r="I41" s="72">
        <f>I18</f>
        <v>0.94500000000000006</v>
      </c>
      <c r="J41" s="72"/>
      <c r="K41" s="72"/>
      <c r="L41" s="72"/>
      <c r="M41" s="72"/>
      <c r="N41" s="72"/>
      <c r="O41" s="72"/>
      <c r="P41" s="72"/>
      <c r="Q41" s="72"/>
      <c r="R41" s="72"/>
      <c r="S41" s="26"/>
      <c r="T41" s="126"/>
      <c r="U41" s="26"/>
      <c r="W41" s="26"/>
      <c r="X41" s="26"/>
      <c r="Y41" s="26" t="str">
        <f>Commodities!$AD$16&amp;"_"&amp;RIGHT(Commodities!$D$347,3)&amp;"_"&amp;$Y$3&amp;"_ST01"</f>
        <v>RSD_APA1_SH_LTH_N_ST01</v>
      </c>
      <c r="Z41" s="26" t="str">
        <f>"Apartment A1 SpHeat Dist. Heat Standard (N)|"&amp;AG39</f>
        <v>Apartment A1 SpHeat Dist. Heat Standard (N)|</v>
      </c>
      <c r="AA41" s="57" t="str">
        <f>General!$B$2</f>
        <v>PJ</v>
      </c>
      <c r="AB41" s="57" t="str">
        <f>General!$B$5</f>
        <v>GW</v>
      </c>
      <c r="AC41" s="57" t="s">
        <v>723</v>
      </c>
      <c r="AD41" s="57"/>
      <c r="AE41" s="26"/>
      <c r="AF41" s="26"/>
      <c r="AG41" s="26"/>
      <c r="AJ41" s="40"/>
    </row>
    <row r="42" spans="1:36" s="10" customFormat="1" ht="12.75" customHeight="1" x14ac:dyDescent="0.25">
      <c r="A42" s="26"/>
      <c r="B42" s="26" t="str">
        <f>Y31</f>
        <v>RSD_DTA1_SH_LPG_N_AD02</v>
      </c>
      <c r="C42" s="26" t="str">
        <f>Z31</f>
        <v>Detached A1 SpHeat LPG Boiler Advanced (N)|</v>
      </c>
      <c r="D42" s="26" t="str">
        <f>Commodities!D161</f>
        <v>RSDOILLPG</v>
      </c>
      <c r="E42" s="26" t="str">
        <f>E40</f>
        <v>RSD_DTA1_SH</v>
      </c>
      <c r="F42" s="84">
        <v>2020</v>
      </c>
      <c r="G42" s="57">
        <f>F42</f>
        <v>2020</v>
      </c>
      <c r="H42" s="72">
        <f>H40</f>
        <v>0.94500000000000006</v>
      </c>
      <c r="I42" s="72"/>
      <c r="J42" s="72"/>
      <c r="K42" s="72"/>
      <c r="L42" s="72"/>
      <c r="M42" s="72"/>
      <c r="N42" s="72">
        <f>N40</f>
        <v>234</v>
      </c>
      <c r="O42" s="72">
        <f>O40</f>
        <v>4</v>
      </c>
      <c r="P42" s="72">
        <f>P40</f>
        <v>0</v>
      </c>
      <c r="Q42" s="72">
        <f>Q40</f>
        <v>20</v>
      </c>
      <c r="R42" s="72">
        <f>R40</f>
        <v>31.536000000000001</v>
      </c>
      <c r="S42" s="26"/>
      <c r="T42" s="126"/>
      <c r="U42" s="26"/>
      <c r="W42" s="26"/>
      <c r="X42" s="26"/>
      <c r="Y42" s="26" t="str">
        <f>Commodities!$AD$16&amp;"_"&amp;RIGHT(Commodities!$D$347,3)&amp;"_"&amp;$Y$3&amp;"_IM01"</f>
        <v>RSD_APA1_SH_LTH_N_IM01</v>
      </c>
      <c r="Z42" s="26" t="str">
        <f>"Apartment A1 SpHeat Dist. Heat Improved (N)|"&amp;AG40</f>
        <v>Apartment A1 SpHeat Dist. Heat Improved (N)|</v>
      </c>
      <c r="AA42" s="57" t="str">
        <f>General!$B$2</f>
        <v>PJ</v>
      </c>
      <c r="AB42" s="57" t="str">
        <f>General!$B$5</f>
        <v>GW</v>
      </c>
      <c r="AC42" s="57" t="s">
        <v>723</v>
      </c>
      <c r="AD42" s="57"/>
      <c r="AE42" s="26"/>
      <c r="AF42" s="26"/>
      <c r="AG42" s="26"/>
      <c r="AJ42" s="40"/>
    </row>
    <row r="43" spans="1:36" s="10" customFormat="1" ht="12.75" customHeight="1" x14ac:dyDescent="0.25">
      <c r="A43" s="26"/>
      <c r="D43" s="26"/>
      <c r="E43" s="26" t="str">
        <f>E41</f>
        <v>RSD_DTA1_WH</v>
      </c>
      <c r="F43" s="84">
        <v>2020</v>
      </c>
      <c r="H43" s="72"/>
      <c r="I43" s="72">
        <f>I41</f>
        <v>0.94500000000000006</v>
      </c>
      <c r="J43" s="72"/>
      <c r="K43" s="72"/>
      <c r="L43" s="72"/>
      <c r="M43" s="72"/>
      <c r="N43" s="72"/>
      <c r="O43" s="72"/>
      <c r="P43" s="72"/>
      <c r="Q43" s="72"/>
      <c r="R43" s="72"/>
      <c r="S43" s="26"/>
      <c r="T43" s="126"/>
      <c r="U43" s="26"/>
      <c r="W43" s="26"/>
      <c r="X43" s="26"/>
      <c r="Y43" s="26" t="str">
        <f>Commodities!$AD$16&amp;"_"&amp;RIGHT(Commodities!$D$347,3)&amp;"_"&amp;$Y$3&amp;"_AD01"</f>
        <v>RSD_APA1_SH_LTH_N_AD01</v>
      </c>
      <c r="Z43" s="26" t="str">
        <f>"Apartment A1 SpHeat Dist. Heat Advanced (N)|"&amp;AG46</f>
        <v>Apartment A1 SpHeat Dist. Heat Advanced (N)|</v>
      </c>
      <c r="AA43" s="57" t="str">
        <f>General!$B$2</f>
        <v>PJ</v>
      </c>
      <c r="AB43" s="57" t="str">
        <f>General!$B$5</f>
        <v>GW</v>
      </c>
      <c r="AC43" s="57" t="s">
        <v>723</v>
      </c>
      <c r="AD43" s="57"/>
      <c r="AE43" s="26"/>
      <c r="AF43" s="26"/>
      <c r="AG43" s="26"/>
      <c r="AJ43" s="40"/>
    </row>
    <row r="44" spans="1:36" s="10" customFormat="1" ht="12.75" customHeight="1" x14ac:dyDescent="0.25">
      <c r="A44" s="26"/>
      <c r="B44" s="28"/>
      <c r="F44" s="29"/>
      <c r="G44" s="29"/>
      <c r="H44" s="26"/>
      <c r="K44" s="74"/>
      <c r="L44" s="74"/>
      <c r="M44" s="74"/>
      <c r="N44" s="133"/>
      <c r="O44" s="74"/>
      <c r="P44" s="74"/>
      <c r="Q44" s="75"/>
      <c r="S44" s="26"/>
      <c r="T44" s="126"/>
      <c r="U44" s="26"/>
      <c r="W44" s="26"/>
      <c r="X44" s="26"/>
      <c r="Y44" s="26" t="str">
        <f>Commodities!$AD$16&amp;"_"&amp;RIGHT(Commodities!$D$340,3)&amp;"_"&amp;$Y$3&amp;"_ST01"</f>
        <v>RSD_APA1_SH_ELC_N_ST01</v>
      </c>
      <c r="Z44" s="26" t="str">
        <f>"Apartment A1 SpHeat Electric Heater Standard (N)|"&amp;AG47</f>
        <v>Apartment A1 SpHeat Electric Heater Standard (N)|</v>
      </c>
      <c r="AA44" s="57" t="str">
        <f>General!$B$2</f>
        <v>PJ</v>
      </c>
      <c r="AB44" s="57" t="str">
        <f>General!$B$5</f>
        <v>GW</v>
      </c>
      <c r="AC44" s="57" t="s">
        <v>723</v>
      </c>
      <c r="AD44" s="57"/>
      <c r="AE44" s="26"/>
      <c r="AF44" s="26"/>
      <c r="AG44" s="26"/>
      <c r="AJ44" s="40"/>
    </row>
    <row r="45" spans="1:36" s="10" customFormat="1" ht="12.75" customHeight="1" x14ac:dyDescent="0.25">
      <c r="A45" s="26"/>
      <c r="F45" s="31" t="s">
        <v>0</v>
      </c>
      <c r="G45" s="31"/>
      <c r="H45" s="74"/>
      <c r="I45" s="74"/>
      <c r="J45" s="74"/>
      <c r="N45" s="133" t="str">
        <f>IFERROR(VLOOKUP(IF(LEN($B45)=18,RIGHT($B45,8),RIGHT($B45,10)),#REF!,RSD_SpHeat!N$4,FALSE),"")</f>
        <v/>
      </c>
      <c r="S45" s="26"/>
      <c r="T45" s="126"/>
      <c r="U45" s="26"/>
      <c r="W45" s="26"/>
      <c r="X45" s="26"/>
      <c r="Y45" s="26" t="str">
        <f>Commodities!$AD$16&amp;"_"&amp;RIGHT(Commodities!$D$340,3)&amp;"_"&amp;$Y$3&amp;"_ST02"</f>
        <v>RSD_APA1_SH_ELC_N_ST02</v>
      </c>
      <c r="Z45" s="26" t="str">
        <f>"Apartment A1 SpHeat ASHP Standard (N)|"&amp;AG48</f>
        <v>Apartment A1 SpHeat ASHP Standard (N)|</v>
      </c>
      <c r="AA45" s="57" t="str">
        <f>General!$B$2</f>
        <v>PJ</v>
      </c>
      <c r="AB45" s="57" t="str">
        <f>General!$B$5</f>
        <v>GW</v>
      </c>
      <c r="AC45" s="57" t="s">
        <v>723</v>
      </c>
      <c r="AD45" s="57"/>
      <c r="AE45" s="26"/>
      <c r="AF45" s="26"/>
      <c r="AG45" s="26"/>
      <c r="AJ45" s="40"/>
    </row>
    <row r="46" spans="1:36" s="10" customFormat="1" ht="12.75" customHeight="1" x14ac:dyDescent="0.25">
      <c r="A46" s="26"/>
      <c r="B46" s="33" t="s">
        <v>1</v>
      </c>
      <c r="C46" s="33" t="s">
        <v>794</v>
      </c>
      <c r="D46" s="33" t="s">
        <v>3</v>
      </c>
      <c r="E46" s="33" t="s">
        <v>4</v>
      </c>
      <c r="F46" s="34" t="s">
        <v>803</v>
      </c>
      <c r="G46" s="35" t="s">
        <v>14</v>
      </c>
      <c r="H46" s="36" t="s">
        <v>16</v>
      </c>
      <c r="I46" s="36" t="str">
        <f>"CEFF~"&amp;E56</f>
        <v>CEFF~RSD_APA1_WH</v>
      </c>
      <c r="J46" s="36" t="str">
        <f>"CEFF~"&amp;E66</f>
        <v>CEFF~RSD_APA1_SC</v>
      </c>
      <c r="K46" s="36" t="s">
        <v>789</v>
      </c>
      <c r="L46" s="36" t="str">
        <f>"SHARE~"&amp;Commodities!$D$182</f>
        <v>SHARE~RSDRESGEO</v>
      </c>
      <c r="M46" s="36" t="str">
        <f>"SHARE~UP~"&amp;E56</f>
        <v>SHARE~UP~RSD_APA1_WH</v>
      </c>
      <c r="N46" s="108" t="s">
        <v>36</v>
      </c>
      <c r="O46" s="36" t="s">
        <v>5</v>
      </c>
      <c r="P46" s="36" t="s">
        <v>34</v>
      </c>
      <c r="Q46" s="36" t="s">
        <v>780</v>
      </c>
      <c r="R46" s="36" t="s">
        <v>773</v>
      </c>
      <c r="S46" s="26"/>
      <c r="T46" s="126"/>
      <c r="U46" s="26"/>
      <c r="W46" s="26"/>
      <c r="X46" s="26"/>
      <c r="Y46" s="26" t="str">
        <f>Commodities!$AD$16&amp;"_"&amp;RIGHT(Commodities!$D$340,3)&amp;"_"&amp;$Y$3&amp;"_ST03"</f>
        <v>RSD_APA1_SH_ELC_N_ST03</v>
      </c>
      <c r="Z46" s="26" t="str">
        <f>"Apartment A1 SpHeat &amp; SpCooling ASHP Standard (N)|"&amp;AG49</f>
        <v>Apartment A1 SpHeat &amp; SpCooling ASHP Standard (N)|</v>
      </c>
      <c r="AA46" s="57" t="str">
        <f>General!$B$2</f>
        <v>PJ</v>
      </c>
      <c r="AB46" s="57" t="str">
        <f>General!$B$5</f>
        <v>GW</v>
      </c>
      <c r="AC46" s="57" t="s">
        <v>723</v>
      </c>
      <c r="AD46" s="57"/>
      <c r="AE46" s="26"/>
      <c r="AF46" s="26"/>
      <c r="AG46" s="26"/>
      <c r="AJ46" s="40"/>
    </row>
    <row r="47" spans="1:36" s="10" customFormat="1" ht="12.75" customHeight="1" thickBot="1" x14ac:dyDescent="0.3">
      <c r="A47" s="26"/>
      <c r="B47" s="41" t="s">
        <v>795</v>
      </c>
      <c r="C47" s="41" t="s">
        <v>28</v>
      </c>
      <c r="D47" s="41" t="s">
        <v>32</v>
      </c>
      <c r="E47" s="41" t="s">
        <v>33</v>
      </c>
      <c r="F47" s="42"/>
      <c r="G47" s="43" t="s">
        <v>35</v>
      </c>
      <c r="H47" s="41" t="s">
        <v>813</v>
      </c>
      <c r="I47" s="41" t="s">
        <v>812</v>
      </c>
      <c r="J47" s="41" t="s">
        <v>811</v>
      </c>
      <c r="K47" s="41" t="s">
        <v>805</v>
      </c>
      <c r="L47" s="41" t="s">
        <v>814</v>
      </c>
      <c r="M47" s="41" t="s">
        <v>810</v>
      </c>
      <c r="N47" s="43" t="s">
        <v>806</v>
      </c>
      <c r="O47" s="41" t="s">
        <v>37</v>
      </c>
      <c r="P47" s="41" t="s">
        <v>38</v>
      </c>
      <c r="Q47" s="41" t="s">
        <v>781</v>
      </c>
      <c r="R47" s="41" t="s">
        <v>807</v>
      </c>
      <c r="S47" s="26"/>
      <c r="T47" s="26"/>
      <c r="U47" s="26"/>
      <c r="W47" s="26"/>
      <c r="X47" s="26"/>
      <c r="Y47" s="26" t="str">
        <f>Commodities!$AD$16&amp;"_"&amp;RIGHT(Commodities!$D$340,3)&amp;"_"&amp;$Y$3&amp;"_IM01"</f>
        <v>RSD_APA1_SH_ELC_N_IM01</v>
      </c>
      <c r="Z47" s="26" t="str">
        <f>"Apartment A1 SpHeat ASHP Improved (N)|"&amp;AG50</f>
        <v>Apartment A1 SpHeat ASHP Improved (N)|</v>
      </c>
      <c r="AA47" s="57" t="str">
        <f>General!$B$2</f>
        <v>PJ</v>
      </c>
      <c r="AB47" s="57" t="str">
        <f>General!$B$5</f>
        <v>GW</v>
      </c>
      <c r="AC47" s="57" t="s">
        <v>723</v>
      </c>
      <c r="AD47" s="57"/>
      <c r="AE47" s="26"/>
      <c r="AF47" s="26"/>
      <c r="AG47" s="26"/>
      <c r="AJ47" s="40"/>
    </row>
    <row r="48" spans="1:36" s="10" customFormat="1" ht="12.75" customHeight="1" x14ac:dyDescent="0.25">
      <c r="A48" s="26"/>
      <c r="B48" s="47"/>
      <c r="C48" s="48"/>
      <c r="D48" s="48"/>
      <c r="E48" s="48" t="s">
        <v>799</v>
      </c>
      <c r="F48" s="49"/>
      <c r="G48" s="81"/>
      <c r="H48" s="48" t="s">
        <v>808</v>
      </c>
      <c r="I48" s="48" t="s">
        <v>808</v>
      </c>
      <c r="J48" s="48" t="s">
        <v>808</v>
      </c>
      <c r="K48" s="48" t="s">
        <v>808</v>
      </c>
      <c r="L48" s="48" t="s">
        <v>808</v>
      </c>
      <c r="M48" s="48" t="s">
        <v>808</v>
      </c>
      <c r="N48" s="48" t="str">
        <f>General!$D$14</f>
        <v>$/kW</v>
      </c>
      <c r="O48" s="48" t="str">
        <f>General!$D$14</f>
        <v>$/kW</v>
      </c>
      <c r="P48" s="48" t="str">
        <f>General!$D$15</f>
        <v>$/GJ</v>
      </c>
      <c r="Q48" s="48" t="str">
        <f>General!$D$21</f>
        <v>Years</v>
      </c>
      <c r="R48" s="48" t="str">
        <f>General!$E$16</f>
        <v>PJ/GW</v>
      </c>
      <c r="S48" s="26"/>
      <c r="T48" s="26"/>
      <c r="U48" s="26"/>
      <c r="W48" s="26"/>
      <c r="X48" s="26"/>
      <c r="Y48" s="26" t="str">
        <f>Commodities!$AD$16&amp;"_"&amp;RIGHT(Commodities!$D$340,3)&amp;"_"&amp;$Y$3&amp;"_IM02"</f>
        <v>RSD_APA1_SH_ELC_N_IM02</v>
      </c>
      <c r="Z48" s="26" t="str">
        <f>"Apartment A1 SpHeat &amp; SpCooling  ASHP Improved (N)|"&amp;AG51</f>
        <v>Apartment A1 SpHeat &amp; SpCooling  ASHP Improved (N)|</v>
      </c>
      <c r="AA48" s="57" t="str">
        <f>General!$B$2</f>
        <v>PJ</v>
      </c>
      <c r="AB48" s="57" t="str">
        <f>General!$B$5</f>
        <v>GW</v>
      </c>
      <c r="AC48" s="57" t="s">
        <v>723</v>
      </c>
      <c r="AD48" s="57"/>
      <c r="AE48" s="26"/>
      <c r="AF48" s="26"/>
      <c r="AG48" s="26"/>
      <c r="AJ48" s="40"/>
    </row>
    <row r="49" spans="1:36" s="10" customFormat="1" ht="12.75" customHeight="1" x14ac:dyDescent="0.25">
      <c r="A49" s="26"/>
      <c r="B49" s="26" t="str">
        <f t="shared" ref="B49:C55" si="15">Y32</f>
        <v>RSD_APA1_SH_BIC_N_ST</v>
      </c>
      <c r="C49" s="26" t="str">
        <f t="shared" si="15"/>
        <v>Apartment A1 SpHeat Coal Boiler Standard (N)|</v>
      </c>
      <c r="D49" s="26" t="str">
        <f>Commodities!$D$153</f>
        <v>RSDCOABIC</v>
      </c>
      <c r="E49" s="26" t="str">
        <f>Commodities!$AD$16</f>
        <v>RSD_APA1_SH</v>
      </c>
      <c r="F49" s="84">
        <f t="shared" ref="F49:F55" si="16">G49</f>
        <v>2018</v>
      </c>
      <c r="G49" s="57">
        <f>BASE_YEAR+1</f>
        <v>2018</v>
      </c>
      <c r="H49" s="72">
        <v>0.65</v>
      </c>
      <c r="I49" s="72"/>
      <c r="J49" s="72"/>
      <c r="K49" s="72"/>
      <c r="L49" s="72"/>
      <c r="M49" s="72"/>
      <c r="N49" s="72">
        <v>250</v>
      </c>
      <c r="O49" s="72">
        <f>N49*2%</f>
        <v>5</v>
      </c>
      <c r="P49" s="72">
        <v>0</v>
      </c>
      <c r="Q49" s="72">
        <v>15</v>
      </c>
      <c r="R49" s="72">
        <v>31.536000000000001</v>
      </c>
      <c r="S49" s="26"/>
      <c r="T49" s="26"/>
      <c r="U49" s="26"/>
      <c r="W49" s="26"/>
      <c r="X49" s="26"/>
      <c r="Y49" s="26" t="str">
        <f>Commodities!$AD$16&amp;"_"&amp;RIGHT(Commodities!$D$340,3)&amp;"_"&amp;$Y$3&amp;"_AD01"</f>
        <v>RSD_APA1_SH_ELC_N_AD01</v>
      </c>
      <c r="Z49" s="26" t="str">
        <f>"Apartment A1 SpHeat ASHP Advanced (N)|"&amp;AG52</f>
        <v>Apartment A1 SpHeat ASHP Advanced (N)|</v>
      </c>
      <c r="AA49" s="57" t="str">
        <f>General!$B$2</f>
        <v>PJ</v>
      </c>
      <c r="AB49" s="57" t="str">
        <f>General!$B$5</f>
        <v>GW</v>
      </c>
      <c r="AC49" s="57" t="s">
        <v>723</v>
      </c>
      <c r="AD49" s="57"/>
      <c r="AE49" s="26"/>
      <c r="AF49" s="26"/>
      <c r="AG49" s="26"/>
      <c r="AJ49" s="40"/>
    </row>
    <row r="50" spans="1:36" s="10" customFormat="1" ht="12.75" customHeight="1" x14ac:dyDescent="0.25">
      <c r="A50" s="26"/>
      <c r="B50" s="26" t="str">
        <f t="shared" si="15"/>
        <v>RSD_APA1_SH_LOG_N_ST01</v>
      </c>
      <c r="C50" s="26" t="str">
        <f t="shared" si="15"/>
        <v>Apartment A1 SpHeat Wood Stove Standard (N)|</v>
      </c>
      <c r="D50" s="26" t="str">
        <f>Commodities!$D$167</f>
        <v>RSDBIOLOG</v>
      </c>
      <c r="E50" s="26" t="str">
        <f>E49</f>
        <v>RSD_APA1_SH</v>
      </c>
      <c r="F50" s="84">
        <f t="shared" si="16"/>
        <v>2018</v>
      </c>
      <c r="G50" s="57">
        <f>BASE_YEAR+1</f>
        <v>2018</v>
      </c>
      <c r="H50" s="72">
        <v>0.5</v>
      </c>
      <c r="I50" s="72"/>
      <c r="J50" s="72"/>
      <c r="K50" s="72"/>
      <c r="L50" s="72"/>
      <c r="M50" s="72"/>
      <c r="N50" s="72">
        <v>30</v>
      </c>
      <c r="O50" s="72">
        <f>N50*2%</f>
        <v>0.6</v>
      </c>
      <c r="P50" s="72">
        <v>0</v>
      </c>
      <c r="Q50" s="72">
        <v>15</v>
      </c>
      <c r="R50" s="72">
        <v>31.536000000000001</v>
      </c>
      <c r="S50" s="26"/>
      <c r="T50" s="26"/>
      <c r="U50" s="26"/>
      <c r="W50" s="26"/>
      <c r="X50" s="26"/>
      <c r="Y50" s="26" t="str">
        <f>Commodities!$AD$16&amp;"_"&amp;RIGHT(Commodities!$D$340,3)&amp;"_"&amp;$Y$3&amp;"_AD02"</f>
        <v>RSD_APA1_SH_ELC_N_AD02</v>
      </c>
      <c r="Z50" s="26" t="str">
        <f>"Apartment A1 SpHeat &amp; SpCooling ASHP Advanced (N)|"&amp;AG53</f>
        <v>Apartment A1 SpHeat &amp; SpCooling ASHP Advanced (N)|</v>
      </c>
      <c r="AA50" s="57" t="str">
        <f>General!$B$2</f>
        <v>PJ</v>
      </c>
      <c r="AB50" s="57" t="str">
        <f>General!$B$5</f>
        <v>GW</v>
      </c>
      <c r="AC50" s="57" t="s">
        <v>723</v>
      </c>
      <c r="AD50" s="57"/>
      <c r="AE50" s="26"/>
      <c r="AF50" s="26"/>
      <c r="AG50" s="26"/>
      <c r="AJ50" s="40"/>
    </row>
    <row r="51" spans="1:36" s="10" customFormat="1" ht="12.75" customHeight="1" x14ac:dyDescent="0.25">
      <c r="A51" s="26"/>
      <c r="B51" s="26" t="str">
        <f t="shared" si="15"/>
        <v>RSD_APA1_SH_LOG_N_ST02</v>
      </c>
      <c r="C51" s="26" t="str">
        <f t="shared" si="15"/>
        <v>Apartment A1 SpHeat Wood Boiler Standard (N)|</v>
      </c>
      <c r="D51" s="26" t="str">
        <f>Commodities!$D$167</f>
        <v>RSDBIOLOG</v>
      </c>
      <c r="E51" s="26" t="str">
        <f>E50</f>
        <v>RSD_APA1_SH</v>
      </c>
      <c r="F51" s="84">
        <f t="shared" si="16"/>
        <v>2018</v>
      </c>
      <c r="G51" s="57">
        <f>BASE_YEAR+1</f>
        <v>2018</v>
      </c>
      <c r="H51" s="72">
        <v>0.65</v>
      </c>
      <c r="I51" s="72"/>
      <c r="J51" s="72"/>
      <c r="K51" s="72"/>
      <c r="L51" s="72"/>
      <c r="M51" s="72"/>
      <c r="N51" s="72">
        <v>285</v>
      </c>
      <c r="O51" s="72">
        <f t="shared" ref="O51:O53" si="17">N51*2%</f>
        <v>5.7</v>
      </c>
      <c r="P51" s="72">
        <v>0</v>
      </c>
      <c r="Q51" s="72">
        <v>20</v>
      </c>
      <c r="R51" s="72">
        <v>31.536000000000001</v>
      </c>
      <c r="S51" s="26"/>
      <c r="T51" s="123"/>
      <c r="U51" s="123"/>
      <c r="W51" s="26"/>
      <c r="X51" s="26"/>
      <c r="Y51" s="26" t="str">
        <f>Commodities!$AD$16&amp;"_"&amp;RIGHT(Commodities!$D$182,3)&amp;"_"&amp;$Y$3&amp;"_ST01"</f>
        <v>RSD_APA1_SH_GEO_N_ST01</v>
      </c>
      <c r="Z51" s="26" t="str">
        <f>"Apartment A1 SpHeat GSHP Standard (N)|"&amp;AG54</f>
        <v>Apartment A1 SpHeat GSHP Standard (N)|</v>
      </c>
      <c r="AA51" s="57" t="str">
        <f>General!$B$2</f>
        <v>PJ</v>
      </c>
      <c r="AB51" s="57" t="str">
        <f>General!$B$5</f>
        <v>GW</v>
      </c>
      <c r="AC51" s="57" t="s">
        <v>723</v>
      </c>
      <c r="AD51" s="57"/>
      <c r="AE51" s="26"/>
      <c r="AF51" s="26"/>
      <c r="AG51" s="26"/>
      <c r="AJ51" s="40"/>
    </row>
    <row r="52" spans="1:36" s="10" customFormat="1" ht="12.75" customHeight="1" x14ac:dyDescent="0.25">
      <c r="A52" s="26"/>
      <c r="B52" s="26" t="str">
        <f t="shared" si="15"/>
        <v>RSD_APA1_SH_PLT_N_ST01</v>
      </c>
      <c r="C52" s="26" t="str">
        <f t="shared" si="15"/>
        <v>Apartment A1 SpHeat Pellet Boiler Standard (N)|</v>
      </c>
      <c r="D52" s="26" t="str">
        <f>Commodities!$D$177</f>
        <v>RSDBIOPLT</v>
      </c>
      <c r="E52" s="26" t="str">
        <f>E51</f>
        <v>RSD_APA1_SH</v>
      </c>
      <c r="F52" s="84">
        <f t="shared" si="16"/>
        <v>2018</v>
      </c>
      <c r="G52" s="57">
        <f>BASE_YEAR+1</f>
        <v>2018</v>
      </c>
      <c r="H52" s="72">
        <v>0.65</v>
      </c>
      <c r="I52" s="72"/>
      <c r="J52" s="72"/>
      <c r="K52" s="72"/>
      <c r="L52" s="72"/>
      <c r="M52" s="72"/>
      <c r="N52" s="72">
        <v>210</v>
      </c>
      <c r="O52" s="72">
        <f t="shared" si="17"/>
        <v>4.2</v>
      </c>
      <c r="P52" s="72">
        <v>0</v>
      </c>
      <c r="Q52" s="72">
        <v>15</v>
      </c>
      <c r="R52" s="72">
        <v>31.536000000000001</v>
      </c>
      <c r="S52" s="26"/>
      <c r="T52" s="26"/>
      <c r="U52" s="26"/>
      <c r="W52" s="26"/>
      <c r="X52" s="26"/>
      <c r="Y52" s="26" t="str">
        <f>Commodities!$AD$16&amp;"_"&amp;RIGHT(Commodities!$D$182,3)&amp;"_"&amp;$Y$3&amp;"_ST02"</f>
        <v>RSD_APA1_SH_GEO_N_ST02</v>
      </c>
      <c r="Z52" s="26" t="str">
        <f>"Apartment A1 SpHeat &amp; SpCooling GSHP Standard (N)|"&amp;AG55</f>
        <v>Apartment A1 SpHeat &amp; SpCooling GSHP Standard (N)|</v>
      </c>
      <c r="AA52" s="57" t="str">
        <f>General!$B$2</f>
        <v>PJ</v>
      </c>
      <c r="AB52" s="57" t="str">
        <f>General!$B$5</f>
        <v>GW</v>
      </c>
      <c r="AC52" s="57" t="s">
        <v>723</v>
      </c>
      <c r="AD52" s="57"/>
      <c r="AE52" s="26"/>
      <c r="AF52" s="26"/>
      <c r="AG52" s="26"/>
      <c r="AJ52" s="40"/>
    </row>
    <row r="53" spans="1:36" s="10" customFormat="1" ht="12.75" customHeight="1" x14ac:dyDescent="0.25">
      <c r="A53" s="26"/>
      <c r="B53" s="26" t="str">
        <f t="shared" si="15"/>
        <v>RSD_APA1_SH_PLT_N_IM01</v>
      </c>
      <c r="C53" s="26" t="str">
        <f t="shared" si="15"/>
        <v>Apartment A1 SpHeat Pellet Boiler Improved (N)|</v>
      </c>
      <c r="D53" s="26" t="str">
        <f>Commodities!$D$177</f>
        <v>RSDBIOPLT</v>
      </c>
      <c r="E53" s="26" t="str">
        <f>E52</f>
        <v>RSD_APA1_SH</v>
      </c>
      <c r="F53" s="84">
        <f t="shared" si="16"/>
        <v>2020</v>
      </c>
      <c r="G53" s="57">
        <f>BASE_YEAR+3</f>
        <v>2020</v>
      </c>
      <c r="H53" s="72">
        <v>0.7</v>
      </c>
      <c r="I53" s="72"/>
      <c r="J53" s="72"/>
      <c r="K53" s="72"/>
      <c r="L53" s="72"/>
      <c r="M53" s="72"/>
      <c r="N53" s="72">
        <v>230</v>
      </c>
      <c r="O53" s="72">
        <f t="shared" si="17"/>
        <v>4.6000000000000005</v>
      </c>
      <c r="P53" s="72">
        <v>0</v>
      </c>
      <c r="Q53" s="72">
        <v>15</v>
      </c>
      <c r="R53" s="72">
        <v>31.536000000000001</v>
      </c>
      <c r="S53" s="26"/>
      <c r="T53" s="26"/>
      <c r="U53" s="26"/>
      <c r="W53" s="26"/>
      <c r="X53" s="26"/>
      <c r="Y53" s="26" t="str">
        <f>Commodities!$AD$16&amp;"_"&amp;RIGHT(Commodities!$D$182,3)&amp;"_"&amp;$Y$3&amp;"_IM01"</f>
        <v>RSD_APA1_SH_GEO_N_IM01</v>
      </c>
      <c r="Z53" s="26" t="str">
        <f>"Apartment A1 SpHeat GSHP Improved(N)|"&amp;AG56</f>
        <v>Apartment A1 SpHeat GSHP Improved(N)|</v>
      </c>
      <c r="AA53" s="57" t="str">
        <f>General!$B$2</f>
        <v>PJ</v>
      </c>
      <c r="AB53" s="57" t="str">
        <f>General!$B$5</f>
        <v>GW</v>
      </c>
      <c r="AC53" s="57" t="s">
        <v>723</v>
      </c>
      <c r="AD53" s="57"/>
      <c r="AE53" s="26"/>
      <c r="AF53" s="26"/>
      <c r="AG53" s="26"/>
      <c r="AJ53" s="40"/>
    </row>
    <row r="54" spans="1:36" s="10" customFormat="1" ht="12.75" customHeight="1" x14ac:dyDescent="0.25">
      <c r="A54" s="26"/>
      <c r="B54" s="26" t="str">
        <f t="shared" si="15"/>
        <v>RSD_APA1_SH_GAS_N_ST01</v>
      </c>
      <c r="C54" s="26" t="str">
        <f t="shared" si="15"/>
        <v>Apartment A1 SpHeat Gas Boiler Condensing (N)|</v>
      </c>
      <c r="D54" s="26" t="str">
        <f>Commodities!$D$166</f>
        <v>RSDGASNAT</v>
      </c>
      <c r="E54" s="26" t="str">
        <f t="shared" ref="E54:E55" si="18">E53</f>
        <v>RSD_APA1_SH</v>
      </c>
      <c r="F54" s="84">
        <f t="shared" si="16"/>
        <v>2018</v>
      </c>
      <c r="G54" s="57">
        <f>BASE_YEAR+1</f>
        <v>2018</v>
      </c>
      <c r="H54" s="72">
        <v>0.85</v>
      </c>
      <c r="I54" s="72"/>
      <c r="J54" s="72"/>
      <c r="K54" s="72"/>
      <c r="L54" s="72"/>
      <c r="M54" s="72"/>
      <c r="N54" s="72">
        <f>ROUNDUP(114.94542626643*1.5,0)</f>
        <v>173</v>
      </c>
      <c r="O54" s="72">
        <f>ROUNDDOWN(4.49036663406935,0)</f>
        <v>4</v>
      </c>
      <c r="P54" s="72">
        <v>0</v>
      </c>
      <c r="Q54" s="72">
        <v>20</v>
      </c>
      <c r="R54" s="72">
        <v>31.536000000000001</v>
      </c>
      <c r="S54" s="26"/>
      <c r="T54" s="26"/>
      <c r="U54" s="26"/>
      <c r="W54" s="26"/>
      <c r="X54" s="26"/>
      <c r="Y54" s="26" t="str">
        <f>Commodities!$AD$16&amp;"_"&amp;RIGHT(Commodities!$D$182,3)&amp;"_"&amp;$Y$3&amp;"_IM02"</f>
        <v>RSD_APA1_SH_GEO_N_IM02</v>
      </c>
      <c r="Z54" s="26" t="str">
        <f>"Apartment A1 SpHeat &amp; SpCooling GSHP Improved (N)|"</f>
        <v>Apartment A1 SpHeat &amp; SpCooling GSHP Improved (N)|</v>
      </c>
      <c r="AA54" s="57" t="str">
        <f>General!$B$2</f>
        <v>PJ</v>
      </c>
      <c r="AB54" s="57" t="str">
        <f>General!$B$5</f>
        <v>GW</v>
      </c>
      <c r="AC54" s="57" t="s">
        <v>723</v>
      </c>
      <c r="AD54" s="57"/>
      <c r="AE54" s="26"/>
      <c r="AF54" s="26"/>
      <c r="AG54" s="26"/>
      <c r="AJ54" s="40"/>
    </row>
    <row r="55" spans="1:36" s="10" customFormat="1" ht="12.75" customHeight="1" x14ac:dyDescent="0.25">
      <c r="A55" s="26"/>
      <c r="B55" s="26" t="str">
        <f t="shared" si="15"/>
        <v>RSD_APA1_SH_GAS_N_ST02</v>
      </c>
      <c r="C55" s="26" t="str">
        <f t="shared" si="15"/>
        <v>Apartment A1 Combi Gas Boiler Condensing (N)|</v>
      </c>
      <c r="D55" s="26" t="str">
        <f>Commodities!$D$166</f>
        <v>RSDGASNAT</v>
      </c>
      <c r="E55" s="26" t="str">
        <f t="shared" si="18"/>
        <v>RSD_APA1_SH</v>
      </c>
      <c r="F55" s="84">
        <f t="shared" si="16"/>
        <v>2018</v>
      </c>
      <c r="G55" s="57">
        <f>BASE_YEAR+1</f>
        <v>2018</v>
      </c>
      <c r="H55" s="72">
        <v>0.85</v>
      </c>
      <c r="I55" s="72"/>
      <c r="J55" s="72"/>
      <c r="K55" s="72"/>
      <c r="L55" s="72"/>
      <c r="M55" s="72"/>
      <c r="N55" s="72">
        <f>ROUNDUP(114.94542626643*1.5,0)</f>
        <v>173</v>
      </c>
      <c r="O55" s="72">
        <f>ROUNDDOWN(4.49036663406935,0)</f>
        <v>4</v>
      </c>
      <c r="P55" s="72">
        <v>0</v>
      </c>
      <c r="Q55" s="72">
        <v>20</v>
      </c>
      <c r="R55" s="72">
        <v>31.536000000000001</v>
      </c>
      <c r="S55" s="26"/>
      <c r="T55" s="26"/>
      <c r="U55" s="26"/>
      <c r="W55" s="26"/>
      <c r="X55" s="26"/>
      <c r="Y55" s="26" t="str">
        <f>Commodities!$AD$16&amp;"_"&amp;LEFT(RIGHT(Commodities!$D$159,3),3)&amp;"_"&amp;$Y$3&amp;"_AD02"</f>
        <v>RSD_APA1_SH_DSL_N_AD02</v>
      </c>
      <c r="Z55" s="26" t="str">
        <f>"Apartment A1 SpHeat DieselOil Advanced (N)|"&amp;AG53</f>
        <v>Apartment A1 SpHeat DieselOil Advanced (N)|</v>
      </c>
      <c r="AA55" s="57" t="str">
        <f>General!$B$2</f>
        <v>PJ</v>
      </c>
      <c r="AB55" s="57" t="str">
        <f>General!$B$5</f>
        <v>GW</v>
      </c>
      <c r="AC55" s="57" t="s">
        <v>723</v>
      </c>
      <c r="AD55" s="26"/>
      <c r="AE55" s="26"/>
      <c r="AF55" s="26"/>
      <c r="AG55" s="26"/>
      <c r="AJ55" s="40"/>
    </row>
    <row r="56" spans="1:36" s="10" customFormat="1" ht="12.75" customHeight="1" x14ac:dyDescent="0.25">
      <c r="A56" s="26"/>
      <c r="E56" s="26" t="str">
        <f>Commodities!$AD$24</f>
        <v>RSD_APA1_WH</v>
      </c>
      <c r="F56" s="84">
        <f>F55</f>
        <v>2018</v>
      </c>
      <c r="H56" s="72" t="s">
        <v>848</v>
      </c>
      <c r="I56" s="72">
        <v>0.9</v>
      </c>
      <c r="J56" s="72" t="s">
        <v>848</v>
      </c>
      <c r="K56" s="72"/>
      <c r="L56" s="72"/>
      <c r="M56" s="72">
        <v>0.2</v>
      </c>
      <c r="N56" s="72" t="s">
        <v>848</v>
      </c>
      <c r="O56" s="72" t="s">
        <v>848</v>
      </c>
      <c r="P56" s="72" t="s">
        <v>848</v>
      </c>
      <c r="Q56" s="72" t="s">
        <v>848</v>
      </c>
      <c r="R56" s="72"/>
      <c r="S56" s="26"/>
      <c r="T56" s="26"/>
      <c r="U56" s="26"/>
      <c r="W56" s="26"/>
      <c r="X56" s="26"/>
      <c r="Y56" s="26" t="str">
        <f>Commodities!$AD$16&amp;"_"&amp;LEFT(RIGHT(Commodities!$D$161,3),3)&amp;"_"&amp;$Y$3&amp;"_AD02"</f>
        <v>RSD_APA1_SH_LPG_N_AD02</v>
      </c>
      <c r="Z56" s="26" t="str">
        <f>"Apartment A1 SpHeat LPG Boiler Advanced (N)|"&amp;AG54</f>
        <v>Apartment A1 SpHeat LPG Boiler Advanced (N)|</v>
      </c>
      <c r="AA56" s="57" t="str">
        <f>General!$B$2</f>
        <v>PJ</v>
      </c>
      <c r="AB56" s="57" t="str">
        <f>General!$B$5</f>
        <v>GW</v>
      </c>
      <c r="AC56" s="57" t="s">
        <v>723</v>
      </c>
      <c r="AD56" s="26"/>
      <c r="AE56" s="26"/>
      <c r="AF56" s="26"/>
      <c r="AG56" s="26"/>
      <c r="AJ56" s="40"/>
    </row>
    <row r="57" spans="1:36" s="10" customFormat="1" ht="12.75" customHeight="1" x14ac:dyDescent="0.25">
      <c r="A57" s="26"/>
      <c r="B57" s="26" t="str">
        <f>Y39</f>
        <v>RSD_APA1_SH_GAS_N_AD01</v>
      </c>
      <c r="C57" s="26" t="str">
        <f>Z39</f>
        <v>Apartment A1 SpHeat Gas Boiler Condensing Improved (N)|</v>
      </c>
      <c r="D57" s="26" t="str">
        <f>Commodities!$D$166</f>
        <v>RSDGASNAT</v>
      </c>
      <c r="E57" s="26" t="str">
        <f>E55</f>
        <v>RSD_APA1_SH</v>
      </c>
      <c r="F57" s="84">
        <f t="shared" ref="F57:F58" si="19">G57</f>
        <v>2025</v>
      </c>
      <c r="G57" s="57">
        <f>BASE_YEAR+8</f>
        <v>2025</v>
      </c>
      <c r="H57" s="72">
        <v>0.94500000000000006</v>
      </c>
      <c r="I57" s="72"/>
      <c r="J57" s="72"/>
      <c r="K57" s="72"/>
      <c r="L57" s="72"/>
      <c r="M57" s="72"/>
      <c r="N57" s="72">
        <f>ROUNDUP(122.99160610508*1.9,0)</f>
        <v>234</v>
      </c>
      <c r="O57" s="72">
        <f>ROUNDDOWN(4.17604096968449,0)</f>
        <v>4</v>
      </c>
      <c r="P57" s="72">
        <v>0</v>
      </c>
      <c r="Q57" s="72">
        <v>20</v>
      </c>
      <c r="R57" s="72">
        <v>31.536000000000001</v>
      </c>
      <c r="S57" s="26"/>
      <c r="T57" s="26"/>
      <c r="U57" s="26"/>
      <c r="W57" s="26"/>
      <c r="X57" s="26"/>
      <c r="Y57" s="26" t="str">
        <f>Commodities!$AD$17&amp;"_"&amp;RIGHT(Commodities!$D$153,3)&amp;"_"&amp;$Y$3&amp;"_ST"</f>
        <v>RSD_DTA2_SH_BIC_N_ST</v>
      </c>
      <c r="Z57" s="26" t="str">
        <f>"Detached A2 SpHeat Coal Boiler Standard (N)|"&amp;AG58</f>
        <v>Detached A2 SpHeat Coal Boiler Standard (N)|</v>
      </c>
      <c r="AA57" s="57" t="str">
        <f>General!$B$2</f>
        <v>PJ</v>
      </c>
      <c r="AB57" s="57" t="str">
        <f>General!$B$5</f>
        <v>GW</v>
      </c>
      <c r="AC57" s="57" t="s">
        <v>723</v>
      </c>
      <c r="AD57" s="26"/>
      <c r="AE57" s="26"/>
      <c r="AF57" s="26"/>
      <c r="AG57" s="26"/>
      <c r="AJ57" s="40"/>
    </row>
    <row r="58" spans="1:36" s="10" customFormat="1" ht="12.75" customHeight="1" x14ac:dyDescent="0.25">
      <c r="A58" s="26"/>
      <c r="B58" s="26" t="str">
        <f>Y40</f>
        <v>RSD_APA1_SH_GAS_N_AD02</v>
      </c>
      <c r="C58" s="26" t="str">
        <f>Z40</f>
        <v>Apartment A1 Combi Gas Boiler Condensing (N)|</v>
      </c>
      <c r="D58" s="26" t="str">
        <f>Commodities!$D$166</f>
        <v>RSDGASNAT</v>
      </c>
      <c r="E58" s="26" t="str">
        <f>E57</f>
        <v>RSD_APA1_SH</v>
      </c>
      <c r="F58" s="84">
        <f t="shared" si="19"/>
        <v>2030</v>
      </c>
      <c r="G58" s="57">
        <f>BASE_YEAR+13</f>
        <v>2030</v>
      </c>
      <c r="H58" s="72">
        <v>0.94500000000000006</v>
      </c>
      <c r="I58" s="72"/>
      <c r="J58" s="72"/>
      <c r="K58" s="72"/>
      <c r="L58" s="72"/>
      <c r="M58" s="72"/>
      <c r="N58" s="72">
        <f>ROUNDUP(122.99160610508*1.9,0)</f>
        <v>234</v>
      </c>
      <c r="O58" s="72">
        <f>ROUNDDOWN(4.17604096968449,0)</f>
        <v>4</v>
      </c>
      <c r="P58" s="72">
        <v>0</v>
      </c>
      <c r="Q58" s="72">
        <v>20</v>
      </c>
      <c r="R58" s="72">
        <v>31.536000000000001</v>
      </c>
      <c r="S58" s="26"/>
      <c r="T58" s="26"/>
      <c r="U58" s="26"/>
      <c r="W58" s="26"/>
      <c r="X58" s="26"/>
      <c r="Y58" s="26" t="str">
        <f>Commodities!$AD$17&amp;"_"&amp;RIGHT(Commodities!$D$167,3)&amp;"_"&amp;$Y$3&amp;"_ST01"</f>
        <v>RSD_DTA2_SH_LOG_N_ST01</v>
      </c>
      <c r="Z58" s="26" t="str">
        <f>"Detached A2 SpHeat Wood Stove Standard (N)|"&amp;AG60</f>
        <v>Detached A2 SpHeat Wood Stove Standard (N)|</v>
      </c>
      <c r="AA58" s="57" t="str">
        <f>General!$B$2</f>
        <v>PJ</v>
      </c>
      <c r="AB58" s="57" t="str">
        <f>General!$B$5</f>
        <v>GW</v>
      </c>
      <c r="AC58" s="57" t="s">
        <v>723</v>
      </c>
      <c r="AD58" s="26"/>
      <c r="AE58" s="26"/>
      <c r="AF58" s="26"/>
      <c r="AG58" s="26"/>
      <c r="AJ58" s="40"/>
    </row>
    <row r="59" spans="1:36" s="10" customFormat="1" ht="12.75" customHeight="1" x14ac:dyDescent="0.25">
      <c r="A59" s="26"/>
      <c r="E59" s="26" t="str">
        <f>E56</f>
        <v>RSD_APA1_WH</v>
      </c>
      <c r="F59" s="84">
        <f>F58</f>
        <v>2030</v>
      </c>
      <c r="H59" s="72" t="s">
        <v>848</v>
      </c>
      <c r="I59" s="72">
        <v>0.94500000000000006</v>
      </c>
      <c r="J59" s="72"/>
      <c r="K59" s="72"/>
      <c r="L59" s="72"/>
      <c r="M59" s="72">
        <v>0.2</v>
      </c>
      <c r="N59" s="72" t="s">
        <v>848</v>
      </c>
      <c r="O59" s="72" t="s">
        <v>848</v>
      </c>
      <c r="P59" s="72" t="s">
        <v>848</v>
      </c>
      <c r="Q59" s="72" t="s">
        <v>848</v>
      </c>
      <c r="R59" s="72"/>
      <c r="S59" s="26"/>
      <c r="T59" s="26"/>
      <c r="U59" s="26"/>
      <c r="W59" s="26"/>
      <c r="X59" s="26"/>
      <c r="Y59" s="26" t="str">
        <f>Commodities!$AD$17&amp;"_"&amp;RIGHT(Commodities!$D$167,3)&amp;"_"&amp;$Y$3&amp;"_ST02"</f>
        <v>RSD_DTA2_SH_LOG_N_ST02</v>
      </c>
      <c r="Z59" s="26" t="str">
        <f>"Detached A2 SpHeat Wood Boiler Standard (N)|"&amp;AG61</f>
        <v>Detached A2 SpHeat Wood Boiler Standard (N)|</v>
      </c>
      <c r="AA59" s="57" t="str">
        <f>General!$B$2</f>
        <v>PJ</v>
      </c>
      <c r="AB59" s="57" t="str">
        <f>General!$B$5</f>
        <v>GW</v>
      </c>
      <c r="AC59" s="57" t="s">
        <v>723</v>
      </c>
      <c r="AD59" s="57"/>
      <c r="AE59" s="26"/>
      <c r="AF59" s="26"/>
      <c r="AG59" s="26"/>
      <c r="AJ59" s="40"/>
    </row>
    <row r="60" spans="1:36" s="10" customFormat="1" ht="12.75" customHeight="1" x14ac:dyDescent="0.25">
      <c r="A60" s="26"/>
      <c r="B60" s="26" t="str">
        <f t="shared" ref="B60:C65" si="20">Y41</f>
        <v>RSD_APA1_SH_LTH_N_ST01</v>
      </c>
      <c r="C60" s="26" t="str">
        <f t="shared" si="20"/>
        <v>Apartment A1 SpHeat Dist. Heat Standard (N)|</v>
      </c>
      <c r="D60" s="26" t="str">
        <f>Commodities!$D$350</f>
        <v>RSDLTHA1</v>
      </c>
      <c r="E60" s="26" t="str">
        <f>E58</f>
        <v>RSD_APA1_SH</v>
      </c>
      <c r="F60" s="84">
        <f t="shared" ref="F60:F62" si="21">G60</f>
        <v>2018</v>
      </c>
      <c r="G60" s="57">
        <f>BASE_YEAR+1</f>
        <v>2018</v>
      </c>
      <c r="H60" s="72">
        <v>0.9</v>
      </c>
      <c r="I60" s="72"/>
      <c r="J60" s="72"/>
      <c r="K60" s="72"/>
      <c r="L60" s="72"/>
      <c r="M60" s="72"/>
      <c r="N60" s="72">
        <f>ROUNDUP(90.3,0)</f>
        <v>91</v>
      </c>
      <c r="O60" s="72">
        <f>ROUNDUP(9.72,0)</f>
        <v>10</v>
      </c>
      <c r="P60" s="72">
        <v>0</v>
      </c>
      <c r="Q60" s="72">
        <v>20</v>
      </c>
      <c r="R60" s="72">
        <v>31.536000000000001</v>
      </c>
      <c r="S60" s="26"/>
      <c r="T60" s="26"/>
      <c r="U60" s="26"/>
      <c r="W60" s="26"/>
      <c r="X60" s="26"/>
      <c r="Y60" s="26" t="str">
        <f>Commodities!$AD$17&amp;"_"&amp;RIGHT(Commodities!$D$177,3)&amp;"_"&amp;$Y$3&amp;"_ST01"</f>
        <v>RSD_DTA2_SH_PLT_N_ST01</v>
      </c>
      <c r="Z60" s="26" t="str">
        <f>"Detached A2 SpHeat Pellet Boiler Standard (N)|"&amp;AG61</f>
        <v>Detached A2 SpHeat Pellet Boiler Standard (N)|</v>
      </c>
      <c r="AA60" s="57" t="str">
        <f>General!$B$2</f>
        <v>PJ</v>
      </c>
      <c r="AB60" s="57" t="str">
        <f>General!$B$5</f>
        <v>GW</v>
      </c>
      <c r="AC60" s="57" t="s">
        <v>723</v>
      </c>
      <c r="AD60" s="57"/>
      <c r="AE60" s="26"/>
      <c r="AF60" s="26"/>
      <c r="AG60" s="26"/>
      <c r="AJ60" s="40"/>
    </row>
    <row r="61" spans="1:36" s="10" customFormat="1" ht="12.75" customHeight="1" x14ac:dyDescent="0.25">
      <c r="A61" s="26"/>
      <c r="B61" s="26" t="str">
        <f t="shared" si="20"/>
        <v>RSD_APA1_SH_LTH_N_IM01</v>
      </c>
      <c r="C61" s="26" t="str">
        <f t="shared" si="20"/>
        <v>Apartment A1 SpHeat Dist. Heat Improved (N)|</v>
      </c>
      <c r="D61" s="26" t="str">
        <f>D60</f>
        <v>RSDLTHA1</v>
      </c>
      <c r="E61" s="26" t="str">
        <f>E60</f>
        <v>RSD_APA1_SH</v>
      </c>
      <c r="F61" s="84">
        <f t="shared" si="21"/>
        <v>2025</v>
      </c>
      <c r="G61" s="57">
        <f>BASE_YEAR+8</f>
        <v>2025</v>
      </c>
      <c r="H61" s="72">
        <f>H60*1.03</f>
        <v>0.92700000000000005</v>
      </c>
      <c r="I61" s="72"/>
      <c r="J61" s="72"/>
      <c r="K61" s="72"/>
      <c r="L61" s="72"/>
      <c r="M61" s="72"/>
      <c r="N61" s="72">
        <f>ROUNDUP(94.815*1.1,0)</f>
        <v>105</v>
      </c>
      <c r="O61" s="72">
        <f>ROUNDUP(9.234,0)</f>
        <v>10</v>
      </c>
      <c r="P61" s="72">
        <v>0</v>
      </c>
      <c r="Q61" s="72">
        <v>20</v>
      </c>
      <c r="R61" s="72">
        <v>31.536000000000001</v>
      </c>
      <c r="S61" s="26"/>
      <c r="T61" s="26"/>
      <c r="U61" s="26"/>
      <c r="W61" s="26"/>
      <c r="X61" s="26"/>
      <c r="Y61" s="26" t="str">
        <f>Commodities!$AD$17&amp;"_"&amp;RIGHT(Commodities!$D$177,3)&amp;"_"&amp;$Y$3&amp;"_IM01"</f>
        <v>RSD_DTA2_SH_PLT_N_IM01</v>
      </c>
      <c r="Z61" s="26" t="str">
        <f>"Detached A2 SpHeat Pellet Boiler Improved (N)|"&amp;AG62</f>
        <v>Detached A2 SpHeat Pellet Boiler Improved (N)|</v>
      </c>
      <c r="AA61" s="57" t="str">
        <f>General!$B$2</f>
        <v>PJ</v>
      </c>
      <c r="AB61" s="57" t="str">
        <f>General!$B$5</f>
        <v>GW</v>
      </c>
      <c r="AC61" s="57" t="s">
        <v>723</v>
      </c>
      <c r="AD61" s="57"/>
      <c r="AE61" s="26"/>
      <c r="AF61" s="26"/>
      <c r="AG61" s="26"/>
      <c r="AJ61" s="40"/>
    </row>
    <row r="62" spans="1:36" s="10" customFormat="1" ht="12.75" customHeight="1" x14ac:dyDescent="0.25">
      <c r="A62" s="26"/>
      <c r="B62" s="26" t="str">
        <f t="shared" si="20"/>
        <v>RSD_APA1_SH_LTH_N_AD01</v>
      </c>
      <c r="C62" s="26" t="str">
        <f t="shared" si="20"/>
        <v>Apartment A1 SpHeat Dist. Heat Advanced (N)|</v>
      </c>
      <c r="D62" s="26" t="str">
        <f>D61</f>
        <v>RSDLTHA1</v>
      </c>
      <c r="E62" s="26" t="str">
        <f>E61</f>
        <v>RSD_APA1_SH</v>
      </c>
      <c r="F62" s="84">
        <f t="shared" si="21"/>
        <v>2035</v>
      </c>
      <c r="G62" s="57">
        <f>BASE_YEAR+18</f>
        <v>2035</v>
      </c>
      <c r="H62" s="72">
        <f>H60*1.05</f>
        <v>0.94500000000000006</v>
      </c>
      <c r="I62" s="72"/>
      <c r="J62" s="72"/>
      <c r="K62" s="72"/>
      <c r="L62" s="72"/>
      <c r="M62" s="72"/>
      <c r="N62" s="72">
        <f>ROUNDUP(99.55575*1.2,0)</f>
        <v>120</v>
      </c>
      <c r="O62" s="72">
        <f>ROUNDUP(8.7723,0)</f>
        <v>9</v>
      </c>
      <c r="P62" s="72">
        <v>0</v>
      </c>
      <c r="Q62" s="72">
        <v>20</v>
      </c>
      <c r="R62" s="72">
        <v>31.536000000000001</v>
      </c>
      <c r="S62" s="26"/>
      <c r="T62" s="26"/>
      <c r="U62" s="26"/>
      <c r="W62" s="26"/>
      <c r="X62" s="26"/>
      <c r="Y62" s="26" t="str">
        <f>Commodities!$AD$17&amp;"_"&amp;LEFT(RIGHT(Commodities!$D$166,6),3)&amp;"_"&amp;$Y$3&amp;"_ST01"</f>
        <v>RSD_DTA2_SH_GAS_N_ST01</v>
      </c>
      <c r="Z62" s="26" t="str">
        <f>"Detached A2 SpHeat Gas Boiler Condensing (N)|"&amp;AG63</f>
        <v>Detached A2 SpHeat Gas Boiler Condensing (N)|</v>
      </c>
      <c r="AA62" s="57" t="str">
        <f>General!$B$2</f>
        <v>PJ</v>
      </c>
      <c r="AB62" s="57" t="str">
        <f>General!$B$5</f>
        <v>GW</v>
      </c>
      <c r="AC62" s="57" t="s">
        <v>723</v>
      </c>
      <c r="AD62" s="57"/>
      <c r="AE62" s="26"/>
      <c r="AF62" s="26"/>
      <c r="AG62" s="26"/>
      <c r="AJ62" s="40"/>
    </row>
    <row r="63" spans="1:36" s="10" customFormat="1" ht="12.75" customHeight="1" x14ac:dyDescent="0.25">
      <c r="A63" s="26"/>
      <c r="B63" s="26" t="str">
        <f t="shared" si="20"/>
        <v>RSD_APA1_SH_ELC_N_ST01</v>
      </c>
      <c r="C63" s="26" t="str">
        <f t="shared" si="20"/>
        <v>Apartment A1 SpHeat Electric Heater Standard (N)|</v>
      </c>
      <c r="D63" s="26" t="str">
        <f>Commodities!$D$341</f>
        <v>RSDELC</v>
      </c>
      <c r="E63" s="26" t="str">
        <f t="shared" ref="E63:E65" si="22">E62</f>
        <v>RSD_APA1_SH</v>
      </c>
      <c r="F63" s="84">
        <f>G63</f>
        <v>2018</v>
      </c>
      <c r="G63" s="57">
        <f>BASE_YEAR+1</f>
        <v>2018</v>
      </c>
      <c r="H63" s="72">
        <v>0.95</v>
      </c>
      <c r="I63" s="72"/>
      <c r="J63" s="72"/>
      <c r="K63" s="72"/>
      <c r="L63" s="72"/>
      <c r="M63" s="72"/>
      <c r="N63" s="72">
        <f>ROUNDUP(320.85*0.35,0)</f>
        <v>113</v>
      </c>
      <c r="O63" s="72">
        <f>N63*0.01</f>
        <v>1.1300000000000001</v>
      </c>
      <c r="P63" s="72">
        <v>0</v>
      </c>
      <c r="Q63" s="72">
        <v>15</v>
      </c>
      <c r="R63" s="72">
        <f>31.536/5</f>
        <v>6.3071999999999999</v>
      </c>
      <c r="S63" s="26"/>
      <c r="T63" s="26"/>
      <c r="U63" s="26"/>
      <c r="W63" s="26"/>
      <c r="X63" s="26"/>
      <c r="Y63" s="26" t="str">
        <f>Commodities!$AD$17&amp;"_"&amp;LEFT(RIGHT(Commodities!$D$166,6),3)&amp;"_"&amp;$Y$3&amp;"_ST02"</f>
        <v>RSD_DTA2_SH_GAS_N_ST02</v>
      </c>
      <c r="Z63" s="26" t="str">
        <f>"Detached A2 Combi Gas Boiler Condensing (N)|"&amp;AG64</f>
        <v>Detached A2 Combi Gas Boiler Condensing (N)|</v>
      </c>
      <c r="AA63" s="57" t="str">
        <f>General!$B$2</f>
        <v>PJ</v>
      </c>
      <c r="AB63" s="57" t="str">
        <f>General!$B$5</f>
        <v>GW</v>
      </c>
      <c r="AC63" s="57" t="s">
        <v>723</v>
      </c>
      <c r="AD63" s="57"/>
      <c r="AE63" s="26"/>
      <c r="AF63" s="26"/>
      <c r="AG63" s="26"/>
      <c r="AJ63" s="40"/>
    </row>
    <row r="64" spans="1:36" s="10" customFormat="1" ht="12.75" customHeight="1" x14ac:dyDescent="0.25">
      <c r="A64" s="26"/>
      <c r="B64" s="26" t="str">
        <f t="shared" si="20"/>
        <v>RSD_APA1_SH_ELC_N_ST02</v>
      </c>
      <c r="C64" s="26" t="str">
        <f t="shared" si="20"/>
        <v>Apartment A1 SpHeat ASHP Standard (N)|</v>
      </c>
      <c r="D64" s="26" t="str">
        <f>Commodities!$D$341</f>
        <v>RSDELC</v>
      </c>
      <c r="E64" s="26" t="str">
        <f t="shared" si="22"/>
        <v>RSD_APA1_SH</v>
      </c>
      <c r="F64" s="84">
        <f>G64</f>
        <v>2018</v>
      </c>
      <c r="G64" s="57">
        <f>BASE_YEAR+1</f>
        <v>2018</v>
      </c>
      <c r="H64" s="72">
        <v>2</v>
      </c>
      <c r="I64" s="72"/>
      <c r="J64" s="72"/>
      <c r="K64" s="72"/>
      <c r="L64" s="72"/>
      <c r="M64" s="72"/>
      <c r="N64" s="72">
        <f>ROUNDUP(612.593487394958*0.8,0)</f>
        <v>491</v>
      </c>
      <c r="O64" s="72">
        <v>1</v>
      </c>
      <c r="P64" s="72">
        <v>0</v>
      </c>
      <c r="Q64" s="72">
        <v>15</v>
      </c>
      <c r="R64" s="72">
        <v>31.536000000000001</v>
      </c>
      <c r="S64" s="26"/>
      <c r="T64" s="26"/>
      <c r="U64" s="26"/>
      <c r="W64" s="26"/>
      <c r="X64" s="26"/>
      <c r="Y64" s="26" t="str">
        <f>Commodities!$AD$17&amp;"_"&amp;LEFT(RIGHT(Commodities!$D$166,6),3)&amp;"_"&amp;$Y$3&amp;"_AD01"</f>
        <v>RSD_DTA2_SH_GAS_N_AD01</v>
      </c>
      <c r="Z64" s="26" t="str">
        <f>"Detached A2 SpHeat Gas Boiler Condensing Improved (N)|"&amp;AG65</f>
        <v>Detached A2 SpHeat Gas Boiler Condensing Improved (N)|</v>
      </c>
      <c r="AA64" s="57" t="str">
        <f>General!$B$2</f>
        <v>PJ</v>
      </c>
      <c r="AB64" s="57" t="str">
        <f>General!$B$5</f>
        <v>GW</v>
      </c>
      <c r="AC64" s="57" t="s">
        <v>723</v>
      </c>
      <c r="AD64" s="57"/>
      <c r="AE64" s="26"/>
      <c r="AF64" s="26"/>
      <c r="AG64" s="26"/>
      <c r="AJ64" s="40"/>
    </row>
    <row r="65" spans="1:35" s="10" customFormat="1" ht="12.75" customHeight="1" x14ac:dyDescent="0.25">
      <c r="A65" s="26"/>
      <c r="B65" s="26" t="str">
        <f t="shared" si="20"/>
        <v>RSD_APA1_SH_ELC_N_ST03</v>
      </c>
      <c r="C65" s="26" t="str">
        <f t="shared" si="20"/>
        <v>Apartment A1 SpHeat &amp; SpCooling ASHP Standard (N)|</v>
      </c>
      <c r="D65" s="26" t="str">
        <f>Commodities!$D$341</f>
        <v>RSDELC</v>
      </c>
      <c r="E65" s="26" t="str">
        <f t="shared" si="22"/>
        <v>RSD_APA1_SH</v>
      </c>
      <c r="F65" s="84">
        <f>G65</f>
        <v>2018</v>
      </c>
      <c r="G65" s="57">
        <f>BASE_YEAR+1</f>
        <v>2018</v>
      </c>
      <c r="H65" s="72">
        <v>2</v>
      </c>
      <c r="I65" s="72"/>
      <c r="J65" s="72"/>
      <c r="K65" s="72"/>
      <c r="L65" s="72"/>
      <c r="M65" s="72"/>
      <c r="N65" s="72">
        <f>ROUNDUP(612.593487394958*0.8,0)</f>
        <v>491</v>
      </c>
      <c r="O65" s="72">
        <v>1</v>
      </c>
      <c r="P65" s="72">
        <v>0</v>
      </c>
      <c r="Q65" s="72">
        <v>15</v>
      </c>
      <c r="R65" s="72">
        <v>31.536000000000001</v>
      </c>
      <c r="S65" s="26"/>
      <c r="T65" s="26"/>
      <c r="U65" s="26"/>
      <c r="W65" s="26"/>
      <c r="X65" s="26"/>
      <c r="Y65" s="26" t="str">
        <f>Commodities!$AD$17&amp;"_"&amp;LEFT(RIGHT(Commodities!$D$166,6),3)&amp;"_"&amp;$Y$3&amp;"_AD02"</f>
        <v>RSD_DTA2_SH_GAS_N_AD02</v>
      </c>
      <c r="Z65" s="26" t="str">
        <f>"Detached A2 Combi Gas Boiler Condensing (N)|"&amp;AG66</f>
        <v>Detached A2 Combi Gas Boiler Condensing (N)|</v>
      </c>
      <c r="AA65" s="57" t="str">
        <f>General!$B$2</f>
        <v>PJ</v>
      </c>
      <c r="AB65" s="57" t="str">
        <f>General!$B$5</f>
        <v>GW</v>
      </c>
      <c r="AC65" s="57" t="s">
        <v>723</v>
      </c>
      <c r="AD65" s="57"/>
      <c r="AE65" s="26"/>
      <c r="AF65" s="26"/>
      <c r="AG65" s="26"/>
    </row>
    <row r="66" spans="1:35" s="10" customFormat="1" ht="12.75" customHeight="1" x14ac:dyDescent="0.25">
      <c r="A66" s="26"/>
      <c r="B66" s="60"/>
      <c r="C66" s="60"/>
      <c r="E66" s="26" t="str">
        <f>Commodities!$AD$32</f>
        <v>RSD_APA1_SC</v>
      </c>
      <c r="F66" s="84">
        <f>F65</f>
        <v>2018</v>
      </c>
      <c r="H66" s="72" t="s">
        <v>848</v>
      </c>
      <c r="I66" s="72"/>
      <c r="J66" s="72">
        <f>H65*1.5</f>
        <v>3</v>
      </c>
      <c r="K66" s="72"/>
      <c r="L66" s="72"/>
      <c r="M66" s="72"/>
      <c r="N66" s="72" t="s">
        <v>848</v>
      </c>
      <c r="O66" s="72" t="s">
        <v>848</v>
      </c>
      <c r="P66" s="72" t="s">
        <v>848</v>
      </c>
      <c r="Q66" s="72" t="s">
        <v>848</v>
      </c>
      <c r="R66" s="72"/>
      <c r="S66" s="26"/>
      <c r="T66" s="26"/>
      <c r="U66" s="26"/>
      <c r="W66" s="26"/>
      <c r="X66" s="26"/>
      <c r="Y66" s="26" t="str">
        <f>Commodities!$AD$17&amp;"_"&amp;RIGHT(Commodities!$D$347,3)&amp;"_"&amp;$Y$3&amp;"_ST01"</f>
        <v>RSD_DTA2_SH_LTH_N_ST01</v>
      </c>
      <c r="Z66" s="26" t="str">
        <f>"Detached A2 SpHeat Dist. Heat Standard (N)|"&amp;AG67</f>
        <v>Detached A2 SpHeat Dist. Heat Standard (N)|</v>
      </c>
      <c r="AA66" s="57" t="str">
        <f>General!$B$2</f>
        <v>PJ</v>
      </c>
      <c r="AB66" s="57" t="str">
        <f>General!$B$5</f>
        <v>GW</v>
      </c>
      <c r="AC66" s="57" t="s">
        <v>723</v>
      </c>
      <c r="AD66" s="57"/>
      <c r="AE66" s="26"/>
      <c r="AF66" s="26"/>
      <c r="AG66" s="26"/>
      <c r="AH66" s="26"/>
      <c r="AI66" s="26"/>
    </row>
    <row r="67" spans="1:35" s="10" customFormat="1" ht="12.75" customHeight="1" x14ac:dyDescent="0.25">
      <c r="A67" s="26"/>
      <c r="B67" s="26" t="str">
        <f>Y47</f>
        <v>RSD_APA1_SH_ELC_N_IM01</v>
      </c>
      <c r="C67" s="26" t="str">
        <f>Z47</f>
        <v>Apartment A1 SpHeat ASHP Improved (N)|</v>
      </c>
      <c r="D67" s="26" t="str">
        <f>Commodities!$D$341</f>
        <v>RSDELC</v>
      </c>
      <c r="E67" s="26" t="str">
        <f>E65</f>
        <v>RSD_APA1_SH</v>
      </c>
      <c r="F67" s="84">
        <f>G67</f>
        <v>2025</v>
      </c>
      <c r="G67" s="57">
        <f>BASE_YEAR+8</f>
        <v>2025</v>
      </c>
      <c r="H67" s="72">
        <v>2.5</v>
      </c>
      <c r="I67" s="72"/>
      <c r="J67" s="72"/>
      <c r="K67" s="72"/>
      <c r="L67" s="72"/>
      <c r="M67" s="72"/>
      <c r="N67" s="72">
        <f>ROUNDUP(655.475031512605*0.9,0)</f>
        <v>590</v>
      </c>
      <c r="O67" s="72">
        <v>1</v>
      </c>
      <c r="P67" s="72">
        <v>0</v>
      </c>
      <c r="Q67" s="72">
        <v>15</v>
      </c>
      <c r="R67" s="72">
        <v>31.536000000000001</v>
      </c>
      <c r="S67" s="26"/>
      <c r="T67" s="26"/>
      <c r="U67" s="26"/>
      <c r="W67" s="26"/>
      <c r="X67" s="26"/>
      <c r="Y67" s="26" t="str">
        <f>Commodities!$AD$17&amp;"_"&amp;RIGHT(Commodities!$D$347,3)&amp;"_"&amp;$Y$3&amp;"_IM01"</f>
        <v>RSD_DTA2_SH_LTH_N_IM01</v>
      </c>
      <c r="Z67" s="26" t="str">
        <f>"Detached A2 SpHeat Dist. Heat Improved (N)|"&amp;AG68</f>
        <v>Detached A2 SpHeat Dist. Heat Improved (N)|</v>
      </c>
      <c r="AA67" s="57" t="str">
        <f>General!$B$2</f>
        <v>PJ</v>
      </c>
      <c r="AB67" s="57" t="str">
        <f>General!$B$5</f>
        <v>GW</v>
      </c>
      <c r="AC67" s="57" t="s">
        <v>723</v>
      </c>
      <c r="AD67" s="57"/>
      <c r="AE67" s="26"/>
      <c r="AF67" s="26"/>
      <c r="AG67" s="26"/>
      <c r="AH67" s="26"/>
      <c r="AI67" s="26"/>
    </row>
    <row r="68" spans="1:35" ht="12.75" customHeight="1" x14ac:dyDescent="0.25">
      <c r="A68" s="26"/>
      <c r="B68" s="26" t="str">
        <f>Y48</f>
        <v>RSD_APA1_SH_ELC_N_IM02</v>
      </c>
      <c r="C68" s="26" t="str">
        <f>Z48</f>
        <v>Apartment A1 SpHeat &amp; SpCooling  ASHP Improved (N)|</v>
      </c>
      <c r="D68" s="26" t="str">
        <f>Commodities!$D$341</f>
        <v>RSDELC</v>
      </c>
      <c r="E68" s="26" t="str">
        <f>E67</f>
        <v>RSD_APA1_SH</v>
      </c>
      <c r="F68" s="84">
        <f>G68</f>
        <v>2025</v>
      </c>
      <c r="G68" s="57">
        <f>BASE_YEAR+8</f>
        <v>2025</v>
      </c>
      <c r="H68" s="72">
        <v>2.5</v>
      </c>
      <c r="I68" s="72"/>
      <c r="J68" s="72"/>
      <c r="K68" s="72"/>
      <c r="L68" s="72"/>
      <c r="M68" s="72"/>
      <c r="N68" s="72">
        <f>ROUNDUP(655.475031512605*0.9,0)</f>
        <v>590</v>
      </c>
      <c r="O68" s="72">
        <v>1</v>
      </c>
      <c r="P68" s="72">
        <v>0</v>
      </c>
      <c r="Q68" s="72">
        <v>15</v>
      </c>
      <c r="R68" s="72">
        <v>31.536000000000001</v>
      </c>
      <c r="S68" s="26"/>
      <c r="T68" s="26"/>
      <c r="U68" s="26"/>
      <c r="V68" s="10"/>
      <c r="W68" s="26"/>
      <c r="X68" s="26"/>
      <c r="Y68" s="26" t="str">
        <f>Commodities!$AD$17&amp;"_"&amp;RIGHT(Commodities!$D$347,3)&amp;"_"&amp;$Y$3&amp;"_AD01"</f>
        <v>RSD_DTA2_SH_LTH_N_AD01</v>
      </c>
      <c r="Z68" s="26" t="str">
        <f>"Detached A2 SpHeat Dist. Heat Advanced (N)|"&amp;AG69</f>
        <v>Detached A2 SpHeat Dist. Heat Advanced (N)|</v>
      </c>
      <c r="AA68" s="57" t="str">
        <f>General!$B$2</f>
        <v>PJ</v>
      </c>
      <c r="AB68" s="57" t="str">
        <f>General!$B$5</f>
        <v>GW</v>
      </c>
      <c r="AC68" s="57" t="s">
        <v>723</v>
      </c>
      <c r="AD68" s="57"/>
      <c r="AE68" s="26"/>
      <c r="AF68" s="26"/>
      <c r="AG68" s="26"/>
      <c r="AH68" s="26"/>
      <c r="AI68" s="26"/>
    </row>
    <row r="69" spans="1:35" ht="12.75" customHeight="1" x14ac:dyDescent="0.25">
      <c r="A69" s="26"/>
      <c r="D69" s="10"/>
      <c r="E69" s="26" t="str">
        <f>E66</f>
        <v>RSD_APA1_SC</v>
      </c>
      <c r="F69" s="84">
        <f>F68</f>
        <v>2025</v>
      </c>
      <c r="G69" s="10"/>
      <c r="H69" s="72" t="s">
        <v>848</v>
      </c>
      <c r="I69" s="72"/>
      <c r="J69" s="72">
        <f>H68*1.5</f>
        <v>3.75</v>
      </c>
      <c r="K69" s="72"/>
      <c r="L69" s="72"/>
      <c r="M69" s="72"/>
      <c r="N69" s="72" t="s">
        <v>848</v>
      </c>
      <c r="O69" s="72" t="s">
        <v>848</v>
      </c>
      <c r="P69" s="72" t="s">
        <v>848</v>
      </c>
      <c r="Q69" s="72" t="s">
        <v>848</v>
      </c>
      <c r="R69" s="72"/>
      <c r="S69" s="26"/>
      <c r="T69" s="26"/>
      <c r="U69" s="26"/>
      <c r="V69" s="10"/>
      <c r="W69" s="26"/>
      <c r="X69" s="26"/>
      <c r="Y69" s="26" t="str">
        <f>Commodities!$AD$17&amp;"_"&amp;RIGHT(Commodities!$D$340,3)&amp;"_"&amp;$Y$3&amp;"_ST01"</f>
        <v>RSD_DTA2_SH_ELC_N_ST01</v>
      </c>
      <c r="Z69" s="26" t="str">
        <f>"Detached A2 SpHeat Electric Heater Standard (N)|"&amp;AG70</f>
        <v>Detached A2 SpHeat Electric Heater Standard (N)|</v>
      </c>
      <c r="AA69" s="57" t="str">
        <f>General!$B$2</f>
        <v>PJ</v>
      </c>
      <c r="AB69" s="57" t="str">
        <f>General!$B$5</f>
        <v>GW</v>
      </c>
      <c r="AC69" s="57" t="s">
        <v>723</v>
      </c>
      <c r="AD69" s="57"/>
      <c r="AE69" s="26"/>
      <c r="AF69" s="26"/>
      <c r="AG69" s="26"/>
      <c r="AH69" s="26"/>
      <c r="AI69" s="32"/>
    </row>
    <row r="70" spans="1:35" ht="12.75" customHeight="1" x14ac:dyDescent="0.25">
      <c r="A70" s="26"/>
      <c r="B70" s="26" t="str">
        <f>Y49</f>
        <v>RSD_APA1_SH_ELC_N_AD01</v>
      </c>
      <c r="C70" s="26" t="str">
        <f>Z49</f>
        <v>Apartment A1 SpHeat ASHP Advanced (N)|</v>
      </c>
      <c r="D70" s="26" t="str">
        <f>Commodities!$D$341</f>
        <v>RSDELC</v>
      </c>
      <c r="E70" s="26" t="str">
        <f>E68</f>
        <v>RSD_APA1_SH</v>
      </c>
      <c r="F70" s="84">
        <f>G70</f>
        <v>2035</v>
      </c>
      <c r="G70" s="57">
        <f>BASE_YEAR+18</f>
        <v>2035</v>
      </c>
      <c r="H70" s="72">
        <v>3</v>
      </c>
      <c r="I70" s="72"/>
      <c r="J70" s="72"/>
      <c r="K70" s="72"/>
      <c r="L70" s="72"/>
      <c r="M70" s="72"/>
      <c r="N70" s="72">
        <f>ROUNDUP(688.248783088235,0)</f>
        <v>689</v>
      </c>
      <c r="O70" s="72">
        <v>1</v>
      </c>
      <c r="P70" s="72">
        <v>0</v>
      </c>
      <c r="Q70" s="72">
        <v>15</v>
      </c>
      <c r="R70" s="72">
        <v>31.536000000000001</v>
      </c>
      <c r="S70" s="26"/>
      <c r="T70" s="26"/>
      <c r="U70" s="26"/>
      <c r="V70" s="10"/>
      <c r="W70" s="26"/>
      <c r="X70" s="26"/>
      <c r="Y70" s="26" t="str">
        <f>Commodities!$AD$17&amp;"_"&amp;RIGHT(Commodities!$D$340,3)&amp;"_"&amp;$Y$3&amp;"_ST02"</f>
        <v>RSD_DTA2_SH_ELC_N_ST02</v>
      </c>
      <c r="Z70" s="26" t="str">
        <f>"Detached A2 SpHeat ASHP Standard (N)|"&amp;AG71</f>
        <v>Detached A2 SpHeat ASHP Standard (N)|</v>
      </c>
      <c r="AA70" s="57" t="str">
        <f>General!$B$2</f>
        <v>PJ</v>
      </c>
      <c r="AB70" s="57" t="str">
        <f>General!$B$5</f>
        <v>GW</v>
      </c>
      <c r="AC70" s="57" t="s">
        <v>723</v>
      </c>
      <c r="AD70" s="57"/>
      <c r="AE70" s="26"/>
      <c r="AF70" s="26"/>
      <c r="AG70" s="26"/>
      <c r="AH70" s="26"/>
      <c r="AI70" s="32"/>
    </row>
    <row r="71" spans="1:35" ht="12.75" customHeight="1" x14ac:dyDescent="0.25">
      <c r="A71" s="26"/>
      <c r="B71" s="26" t="str">
        <f>Y50</f>
        <v>RSD_APA1_SH_ELC_N_AD02</v>
      </c>
      <c r="C71" s="26" t="str">
        <f>Z50</f>
        <v>Apartment A1 SpHeat &amp; SpCooling ASHP Advanced (N)|</v>
      </c>
      <c r="D71" s="26" t="str">
        <f>Commodities!$D$341</f>
        <v>RSDELC</v>
      </c>
      <c r="E71" s="26" t="str">
        <f>E70</f>
        <v>RSD_APA1_SH</v>
      </c>
      <c r="F71" s="84">
        <f>G71</f>
        <v>2035</v>
      </c>
      <c r="G71" s="57">
        <f>BASE_YEAR+18</f>
        <v>2035</v>
      </c>
      <c r="H71" s="72">
        <v>3</v>
      </c>
      <c r="I71" s="72"/>
      <c r="J71" s="72"/>
      <c r="K71" s="72"/>
      <c r="L71" s="72"/>
      <c r="M71" s="72"/>
      <c r="N71" s="72">
        <f>ROUNDUP(688.248783088235,0)</f>
        <v>689</v>
      </c>
      <c r="O71" s="72">
        <v>1</v>
      </c>
      <c r="P71" s="72">
        <v>0</v>
      </c>
      <c r="Q71" s="72">
        <v>15</v>
      </c>
      <c r="R71" s="72">
        <v>31.536000000000001</v>
      </c>
      <c r="S71" s="26"/>
      <c r="T71" s="26"/>
      <c r="U71" s="26"/>
      <c r="V71" s="10"/>
      <c r="W71" s="26"/>
      <c r="X71" s="26"/>
      <c r="Y71" s="26" t="str">
        <f>Commodities!$AD$17&amp;"_"&amp;RIGHT(Commodities!$D$340,3)&amp;"_"&amp;$Y$3&amp;"_ST03"</f>
        <v>RSD_DTA2_SH_ELC_N_ST03</v>
      </c>
      <c r="Z71" s="26" t="str">
        <f>"Detached A2 SpHeat &amp; SpCooling ASHP Standard (N)|"&amp;AG72</f>
        <v>Detached A2 SpHeat &amp; SpCooling ASHP Standard (N)|</v>
      </c>
      <c r="AA71" s="57" t="str">
        <f>General!$B$2</f>
        <v>PJ</v>
      </c>
      <c r="AB71" s="57" t="str">
        <f>General!$B$5</f>
        <v>GW</v>
      </c>
      <c r="AC71" s="57" t="s">
        <v>723</v>
      </c>
      <c r="AD71" s="57"/>
      <c r="AE71" s="26"/>
      <c r="AF71" s="26"/>
      <c r="AG71" s="26"/>
      <c r="AH71" s="26"/>
      <c r="AI71" s="32"/>
    </row>
    <row r="72" spans="1:35" ht="12.75" customHeight="1" x14ac:dyDescent="0.25">
      <c r="A72" s="26"/>
      <c r="D72" s="10"/>
      <c r="E72" s="26" t="str">
        <f>E69</f>
        <v>RSD_APA1_SC</v>
      </c>
      <c r="F72" s="84">
        <f>F71</f>
        <v>2035</v>
      </c>
      <c r="G72" s="10"/>
      <c r="H72" s="72" t="s">
        <v>848</v>
      </c>
      <c r="I72" s="72"/>
      <c r="J72" s="72">
        <f>H71*1.5</f>
        <v>4.5</v>
      </c>
      <c r="K72" s="72"/>
      <c r="L72" s="72"/>
      <c r="M72" s="72"/>
      <c r="N72" s="72" t="s">
        <v>848</v>
      </c>
      <c r="O72" s="72" t="s">
        <v>848</v>
      </c>
      <c r="P72" s="72" t="s">
        <v>848</v>
      </c>
      <c r="Q72" s="72" t="s">
        <v>848</v>
      </c>
      <c r="R72" s="72"/>
      <c r="S72" s="26"/>
      <c r="T72" s="26"/>
      <c r="U72" s="26"/>
      <c r="V72" s="10"/>
      <c r="W72" s="26"/>
      <c r="X72" s="26"/>
      <c r="Y72" s="26" t="str">
        <f>Commodities!$AD$17&amp;"_"&amp;RIGHT(Commodities!$D$340,3)&amp;"_"&amp;$Y$3&amp;"_IM01"</f>
        <v>RSD_DTA2_SH_ELC_N_IM01</v>
      </c>
      <c r="Z72" s="26" t="str">
        <f>"Detached A2 SpHeat ASHP Improved (N)|"&amp;AG73</f>
        <v>Detached A2 SpHeat ASHP Improved (N)|</v>
      </c>
      <c r="AA72" s="57" t="str">
        <f>General!$B$2</f>
        <v>PJ</v>
      </c>
      <c r="AB72" s="57" t="str">
        <f>General!$B$5</f>
        <v>GW</v>
      </c>
      <c r="AC72" s="57" t="s">
        <v>723</v>
      </c>
      <c r="AD72" s="57"/>
      <c r="AE72" s="26"/>
      <c r="AF72" s="26"/>
      <c r="AG72" s="26"/>
      <c r="AH72" s="26"/>
      <c r="AI72" s="32"/>
    </row>
    <row r="73" spans="1:35" ht="12.75" customHeight="1" x14ac:dyDescent="0.25">
      <c r="A73" s="26"/>
      <c r="B73" s="26" t="str">
        <f>Y51</f>
        <v>RSD_APA1_SH_GEO_N_ST01</v>
      </c>
      <c r="C73" s="26" t="str">
        <f>Z51</f>
        <v>Apartment A1 SpHeat GSHP Standard (N)|</v>
      </c>
      <c r="D73" s="26" t="str">
        <f>Commodities!$D$341</f>
        <v>RSDELC</v>
      </c>
      <c r="E73" s="26" t="str">
        <f>E71</f>
        <v>RSD_APA1_SH</v>
      </c>
      <c r="F73" s="84">
        <f>G73</f>
        <v>2020</v>
      </c>
      <c r="G73" s="57">
        <f>BASE_YEAR+3</f>
        <v>2020</v>
      </c>
      <c r="H73" s="72">
        <v>4</v>
      </c>
      <c r="I73" s="72"/>
      <c r="J73" s="72"/>
      <c r="K73" s="72"/>
      <c r="L73" s="72"/>
      <c r="M73" s="72"/>
      <c r="N73" s="72">
        <v>859.22430830039525</v>
      </c>
      <c r="O73" s="72">
        <v>1.7085427135678393</v>
      </c>
      <c r="P73" s="72">
        <v>0</v>
      </c>
      <c r="Q73" s="72">
        <v>15</v>
      </c>
      <c r="R73" s="72">
        <v>31.536000000000001</v>
      </c>
      <c r="S73" s="26"/>
      <c r="T73" s="26"/>
      <c r="U73" s="26"/>
      <c r="W73" s="26"/>
      <c r="X73" s="26"/>
      <c r="Y73" s="26" t="str">
        <f>Commodities!$AD$17&amp;"_"&amp;RIGHT(Commodities!$D$340,3)&amp;"_"&amp;$Y$3&amp;"_IM02"</f>
        <v>RSD_DTA2_SH_ELC_N_IM02</v>
      </c>
      <c r="Z73" s="26" t="str">
        <f>"Detached A2 SpHeat &amp; SpCooling  ASHP Improved (N)|"&amp;AG74</f>
        <v>Detached A2 SpHeat &amp; SpCooling  ASHP Improved (N)|</v>
      </c>
      <c r="AA73" s="57" t="str">
        <f>General!$B$2</f>
        <v>PJ</v>
      </c>
      <c r="AB73" s="57" t="str">
        <f>General!$B$5</f>
        <v>GW</v>
      </c>
      <c r="AC73" s="57" t="s">
        <v>723</v>
      </c>
      <c r="AD73" s="57"/>
      <c r="AE73" s="26"/>
      <c r="AF73" s="26"/>
      <c r="AG73" s="26"/>
      <c r="AH73" s="10"/>
    </row>
    <row r="74" spans="1:35" ht="12.75" customHeight="1" x14ac:dyDescent="0.25">
      <c r="A74" s="26"/>
      <c r="D74" s="26" t="str">
        <f>Commodities!$D$182</f>
        <v>RSDRESGEO</v>
      </c>
      <c r="E74" s="10"/>
      <c r="F74" s="84">
        <f>F73</f>
        <v>2020</v>
      </c>
      <c r="G74" s="10"/>
      <c r="H74" s="72" t="s">
        <v>848</v>
      </c>
      <c r="I74" s="72"/>
      <c r="J74" s="72" t="s">
        <v>848</v>
      </c>
      <c r="K74" s="72"/>
      <c r="L74" s="72">
        <v>0.2</v>
      </c>
      <c r="M74" s="72"/>
      <c r="N74" s="72" t="s">
        <v>848</v>
      </c>
      <c r="O74" s="72" t="s">
        <v>848</v>
      </c>
      <c r="P74" s="72" t="s">
        <v>848</v>
      </c>
      <c r="Q74" s="72" t="s">
        <v>848</v>
      </c>
      <c r="R74" s="72">
        <v>31.536000000000001</v>
      </c>
      <c r="S74" s="26"/>
      <c r="T74" s="26"/>
      <c r="U74" s="26"/>
      <c r="W74" s="26"/>
      <c r="X74" s="26"/>
      <c r="Y74" s="26" t="str">
        <f>Commodities!$AD$17&amp;"_"&amp;RIGHT(Commodities!$D$340,3)&amp;"_"&amp;$Y$3&amp;"_AD01"</f>
        <v>RSD_DTA2_SH_ELC_N_AD01</v>
      </c>
      <c r="Z74" s="26" t="str">
        <f>"Detached A2 SpHeat ASHP Advanced (N)|"&amp;AG75</f>
        <v>Detached A2 SpHeat ASHP Advanced (N)|</v>
      </c>
      <c r="AA74" s="57" t="str">
        <f>General!$B$2</f>
        <v>PJ</v>
      </c>
      <c r="AB74" s="57" t="str">
        <f>General!$B$5</f>
        <v>GW</v>
      </c>
      <c r="AC74" s="57" t="s">
        <v>723</v>
      </c>
      <c r="AD74" s="57"/>
      <c r="AE74" s="26"/>
      <c r="AF74" s="26"/>
      <c r="AG74" s="26"/>
      <c r="AH74" s="10"/>
    </row>
    <row r="75" spans="1:35" ht="12.75" customHeight="1" x14ac:dyDescent="0.25">
      <c r="B75" s="26" t="str">
        <f>Y52</f>
        <v>RSD_APA1_SH_GEO_N_ST02</v>
      </c>
      <c r="C75" s="26" t="str">
        <f>Z52</f>
        <v>Apartment A1 SpHeat &amp; SpCooling GSHP Standard (N)|</v>
      </c>
      <c r="D75" s="26" t="str">
        <f>Commodities!$D$341</f>
        <v>RSDELC</v>
      </c>
      <c r="E75" s="26" t="str">
        <f>E71</f>
        <v>RSD_APA1_SH</v>
      </c>
      <c r="F75" s="84">
        <f>G75</f>
        <v>2018</v>
      </c>
      <c r="G75" s="57">
        <f>BASE_YEAR+1</f>
        <v>2018</v>
      </c>
      <c r="H75" s="72">
        <v>4</v>
      </c>
      <c r="I75" s="72"/>
      <c r="J75" s="72"/>
      <c r="K75" s="72"/>
      <c r="L75" s="72"/>
      <c r="M75" s="72"/>
      <c r="N75" s="72">
        <v>859.22430830039525</v>
      </c>
      <c r="O75" s="72">
        <v>1.7085427135678393</v>
      </c>
      <c r="P75" s="72">
        <v>0</v>
      </c>
      <c r="Q75" s="72">
        <v>15</v>
      </c>
      <c r="R75" s="72">
        <v>31.536000000000001</v>
      </c>
      <c r="S75" s="26"/>
      <c r="T75" s="26"/>
      <c r="W75" s="26"/>
      <c r="X75" s="26"/>
      <c r="Y75" s="26" t="str">
        <f>Commodities!$AD$17&amp;"_"&amp;RIGHT(Commodities!$D$340,3)&amp;"_"&amp;$Y$3&amp;"_AD02"</f>
        <v>RSD_DTA2_SH_ELC_N_AD02</v>
      </c>
      <c r="Z75" s="26" t="str">
        <f>"Detached A2 SpHeat &amp; SpCooling ASHP Advanced (N)|"&amp;AG76</f>
        <v>Detached A2 SpHeat &amp; SpCooling ASHP Advanced (N)|</v>
      </c>
      <c r="AA75" s="57" t="str">
        <f>General!$B$2</f>
        <v>PJ</v>
      </c>
      <c r="AB75" s="57" t="str">
        <f>General!$B$5</f>
        <v>GW</v>
      </c>
      <c r="AC75" s="57" t="s">
        <v>723</v>
      </c>
      <c r="AD75" s="57"/>
      <c r="AE75" s="26"/>
      <c r="AF75" s="26"/>
      <c r="AG75" s="26"/>
      <c r="AH75" s="10"/>
    </row>
    <row r="76" spans="1:35" ht="12.75" customHeight="1" x14ac:dyDescent="0.25">
      <c r="A76" s="26"/>
      <c r="D76" s="26" t="str">
        <f>Commodities!$D$182</f>
        <v>RSDRESGEO</v>
      </c>
      <c r="E76" s="26" t="str">
        <f>E72</f>
        <v>RSD_APA1_SC</v>
      </c>
      <c r="F76" s="84">
        <f>F75</f>
        <v>2018</v>
      </c>
      <c r="G76" s="10"/>
      <c r="H76" s="72" t="s">
        <v>848</v>
      </c>
      <c r="I76" s="72"/>
      <c r="J76" s="72"/>
      <c r="K76" s="72"/>
      <c r="L76" s="72">
        <v>0.2</v>
      </c>
      <c r="M76" s="72"/>
      <c r="N76" s="72" t="s">
        <v>848</v>
      </c>
      <c r="O76" s="72" t="s">
        <v>848</v>
      </c>
      <c r="P76" s="72" t="s">
        <v>848</v>
      </c>
      <c r="Q76" s="72" t="s">
        <v>848</v>
      </c>
      <c r="R76" s="72">
        <v>31.536000000000001</v>
      </c>
      <c r="S76" s="26"/>
      <c r="T76" s="26"/>
      <c r="W76" s="26"/>
      <c r="X76" s="26"/>
      <c r="Y76" s="26" t="str">
        <f>Commodities!$AD$17&amp;"_"&amp;RIGHT(Commodities!$D$182,3)&amp;"_"&amp;$Y$3&amp;"_ST01"</f>
        <v>RSD_DTA2_SH_GEO_N_ST01</v>
      </c>
      <c r="Z76" s="26" t="str">
        <f>"Detached A2 SpHeat GSHP Standard (N)|"&amp;AG77</f>
        <v>Detached A2 SpHeat GSHP Standard (N)|</v>
      </c>
      <c r="AA76" s="57" t="str">
        <f>General!$B$2</f>
        <v>PJ</v>
      </c>
      <c r="AB76" s="57" t="str">
        <f>General!$B$5</f>
        <v>GW</v>
      </c>
      <c r="AC76" s="57" t="s">
        <v>723</v>
      </c>
      <c r="AD76" s="57"/>
      <c r="AE76" s="26"/>
      <c r="AF76" s="26"/>
      <c r="AG76" s="26"/>
      <c r="AH76" s="10"/>
    </row>
    <row r="77" spans="1:35" ht="12.75" customHeight="1" x14ac:dyDescent="0.25">
      <c r="A77" s="26"/>
      <c r="B77" s="26" t="str">
        <f>Y53</f>
        <v>RSD_APA1_SH_GEO_N_IM01</v>
      </c>
      <c r="C77" s="26" t="str">
        <f>Z53</f>
        <v>Apartment A1 SpHeat GSHP Improved(N)|</v>
      </c>
      <c r="D77" s="26" t="str">
        <f>Commodities!$D$341</f>
        <v>RSDELC</v>
      </c>
      <c r="E77" s="26" t="str">
        <f>E75</f>
        <v>RSD_APA1_SH</v>
      </c>
      <c r="F77" s="84">
        <f>G77</f>
        <v>2025</v>
      </c>
      <c r="G77" s="57">
        <f>BASE_YEAR+8</f>
        <v>2025</v>
      </c>
      <c r="H77" s="72">
        <v>4.3</v>
      </c>
      <c r="I77" s="72"/>
      <c r="J77" s="72"/>
      <c r="K77" s="72"/>
      <c r="L77" s="72"/>
      <c r="M77" s="72"/>
      <c r="N77" s="72">
        <v>919.37000988142302</v>
      </c>
      <c r="O77" s="72">
        <v>1.5889447236180905</v>
      </c>
      <c r="P77" s="72">
        <v>0</v>
      </c>
      <c r="Q77" s="72">
        <v>15</v>
      </c>
      <c r="R77" s="72">
        <v>31.536000000000001</v>
      </c>
      <c r="S77" s="26"/>
      <c r="W77" s="26"/>
      <c r="X77" s="26"/>
      <c r="Y77" s="26" t="str">
        <f>Commodities!$AD$17&amp;"_"&amp;RIGHT(Commodities!$D$182,3)&amp;"_"&amp;$Y$3&amp;"_ST02"</f>
        <v>RSD_DTA2_SH_GEO_N_ST02</v>
      </c>
      <c r="Z77" s="26" t="str">
        <f>"Detached A2 SpHeat &amp; SpCooling GSHP Standard (N)|"&amp;AG78</f>
        <v>Detached A2 SpHeat &amp; SpCooling GSHP Standard (N)|</v>
      </c>
      <c r="AA77" s="57" t="str">
        <f>General!$B$2</f>
        <v>PJ</v>
      </c>
      <c r="AB77" s="57" t="str">
        <f>General!$B$5</f>
        <v>GW</v>
      </c>
      <c r="AC77" s="57" t="s">
        <v>723</v>
      </c>
      <c r="AD77" s="57"/>
      <c r="AE77" s="26"/>
      <c r="AF77" s="26"/>
      <c r="AG77" s="26"/>
      <c r="AH77" s="10"/>
    </row>
    <row r="78" spans="1:35" ht="12.75" customHeight="1" x14ac:dyDescent="0.25">
      <c r="A78" s="26"/>
      <c r="D78" s="26" t="str">
        <f>Commodities!$D$182</f>
        <v>RSDRESGEO</v>
      </c>
      <c r="E78" s="10"/>
      <c r="F78" s="84">
        <f>F77</f>
        <v>2025</v>
      </c>
      <c r="G78" s="10"/>
      <c r="H78" s="72" t="s">
        <v>848</v>
      </c>
      <c r="I78" s="72"/>
      <c r="J78" s="72"/>
      <c r="K78" s="72"/>
      <c r="L78" s="72">
        <v>0.2</v>
      </c>
      <c r="M78" s="72"/>
      <c r="N78" s="72" t="s">
        <v>848</v>
      </c>
      <c r="O78" s="72" t="s">
        <v>848</v>
      </c>
      <c r="P78" s="72" t="s">
        <v>848</v>
      </c>
      <c r="Q78" s="72" t="s">
        <v>848</v>
      </c>
      <c r="R78" s="72">
        <v>31.536000000000001</v>
      </c>
      <c r="S78" s="26"/>
      <c r="W78" s="26"/>
      <c r="X78" s="26"/>
      <c r="Y78" s="26" t="str">
        <f>Commodities!$AD$17&amp;"_"&amp;RIGHT(Commodities!$D$182,3)&amp;"_"&amp;$Y$3&amp;"_IM01"</f>
        <v>RSD_DTA2_SH_GEO_N_IM01</v>
      </c>
      <c r="Z78" s="26" t="str">
        <f>"Detached A2 SpHeat GSHP Improved(N)|"&amp;AG79</f>
        <v>Detached A2 SpHeat GSHP Improved(N)|</v>
      </c>
      <c r="AA78" s="57" t="str">
        <f>General!$B$2</f>
        <v>PJ</v>
      </c>
      <c r="AB78" s="57" t="str">
        <f>General!$B$5</f>
        <v>GW</v>
      </c>
      <c r="AC78" s="57" t="s">
        <v>723</v>
      </c>
      <c r="AD78" s="57"/>
      <c r="AE78" s="26"/>
      <c r="AF78" s="26"/>
      <c r="AG78" s="26"/>
      <c r="AH78" s="10"/>
    </row>
    <row r="79" spans="1:35" ht="12.75" customHeight="1" x14ac:dyDescent="0.25">
      <c r="A79" s="26"/>
      <c r="B79" s="26" t="str">
        <f>Y54</f>
        <v>RSD_APA1_SH_GEO_N_IM02</v>
      </c>
      <c r="C79" s="26" t="str">
        <f>Z54</f>
        <v>Apartment A1 SpHeat &amp; SpCooling GSHP Improved (N)|</v>
      </c>
      <c r="D79" s="26" t="str">
        <f>Commodities!$D$341</f>
        <v>RSDELC</v>
      </c>
      <c r="E79" s="26" t="str">
        <f>E75</f>
        <v>RSD_APA1_SH</v>
      </c>
      <c r="F79" s="84">
        <f>G79</f>
        <v>2025</v>
      </c>
      <c r="G79" s="57">
        <f>BASE_YEAR+8</f>
        <v>2025</v>
      </c>
      <c r="H79" s="72">
        <v>4.5</v>
      </c>
      <c r="I79" s="72"/>
      <c r="J79" s="72"/>
      <c r="K79" s="72"/>
      <c r="L79" s="72"/>
      <c r="M79" s="72"/>
      <c r="N79" s="72">
        <v>983.72591057312263</v>
      </c>
      <c r="O79" s="72">
        <v>1.477718592964824</v>
      </c>
      <c r="P79" s="72">
        <v>0</v>
      </c>
      <c r="Q79" s="72">
        <v>15</v>
      </c>
      <c r="R79" s="72">
        <v>31.536000000000001</v>
      </c>
      <c r="S79" s="26"/>
      <c r="W79" s="26"/>
      <c r="X79" s="26"/>
      <c r="Y79" s="26" t="str">
        <f>Commodities!$AD$17&amp;"_"&amp;RIGHT(Commodities!$D$182,3)&amp;"_"&amp;$Y$3&amp;"_IM02"</f>
        <v>RSD_DTA2_SH_GEO_N_IM02</v>
      </c>
      <c r="Z79" s="26" t="str">
        <f>"Detached A2 SpHeat &amp; SpCooling GSHP Improved (N)|"&amp;AG79</f>
        <v>Detached A2 SpHeat &amp; SpCooling GSHP Improved (N)|</v>
      </c>
      <c r="AA79" s="57" t="str">
        <f>General!$B$2</f>
        <v>PJ</v>
      </c>
      <c r="AB79" s="57" t="str">
        <f>General!$B$5</f>
        <v>GW</v>
      </c>
      <c r="AC79" s="57" t="s">
        <v>723</v>
      </c>
      <c r="AD79" s="57"/>
      <c r="AE79" s="26"/>
      <c r="AF79" s="26"/>
      <c r="AG79" s="26"/>
      <c r="AH79" s="10"/>
    </row>
    <row r="80" spans="1:35" ht="12.75" customHeight="1" x14ac:dyDescent="0.25">
      <c r="A80" s="26"/>
      <c r="D80" s="26" t="str">
        <f>Commodities!$D$182</f>
        <v>RSDRESGEO</v>
      </c>
      <c r="E80" s="26" t="str">
        <f>E76</f>
        <v>RSD_APA1_SC</v>
      </c>
      <c r="F80" s="84">
        <f>F79</f>
        <v>2025</v>
      </c>
      <c r="G80" s="10"/>
      <c r="H80" s="72" t="s">
        <v>848</v>
      </c>
      <c r="I80" s="72"/>
      <c r="J80" s="72" t="s">
        <v>848</v>
      </c>
      <c r="K80" s="72"/>
      <c r="L80" s="72">
        <v>0.2</v>
      </c>
      <c r="M80" s="72"/>
      <c r="N80" s="72" t="s">
        <v>848</v>
      </c>
      <c r="O80" s="72" t="s">
        <v>848</v>
      </c>
      <c r="P80" s="72" t="s">
        <v>848</v>
      </c>
      <c r="Q80" s="72" t="s">
        <v>848</v>
      </c>
      <c r="R80" s="72">
        <v>31.536000000000001</v>
      </c>
      <c r="S80" s="26"/>
      <c r="W80" s="26"/>
      <c r="X80" s="26"/>
      <c r="Y80" s="26" t="str">
        <f>Commodities!$AD$17&amp;"_"&amp;LEFT(RIGHT(Commodities!$D$159,3),3)&amp;"_"&amp;$Y$3&amp;"_AD02"</f>
        <v>RSD_DTA2_SH_DSL_N_AD02</v>
      </c>
      <c r="Z80" s="26" t="str">
        <f>"Detached A2 SpHeat DieselOil Boiler Advanced (N)|"&amp;AG81</f>
        <v>Detached A2 SpHeat DieselOil Boiler Advanced (N)|</v>
      </c>
      <c r="AA80" s="57" t="str">
        <f>General!$B$2</f>
        <v>PJ</v>
      </c>
      <c r="AB80" s="57" t="str">
        <f>General!$B$5</f>
        <v>GW</v>
      </c>
      <c r="AC80" s="57" t="s">
        <v>723</v>
      </c>
      <c r="AD80" s="57"/>
      <c r="AE80" s="26"/>
      <c r="AF80" s="26"/>
      <c r="AG80" s="32"/>
      <c r="AH80" s="10"/>
    </row>
    <row r="81" spans="2:34" ht="12.75" customHeight="1" x14ac:dyDescent="0.25">
      <c r="B81" s="26" t="str">
        <f>Y55</f>
        <v>RSD_APA1_SH_DSL_N_AD02</v>
      </c>
      <c r="C81" s="26" t="str">
        <f>Z55</f>
        <v>Apartment A1 SpHeat DieselOil Advanced (N)|</v>
      </c>
      <c r="D81" s="26" t="str">
        <f>D40</f>
        <v>RSDOILDSL</v>
      </c>
      <c r="E81" s="26" t="str">
        <f>E55</f>
        <v>RSD_APA1_SH</v>
      </c>
      <c r="F81" s="84">
        <v>2020</v>
      </c>
      <c r="G81" s="57">
        <f>F81</f>
        <v>2020</v>
      </c>
      <c r="H81" s="72">
        <f>H58</f>
        <v>0.94500000000000006</v>
      </c>
      <c r="I81" s="72"/>
      <c r="J81" s="72"/>
      <c r="K81" s="72"/>
      <c r="L81" s="72"/>
      <c r="M81" s="72"/>
      <c r="N81" s="72">
        <f>N58</f>
        <v>234</v>
      </c>
      <c r="O81" s="72">
        <f>O58</f>
        <v>4</v>
      </c>
      <c r="P81" s="72">
        <f>P58</f>
        <v>0</v>
      </c>
      <c r="Q81" s="72">
        <f>Q58</f>
        <v>20</v>
      </c>
      <c r="R81" s="72">
        <f>R58</f>
        <v>31.536000000000001</v>
      </c>
      <c r="S81" s="26"/>
      <c r="W81" s="26"/>
      <c r="X81" s="26"/>
      <c r="Y81" s="26" t="str">
        <f>Commodities!$AD$17&amp;"_"&amp;LEFT(RIGHT(Commodities!$D$161,3),3)&amp;"_"&amp;$Y$3&amp;"_AD02"</f>
        <v>RSD_DTA2_SH_LPG_N_AD02</v>
      </c>
      <c r="Z81" s="26" t="str">
        <f>"Detached A2 SpHeat LPG Boiler Advanced (N)|"&amp;AG82</f>
        <v>Detached A2 SpHeat LPG Boiler Advanced (N)|</v>
      </c>
      <c r="AA81" s="57" t="str">
        <f>General!$B$2</f>
        <v>PJ</v>
      </c>
      <c r="AB81" s="57" t="str">
        <f>General!$B$5</f>
        <v>GW</v>
      </c>
      <c r="AC81" s="57" t="s">
        <v>723</v>
      </c>
      <c r="AD81" s="57"/>
      <c r="AE81" s="26"/>
      <c r="AF81" s="26"/>
      <c r="AG81" s="32"/>
      <c r="AH81" s="10"/>
    </row>
    <row r="82" spans="2:34" ht="12.75" customHeight="1" x14ac:dyDescent="0.25">
      <c r="B82" s="26"/>
      <c r="C82" s="26"/>
      <c r="D82" s="26"/>
      <c r="E82" s="26" t="str">
        <f>E56</f>
        <v>RSD_APA1_WH</v>
      </c>
      <c r="F82" s="84">
        <v>2020</v>
      </c>
      <c r="G82" s="10"/>
      <c r="H82" s="72"/>
      <c r="I82" s="72">
        <f>I59</f>
        <v>0.94500000000000006</v>
      </c>
      <c r="J82" s="72"/>
      <c r="K82" s="72"/>
      <c r="L82" s="72"/>
      <c r="M82" s="72"/>
      <c r="N82" s="72"/>
      <c r="O82" s="72"/>
      <c r="P82" s="72"/>
      <c r="Q82" s="72"/>
      <c r="R82" s="72"/>
      <c r="S82" s="26"/>
      <c r="W82" s="26"/>
      <c r="X82" s="26"/>
      <c r="Y82" s="26" t="str">
        <f>Commodities!$AD$18&amp;"_"&amp;RIGHT(Commodities!$D$153,3)&amp;"_"&amp;$Y$3&amp;"_ST"</f>
        <v>RSD_APA2_SH_BIC_N_ST</v>
      </c>
      <c r="Z82" s="26" t="str">
        <f>"Apartment A2 SpHeat Coal Boiler Standard (N)|"&amp;AG80</f>
        <v>Apartment A2 SpHeat Coal Boiler Standard (N)|</v>
      </c>
      <c r="AA82" s="57" t="str">
        <f>General!$B$2</f>
        <v>PJ</v>
      </c>
      <c r="AB82" s="57" t="str">
        <f>General!$B$5</f>
        <v>GW</v>
      </c>
      <c r="AC82" s="57" t="s">
        <v>723</v>
      </c>
      <c r="AD82" s="57"/>
      <c r="AE82" s="32"/>
      <c r="AF82" s="32"/>
      <c r="AG82" s="32"/>
      <c r="AH82" s="10"/>
    </row>
    <row r="83" spans="2:34" ht="12.75" customHeight="1" x14ac:dyDescent="0.25">
      <c r="B83" s="26" t="str">
        <f>Y56</f>
        <v>RSD_APA1_SH_LPG_N_AD02</v>
      </c>
      <c r="C83" s="26" t="str">
        <f>Z56</f>
        <v>Apartment A1 SpHeat LPG Boiler Advanced (N)|</v>
      </c>
      <c r="D83" s="26" t="str">
        <f>D42</f>
        <v>RSDOILLPG</v>
      </c>
      <c r="E83" s="26" t="str">
        <f>E81</f>
        <v>RSD_APA1_SH</v>
      </c>
      <c r="F83" s="84">
        <v>2020</v>
      </c>
      <c r="G83" s="57">
        <f>F83</f>
        <v>2020</v>
      </c>
      <c r="H83" s="72">
        <f>H81</f>
        <v>0.94500000000000006</v>
      </c>
      <c r="I83" s="72"/>
      <c r="J83" s="72"/>
      <c r="K83" s="72"/>
      <c r="L83" s="72"/>
      <c r="M83" s="72"/>
      <c r="N83" s="72">
        <f>N81</f>
        <v>234</v>
      </c>
      <c r="O83" s="72">
        <f>O81</f>
        <v>4</v>
      </c>
      <c r="P83" s="72">
        <f>P81</f>
        <v>0</v>
      </c>
      <c r="Q83" s="72">
        <f>Q81</f>
        <v>20</v>
      </c>
      <c r="R83" s="72">
        <f>R81</f>
        <v>31.536000000000001</v>
      </c>
      <c r="S83" s="26"/>
      <c r="W83" s="26"/>
      <c r="X83" s="26"/>
      <c r="Y83" s="26" t="str">
        <f>Commodities!$AD$18&amp;"_"&amp;RIGHT(Commodities!$D$167,3)&amp;"_"&amp;$Y$3&amp;"_ST01"</f>
        <v>RSD_APA2_SH_LOG_N_ST01</v>
      </c>
      <c r="Z83" s="26" t="str">
        <f>"Apartment A2 SpHeat Wood Stove Standard (N)|"&amp;AG81</f>
        <v>Apartment A2 SpHeat Wood Stove Standard (N)|</v>
      </c>
      <c r="AA83" s="57" t="str">
        <f>General!$B$2</f>
        <v>PJ</v>
      </c>
      <c r="AB83" s="57" t="str">
        <f>General!$B$5</f>
        <v>GW</v>
      </c>
      <c r="AC83" s="57" t="s">
        <v>723</v>
      </c>
      <c r="AD83" s="57"/>
      <c r="AE83" s="32"/>
      <c r="AF83" s="32"/>
      <c r="AG83" s="32"/>
      <c r="AH83" s="10"/>
    </row>
    <row r="84" spans="2:34" ht="12.75" customHeight="1" x14ac:dyDescent="0.25">
      <c r="B84" s="26"/>
      <c r="C84" s="26"/>
      <c r="D84" s="26"/>
      <c r="E84" s="26" t="str">
        <f>E82</f>
        <v>RSD_APA1_WH</v>
      </c>
      <c r="F84" s="84">
        <v>2020</v>
      </c>
      <c r="G84" s="10"/>
      <c r="H84" s="72"/>
      <c r="I84" s="72">
        <f>I82</f>
        <v>0.94500000000000006</v>
      </c>
      <c r="J84" s="72"/>
      <c r="K84" s="72"/>
      <c r="L84" s="72"/>
      <c r="M84" s="72"/>
      <c r="N84" s="72"/>
      <c r="O84" s="72"/>
      <c r="P84" s="72"/>
      <c r="Q84" s="72"/>
      <c r="R84" s="72"/>
      <c r="S84" s="26"/>
      <c r="W84" s="26"/>
      <c r="X84" s="26"/>
      <c r="Y84" s="26" t="str">
        <f>Commodities!$AD$18&amp;"_"&amp;RIGHT(Commodities!$D$167,3)&amp;"_"&amp;$Y$3&amp;"_ST02"</f>
        <v>RSD_APA2_SH_LOG_N_ST02</v>
      </c>
      <c r="Z84" s="26" t="str">
        <f>"Apartment A2 SpHeat Wood Boiler Standard (N)|"&amp;AG86</f>
        <v>Apartment A2 SpHeat Wood Boiler Standard (N)|</v>
      </c>
      <c r="AA84" s="57" t="str">
        <f>General!$B$2</f>
        <v>PJ</v>
      </c>
      <c r="AB84" s="57" t="str">
        <f>General!$B$5</f>
        <v>GW</v>
      </c>
      <c r="AC84" s="57" t="s">
        <v>723</v>
      </c>
      <c r="AD84" s="57"/>
      <c r="AE84" s="26"/>
      <c r="AF84" s="32"/>
      <c r="AG84" s="32"/>
      <c r="AH84" s="10"/>
    </row>
    <row r="85" spans="2:34" ht="12.75" customHeight="1" x14ac:dyDescent="0.25">
      <c r="B85" s="26"/>
      <c r="C85" s="26"/>
      <c r="D85" s="26"/>
      <c r="E85" s="26"/>
      <c r="F85" s="57"/>
      <c r="G85" s="57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26"/>
      <c r="W85" s="26"/>
      <c r="X85" s="26"/>
      <c r="Y85" s="26" t="str">
        <f>Commodities!$AD$18&amp;"_"&amp;RIGHT(Commodities!$D$177,3)&amp;"_"&amp;$Y$3&amp;"_ST01"</f>
        <v>RSD_APA2_SH_PLT_N_ST01</v>
      </c>
      <c r="Z85" s="26" t="str">
        <f>"Apartment A2 SpHeat Pellet Boiler Standard (N)|"&amp;AG87</f>
        <v>Apartment A2 SpHeat Pellet Boiler Standard (N)|</v>
      </c>
      <c r="AA85" s="57" t="str">
        <f>General!$B$2</f>
        <v>PJ</v>
      </c>
      <c r="AB85" s="57" t="str">
        <f>General!$B$5</f>
        <v>GW</v>
      </c>
      <c r="AC85" s="57" t="s">
        <v>723</v>
      </c>
      <c r="AD85" s="57"/>
      <c r="AE85" s="32"/>
      <c r="AF85" s="32"/>
      <c r="AG85" s="32"/>
      <c r="AH85" s="10"/>
    </row>
    <row r="86" spans="2:34" ht="12.75" customHeight="1" x14ac:dyDescent="0.25">
      <c r="B86" s="10"/>
      <c r="C86" s="10"/>
      <c r="D86" s="10"/>
      <c r="F86" s="31" t="s">
        <v>0</v>
      </c>
      <c r="G86" s="31"/>
      <c r="H86" s="74"/>
      <c r="I86" s="74"/>
      <c r="J86" s="74"/>
      <c r="K86" s="10"/>
      <c r="L86" s="10"/>
      <c r="M86" s="10"/>
      <c r="N86" s="10"/>
      <c r="O86" s="10"/>
      <c r="P86" s="10"/>
      <c r="Q86" s="10"/>
      <c r="R86" s="10"/>
      <c r="W86" s="26"/>
      <c r="X86" s="26"/>
      <c r="Y86" s="26" t="str">
        <f>Commodities!$AD$18&amp;"_"&amp;RIGHT(Commodities!$D$177,3)&amp;"_"&amp;$Y$3&amp;"_IM01"</f>
        <v>RSD_APA2_SH_PLT_N_IM01</v>
      </c>
      <c r="Z86" s="26" t="str">
        <f>"Apartment A2 SpHeat Pellet Boiler Improved (N)|"&amp;AG88</f>
        <v>Apartment A2 SpHeat Pellet Boiler Improved (N)|</v>
      </c>
      <c r="AA86" s="57" t="str">
        <f>General!$B$2</f>
        <v>PJ</v>
      </c>
      <c r="AB86" s="57" t="str">
        <f>General!$B$5</f>
        <v>GW</v>
      </c>
      <c r="AC86" s="57" t="s">
        <v>723</v>
      </c>
      <c r="AD86" s="57"/>
      <c r="AE86" s="26"/>
      <c r="AF86" s="32"/>
      <c r="AG86" s="32"/>
      <c r="AH86" s="134"/>
    </row>
    <row r="87" spans="2:34" ht="12.75" customHeight="1" x14ac:dyDescent="0.25">
      <c r="B87" s="33" t="s">
        <v>1</v>
      </c>
      <c r="C87" s="33" t="s">
        <v>794</v>
      </c>
      <c r="D87" s="33" t="s">
        <v>3</v>
      </c>
      <c r="E87" s="33" t="s">
        <v>4</v>
      </c>
      <c r="F87" s="34" t="s">
        <v>803</v>
      </c>
      <c r="G87" s="35" t="s">
        <v>14</v>
      </c>
      <c r="H87" s="36" t="s">
        <v>16</v>
      </c>
      <c r="I87" s="36" t="str">
        <f>"CEFF~"&amp;E97</f>
        <v>CEFF~RSD_DTA2_WH</v>
      </c>
      <c r="J87" s="36" t="str">
        <f>"CEFF~"&amp;E107</f>
        <v>CEFF~RSD_DTA2_SC</v>
      </c>
      <c r="K87" s="36" t="s">
        <v>789</v>
      </c>
      <c r="L87" s="36" t="str">
        <f>"SHARE~"&amp;Commodities!$D$182</f>
        <v>SHARE~RSDRESGEO</v>
      </c>
      <c r="M87" s="36" t="str">
        <f>"SHARE~UP~"&amp;E97</f>
        <v>SHARE~UP~RSD_DTA2_WH</v>
      </c>
      <c r="N87" s="36" t="s">
        <v>36</v>
      </c>
      <c r="O87" s="36" t="s">
        <v>5</v>
      </c>
      <c r="P87" s="36" t="s">
        <v>34</v>
      </c>
      <c r="Q87" s="36" t="s">
        <v>780</v>
      </c>
      <c r="R87" s="36" t="s">
        <v>773</v>
      </c>
      <c r="W87" s="26"/>
      <c r="X87" s="26"/>
      <c r="Y87" s="26" t="str">
        <f>Commodities!$AD$18&amp;"_"&amp;LEFT(RIGHT(Commodities!$D$166,6),3)&amp;"_"&amp;$Y$3&amp;"_ST01"</f>
        <v>RSD_APA2_SH_GAS_N_ST01</v>
      </c>
      <c r="Z87" s="26" t="str">
        <f>"Apartment A2 SpHeat Gas Boiler Condensing (N)|"&amp;AG89</f>
        <v>Apartment A2 SpHeat Gas Boiler Condensing (N)|</v>
      </c>
      <c r="AA87" s="57" t="str">
        <f>General!$B$2</f>
        <v>PJ</v>
      </c>
      <c r="AB87" s="57" t="str">
        <f>General!$B$5</f>
        <v>GW</v>
      </c>
      <c r="AC87" s="57" t="s">
        <v>723</v>
      </c>
      <c r="AD87" s="57"/>
      <c r="AE87" s="26"/>
      <c r="AF87" s="32"/>
      <c r="AG87" s="32"/>
    </row>
    <row r="88" spans="2:34" ht="12.75" customHeight="1" thickBot="1" x14ac:dyDescent="0.3">
      <c r="B88" s="41" t="s">
        <v>795</v>
      </c>
      <c r="C88" s="41" t="s">
        <v>28</v>
      </c>
      <c r="D88" s="41" t="s">
        <v>32</v>
      </c>
      <c r="E88" s="41" t="s">
        <v>33</v>
      </c>
      <c r="F88" s="42"/>
      <c r="G88" s="43" t="s">
        <v>35</v>
      </c>
      <c r="H88" s="41" t="s">
        <v>813</v>
      </c>
      <c r="I88" s="41" t="s">
        <v>812</v>
      </c>
      <c r="J88" s="41" t="s">
        <v>811</v>
      </c>
      <c r="K88" s="41" t="s">
        <v>805</v>
      </c>
      <c r="L88" s="41" t="s">
        <v>814</v>
      </c>
      <c r="M88" s="41" t="s">
        <v>810</v>
      </c>
      <c r="N88" s="43" t="s">
        <v>806</v>
      </c>
      <c r="O88" s="41" t="s">
        <v>37</v>
      </c>
      <c r="P88" s="41" t="s">
        <v>38</v>
      </c>
      <c r="Q88" s="41" t="s">
        <v>781</v>
      </c>
      <c r="R88" s="41" t="s">
        <v>807</v>
      </c>
      <c r="W88" s="26"/>
      <c r="X88" s="26"/>
      <c r="Y88" s="26" t="str">
        <f>Commodities!$AD$18&amp;"_"&amp;LEFT(RIGHT(Commodities!$D$166,6),3)&amp;"_"&amp;$Y$3&amp;"_ST02"</f>
        <v>RSD_APA2_SH_GAS_N_ST02</v>
      </c>
      <c r="Z88" s="26" t="str">
        <f>"Apartment A2 Combi Gas Boiler Condensing (N)|"&amp;AG90</f>
        <v>Apartment A2 Combi Gas Boiler Condensing (N)|</v>
      </c>
      <c r="AA88" s="57" t="str">
        <f>General!$B$2</f>
        <v>PJ</v>
      </c>
      <c r="AB88" s="57" t="str">
        <f>General!$B$5</f>
        <v>GW</v>
      </c>
      <c r="AC88" s="57" t="s">
        <v>723</v>
      </c>
      <c r="AD88" s="57"/>
      <c r="AE88" s="26"/>
      <c r="AF88" s="32"/>
      <c r="AG88" s="32"/>
    </row>
    <row r="89" spans="2:34" ht="12.75" customHeight="1" x14ac:dyDescent="0.25">
      <c r="B89" s="47"/>
      <c r="C89" s="48"/>
      <c r="D89" s="48"/>
      <c r="E89" s="48" t="s">
        <v>799</v>
      </c>
      <c r="F89" s="49"/>
      <c r="G89" s="48"/>
      <c r="H89" s="48" t="s">
        <v>808</v>
      </c>
      <c r="I89" s="48" t="s">
        <v>808</v>
      </c>
      <c r="J89" s="48" t="s">
        <v>808</v>
      </c>
      <c r="K89" s="48" t="s">
        <v>808</v>
      </c>
      <c r="L89" s="48" t="s">
        <v>808</v>
      </c>
      <c r="M89" s="48" t="s">
        <v>808</v>
      </c>
      <c r="N89" s="48" t="str">
        <f>General!$D$14</f>
        <v>$/kW</v>
      </c>
      <c r="O89" s="48" t="str">
        <f>General!$D$14</f>
        <v>$/kW</v>
      </c>
      <c r="P89" s="48" t="str">
        <f>General!$D$15</f>
        <v>$/GJ</v>
      </c>
      <c r="Q89" s="48" t="str">
        <f>General!$D$21</f>
        <v>Years</v>
      </c>
      <c r="R89" s="48" t="str">
        <f>General!$E$16</f>
        <v>PJ/GW</v>
      </c>
      <c r="W89" s="26"/>
      <c r="X89" s="26"/>
      <c r="Y89" s="26" t="str">
        <f>Commodities!$AD$18&amp;"_"&amp;LEFT(RIGHT(Commodities!$D$166,6),3)&amp;"_"&amp;$Y$3&amp;"_AD01"</f>
        <v>RSD_APA2_SH_GAS_N_AD01</v>
      </c>
      <c r="Z89" s="26" t="str">
        <f>"Apartment A2 SpHeat Gas Boiler Condensing Improved (N)|"&amp;AG91</f>
        <v>Apartment A2 SpHeat Gas Boiler Condensing Improved (N)|</v>
      </c>
      <c r="AA89" s="57" t="str">
        <f>General!$B$2</f>
        <v>PJ</v>
      </c>
      <c r="AB89" s="57" t="str">
        <f>General!$B$5</f>
        <v>GW</v>
      </c>
      <c r="AC89" s="57" t="s">
        <v>723</v>
      </c>
      <c r="AD89" s="57"/>
      <c r="AE89" s="26"/>
      <c r="AF89" s="32"/>
      <c r="AG89" s="32"/>
    </row>
    <row r="90" spans="2:34" ht="12.75" customHeight="1" x14ac:dyDescent="0.25">
      <c r="B90" s="26" t="str">
        <f t="shared" ref="B90:C96" si="23">Y57</f>
        <v>RSD_DTA2_SH_BIC_N_ST</v>
      </c>
      <c r="C90" s="26" t="str">
        <f t="shared" si="23"/>
        <v>Detached A2 SpHeat Coal Boiler Standard (N)|</v>
      </c>
      <c r="D90" s="26" t="str">
        <f>Commodities!$D$153</f>
        <v>RSDCOABIC</v>
      </c>
      <c r="E90" s="26" t="str">
        <f>Commodities!$AD$17</f>
        <v>RSD_DTA2_SH</v>
      </c>
      <c r="F90" s="84">
        <f t="shared" ref="F90:F96" si="24">G90</f>
        <v>2018</v>
      </c>
      <c r="G90" s="57">
        <f>BASE_YEAR+1</f>
        <v>2018</v>
      </c>
      <c r="H90" s="72">
        <v>0.65</v>
      </c>
      <c r="I90" s="72"/>
      <c r="J90" s="72"/>
      <c r="K90" s="72"/>
      <c r="L90" s="72"/>
      <c r="M90" s="72"/>
      <c r="N90" s="72">
        <v>250</v>
      </c>
      <c r="O90" s="72">
        <f>N90*2%</f>
        <v>5</v>
      </c>
      <c r="P90" s="72">
        <v>0</v>
      </c>
      <c r="Q90" s="72">
        <v>15</v>
      </c>
      <c r="R90" s="72">
        <v>31.536000000000001</v>
      </c>
      <c r="W90" s="26"/>
      <c r="X90" s="26"/>
      <c r="Y90" s="26" t="str">
        <f>Commodities!$AD$18&amp;"_"&amp;LEFT(RIGHT(Commodities!$D$166,6),3)&amp;"_"&amp;$Y$3&amp;"_AD02"</f>
        <v>RSD_APA2_SH_GAS_N_AD02</v>
      </c>
      <c r="Z90" s="26" t="str">
        <f>"Apartment A2 Combi Gas Boiler Condensing (N)|"&amp;AG92</f>
        <v>Apartment A2 Combi Gas Boiler Condensing (N)|</v>
      </c>
      <c r="AA90" s="57" t="str">
        <f>General!$B$2</f>
        <v>PJ</v>
      </c>
      <c r="AB90" s="57" t="str">
        <f>General!$B$5</f>
        <v>GW</v>
      </c>
      <c r="AC90" s="57" t="s">
        <v>723</v>
      </c>
      <c r="AD90" s="57"/>
      <c r="AE90" s="26"/>
      <c r="AF90" s="32"/>
      <c r="AG90" s="32"/>
    </row>
    <row r="91" spans="2:34" ht="12.75" customHeight="1" x14ac:dyDescent="0.25">
      <c r="B91" s="26" t="str">
        <f t="shared" si="23"/>
        <v>RSD_DTA2_SH_LOG_N_ST01</v>
      </c>
      <c r="C91" s="26" t="str">
        <f t="shared" si="23"/>
        <v>Detached A2 SpHeat Wood Stove Standard (N)|</v>
      </c>
      <c r="D91" s="26" t="str">
        <f>Commodities!$D$167</f>
        <v>RSDBIOLOG</v>
      </c>
      <c r="E91" s="26" t="str">
        <f>E90</f>
        <v>RSD_DTA2_SH</v>
      </c>
      <c r="F91" s="84">
        <f t="shared" si="24"/>
        <v>2018</v>
      </c>
      <c r="G91" s="57">
        <f>BASE_YEAR+1</f>
        <v>2018</v>
      </c>
      <c r="H91" s="72">
        <v>0.5</v>
      </c>
      <c r="I91" s="72"/>
      <c r="J91" s="72"/>
      <c r="K91" s="72"/>
      <c r="L91" s="72"/>
      <c r="M91" s="72"/>
      <c r="N91" s="72">
        <v>30</v>
      </c>
      <c r="O91" s="72">
        <f>N91*2%</f>
        <v>0.6</v>
      </c>
      <c r="P91" s="72">
        <v>0</v>
      </c>
      <c r="Q91" s="72">
        <v>15</v>
      </c>
      <c r="R91" s="72">
        <v>31.536000000000001</v>
      </c>
      <c r="W91" s="26"/>
      <c r="X91" s="26"/>
      <c r="Y91" s="26" t="str">
        <f>Commodities!$AD$18&amp;"_"&amp;RIGHT(Commodities!$D$347,3)&amp;"_"&amp;$Y$3&amp;"_ST01"</f>
        <v>RSD_APA2_SH_LTH_N_ST01</v>
      </c>
      <c r="Z91" s="26" t="str">
        <f>"Apartment A2 SpHeat Dist. Heat Standard (N)|"&amp;AG93</f>
        <v>Apartment A2 SpHeat Dist. Heat Standard (N)|</v>
      </c>
      <c r="AA91" s="57" t="str">
        <f>General!$B$2</f>
        <v>PJ</v>
      </c>
      <c r="AB91" s="57" t="str">
        <f>General!$B$5</f>
        <v>GW</v>
      </c>
      <c r="AC91" s="57" t="s">
        <v>723</v>
      </c>
      <c r="AD91" s="57"/>
      <c r="AE91" s="26"/>
      <c r="AF91" s="32"/>
      <c r="AG91" s="32"/>
    </row>
    <row r="92" spans="2:34" ht="12.75" customHeight="1" x14ac:dyDescent="0.25">
      <c r="B92" s="26" t="str">
        <f t="shared" si="23"/>
        <v>RSD_DTA2_SH_LOG_N_ST02</v>
      </c>
      <c r="C92" s="26" t="str">
        <f t="shared" si="23"/>
        <v>Detached A2 SpHeat Wood Boiler Standard (N)|</v>
      </c>
      <c r="D92" s="26" t="str">
        <f>Commodities!$D$167</f>
        <v>RSDBIOLOG</v>
      </c>
      <c r="E92" s="26" t="str">
        <f>E91</f>
        <v>RSD_DTA2_SH</v>
      </c>
      <c r="F92" s="84">
        <f t="shared" si="24"/>
        <v>2018</v>
      </c>
      <c r="G92" s="57">
        <f>BASE_YEAR+1</f>
        <v>2018</v>
      </c>
      <c r="H92" s="72">
        <v>0.65</v>
      </c>
      <c r="I92" s="72"/>
      <c r="J92" s="72"/>
      <c r="K92" s="72"/>
      <c r="L92" s="72"/>
      <c r="M92" s="72"/>
      <c r="N92" s="72">
        <v>285</v>
      </c>
      <c r="O92" s="72">
        <f t="shared" ref="O92:O94" si="25">N92*2%</f>
        <v>5.7</v>
      </c>
      <c r="P92" s="72">
        <v>0</v>
      </c>
      <c r="Q92" s="72">
        <v>20</v>
      </c>
      <c r="R92" s="72">
        <v>31.536000000000001</v>
      </c>
      <c r="W92" s="26"/>
      <c r="X92" s="26"/>
      <c r="Y92" s="26" t="str">
        <f>Commodities!$AD$18&amp;"_"&amp;RIGHT(Commodities!$D$347,3)&amp;"_"&amp;$Y$3&amp;"_IM01"</f>
        <v>RSD_APA2_SH_LTH_N_IM01</v>
      </c>
      <c r="Z92" s="26" t="str">
        <f>"Apartment A2 SpHeat Dist. Heat Improved (N)|"&amp;AG94</f>
        <v>Apartment A2 SpHeat Dist. Heat Improved (N)|</v>
      </c>
      <c r="AA92" s="57" t="str">
        <f>General!$B$2</f>
        <v>PJ</v>
      </c>
      <c r="AB92" s="57" t="str">
        <f>General!$B$5</f>
        <v>GW</v>
      </c>
      <c r="AC92" s="57" t="s">
        <v>723</v>
      </c>
      <c r="AD92" s="57"/>
      <c r="AE92" s="26"/>
      <c r="AF92" s="32"/>
      <c r="AG92" s="32"/>
    </row>
    <row r="93" spans="2:34" ht="12.75" customHeight="1" x14ac:dyDescent="0.25">
      <c r="B93" s="26" t="str">
        <f t="shared" si="23"/>
        <v>RSD_DTA2_SH_PLT_N_ST01</v>
      </c>
      <c r="C93" s="26" t="str">
        <f t="shared" si="23"/>
        <v>Detached A2 SpHeat Pellet Boiler Standard (N)|</v>
      </c>
      <c r="D93" s="26" t="str">
        <f>Commodities!$D$177</f>
        <v>RSDBIOPLT</v>
      </c>
      <c r="E93" s="26" t="str">
        <f>E92</f>
        <v>RSD_DTA2_SH</v>
      </c>
      <c r="F93" s="84">
        <f t="shared" si="24"/>
        <v>2018</v>
      </c>
      <c r="G93" s="57">
        <f>BASE_YEAR+1</f>
        <v>2018</v>
      </c>
      <c r="H93" s="72">
        <v>0.65</v>
      </c>
      <c r="I93" s="72"/>
      <c r="J93" s="72"/>
      <c r="K93" s="72"/>
      <c r="L93" s="72"/>
      <c r="M93" s="72"/>
      <c r="N93" s="72">
        <v>210</v>
      </c>
      <c r="O93" s="72">
        <f t="shared" si="25"/>
        <v>4.2</v>
      </c>
      <c r="P93" s="72">
        <v>0</v>
      </c>
      <c r="Q93" s="72">
        <v>15</v>
      </c>
      <c r="R93" s="72">
        <v>31.536000000000001</v>
      </c>
      <c r="W93" s="26"/>
      <c r="X93" s="26"/>
      <c r="Y93" s="26" t="str">
        <f>Commodities!$AD$18&amp;"_"&amp;RIGHT(Commodities!$D$347,3)&amp;"_"&amp;$Y$3&amp;"_AD01"</f>
        <v>RSD_APA2_SH_LTH_N_AD01</v>
      </c>
      <c r="Z93" s="26" t="str">
        <f>"Apartment A2 SpHeat Dist. Heat Advanced (N)|"&amp;AG95</f>
        <v>Apartment A2 SpHeat Dist. Heat Advanced (N)|</v>
      </c>
      <c r="AA93" s="57" t="str">
        <f>General!$B$2</f>
        <v>PJ</v>
      </c>
      <c r="AB93" s="57" t="str">
        <f>General!$B$5</f>
        <v>GW</v>
      </c>
      <c r="AC93" s="57" t="s">
        <v>723</v>
      </c>
      <c r="AD93" s="57"/>
      <c r="AE93" s="26"/>
      <c r="AF93" s="32"/>
      <c r="AG93" s="32"/>
    </row>
    <row r="94" spans="2:34" ht="12.75" customHeight="1" x14ac:dyDescent="0.25">
      <c r="B94" s="26" t="str">
        <f t="shared" si="23"/>
        <v>RSD_DTA2_SH_PLT_N_IM01</v>
      </c>
      <c r="C94" s="26" t="str">
        <f t="shared" si="23"/>
        <v>Detached A2 SpHeat Pellet Boiler Improved (N)|</v>
      </c>
      <c r="D94" s="26" t="str">
        <f>Commodities!$D$177</f>
        <v>RSDBIOPLT</v>
      </c>
      <c r="E94" s="26" t="str">
        <f>E93</f>
        <v>RSD_DTA2_SH</v>
      </c>
      <c r="F94" s="84">
        <f t="shared" si="24"/>
        <v>2020</v>
      </c>
      <c r="G94" s="57">
        <f>BASE_YEAR+3</f>
        <v>2020</v>
      </c>
      <c r="H94" s="72">
        <v>0.7</v>
      </c>
      <c r="I94" s="72"/>
      <c r="J94" s="72"/>
      <c r="K94" s="72"/>
      <c r="L94" s="72"/>
      <c r="M94" s="72"/>
      <c r="N94" s="72">
        <v>230</v>
      </c>
      <c r="O94" s="72">
        <f t="shared" si="25"/>
        <v>4.6000000000000005</v>
      </c>
      <c r="P94" s="72">
        <v>0</v>
      </c>
      <c r="Q94" s="72">
        <v>15</v>
      </c>
      <c r="R94" s="72">
        <v>31.536000000000001</v>
      </c>
      <c r="W94" s="26"/>
      <c r="X94" s="26"/>
      <c r="Y94" s="26" t="str">
        <f>Commodities!$AD$18&amp;"_"&amp;RIGHT(Commodities!$D$340,3)&amp;"_"&amp;$Y$3&amp;"_ST01"</f>
        <v>RSD_APA2_SH_ELC_N_ST01</v>
      </c>
      <c r="Z94" s="26" t="str">
        <f>"Apartment A2 SpHeat Electric Heater Standard (N)|"&amp;AG96</f>
        <v>Apartment A2 SpHeat Electric Heater Standard (N)|</v>
      </c>
      <c r="AA94" s="57" t="str">
        <f>General!$B$2</f>
        <v>PJ</v>
      </c>
      <c r="AB94" s="57" t="str">
        <f>General!$B$5</f>
        <v>GW</v>
      </c>
      <c r="AC94" s="57" t="s">
        <v>723</v>
      </c>
      <c r="AD94" s="57"/>
      <c r="AE94" s="26"/>
      <c r="AF94" s="32"/>
      <c r="AG94" s="32"/>
    </row>
    <row r="95" spans="2:34" ht="12.75" customHeight="1" x14ac:dyDescent="0.25">
      <c r="B95" s="26" t="str">
        <f t="shared" si="23"/>
        <v>RSD_DTA2_SH_GAS_N_ST01</v>
      </c>
      <c r="C95" s="26" t="str">
        <f t="shared" si="23"/>
        <v>Detached A2 SpHeat Gas Boiler Condensing (N)|</v>
      </c>
      <c r="D95" s="26" t="str">
        <f>Commodities!$D$166</f>
        <v>RSDGASNAT</v>
      </c>
      <c r="E95" s="26" t="str">
        <f t="shared" ref="E95:E96" si="26">E94</f>
        <v>RSD_DTA2_SH</v>
      </c>
      <c r="F95" s="84">
        <f t="shared" si="24"/>
        <v>2018</v>
      </c>
      <c r="G95" s="57">
        <f>BASE_YEAR+1</f>
        <v>2018</v>
      </c>
      <c r="H95" s="72">
        <v>0.85</v>
      </c>
      <c r="I95" s="72"/>
      <c r="J95" s="72"/>
      <c r="K95" s="72"/>
      <c r="L95" s="72"/>
      <c r="M95" s="72"/>
      <c r="N95" s="72">
        <f>ROUNDUP(114.94542626643*1.5,0)</f>
        <v>173</v>
      </c>
      <c r="O95" s="72">
        <f>ROUNDDOWN(4.49036663406935,0)</f>
        <v>4</v>
      </c>
      <c r="P95" s="72">
        <v>0</v>
      </c>
      <c r="Q95" s="72">
        <v>20</v>
      </c>
      <c r="R95" s="72">
        <v>31.536000000000001</v>
      </c>
      <c r="W95" s="26"/>
      <c r="X95" s="26"/>
      <c r="Y95" s="26" t="str">
        <f>Commodities!$AD$18&amp;"_"&amp;RIGHT(Commodities!$D$340,3)&amp;"_"&amp;$Y$3&amp;"_ST02"</f>
        <v>RSD_APA2_SH_ELC_N_ST02</v>
      </c>
      <c r="Z95" s="26" t="str">
        <f>"Apartment A2 SpHeat ASHP Standard (N)|"&amp;AG97</f>
        <v>Apartment A2 SpHeat ASHP Standard (N)|</v>
      </c>
      <c r="AA95" s="57" t="str">
        <f>General!$B$2</f>
        <v>PJ</v>
      </c>
      <c r="AB95" s="57" t="str">
        <f>General!$B$5</f>
        <v>GW</v>
      </c>
      <c r="AC95" s="57" t="s">
        <v>723</v>
      </c>
      <c r="AD95" s="57"/>
      <c r="AE95" s="26"/>
      <c r="AF95" s="32"/>
      <c r="AG95" s="32"/>
    </row>
    <row r="96" spans="2:34" ht="12.75" customHeight="1" x14ac:dyDescent="0.25">
      <c r="B96" s="26" t="str">
        <f t="shared" si="23"/>
        <v>RSD_DTA2_SH_GAS_N_ST02</v>
      </c>
      <c r="C96" s="26" t="str">
        <f t="shared" si="23"/>
        <v>Detached A2 Combi Gas Boiler Condensing (N)|</v>
      </c>
      <c r="D96" s="26" t="str">
        <f>Commodities!$D$166</f>
        <v>RSDGASNAT</v>
      </c>
      <c r="E96" s="26" t="str">
        <f t="shared" si="26"/>
        <v>RSD_DTA2_SH</v>
      </c>
      <c r="F96" s="84">
        <f t="shared" si="24"/>
        <v>2018</v>
      </c>
      <c r="G96" s="57">
        <f>BASE_YEAR+1</f>
        <v>2018</v>
      </c>
      <c r="H96" s="72">
        <v>0.85</v>
      </c>
      <c r="I96" s="72"/>
      <c r="J96" s="72"/>
      <c r="K96" s="72"/>
      <c r="L96" s="72"/>
      <c r="M96" s="72"/>
      <c r="N96" s="72">
        <f>ROUNDUP(114.94542626643*1.5,0)</f>
        <v>173</v>
      </c>
      <c r="O96" s="72">
        <f>ROUNDDOWN(4.49036663406935,0)</f>
        <v>4</v>
      </c>
      <c r="P96" s="72">
        <v>0</v>
      </c>
      <c r="Q96" s="72">
        <v>20</v>
      </c>
      <c r="R96" s="72">
        <v>31.536000000000001</v>
      </c>
      <c r="S96" s="26"/>
      <c r="W96" s="26"/>
      <c r="X96" s="26"/>
      <c r="Y96" s="26" t="str">
        <f>Commodities!$AD$18&amp;"_"&amp;RIGHT(Commodities!$D$340,3)&amp;"_"&amp;$Y$3&amp;"_ST03"</f>
        <v>RSD_APA2_SH_ELC_N_ST03</v>
      </c>
      <c r="Z96" s="26" t="str">
        <f>"Apartment A2 SpHeat &amp; SpCooling ASHP Standard (N)|"&amp;AG98</f>
        <v>Apartment A2 SpHeat &amp; SpCooling ASHP Standard (N)|</v>
      </c>
      <c r="AA96" s="57" t="str">
        <f>General!$B$2</f>
        <v>PJ</v>
      </c>
      <c r="AB96" s="57" t="str">
        <f>General!$B$5</f>
        <v>GW</v>
      </c>
      <c r="AC96" s="57" t="s">
        <v>723</v>
      </c>
      <c r="AD96" s="57"/>
      <c r="AE96" s="26"/>
      <c r="AF96" s="32"/>
      <c r="AG96" s="32"/>
    </row>
    <row r="97" spans="1:33" ht="12.75" customHeight="1" x14ac:dyDescent="0.25">
      <c r="A97" s="26"/>
      <c r="D97" s="10"/>
      <c r="E97" s="26" t="str">
        <f>Commodities!$AD$25</f>
        <v>RSD_DTA2_WH</v>
      </c>
      <c r="F97" s="84">
        <f>F96</f>
        <v>2018</v>
      </c>
      <c r="G97" s="10"/>
      <c r="H97" s="72" t="s">
        <v>848</v>
      </c>
      <c r="I97" s="72">
        <v>0.9</v>
      </c>
      <c r="J97" s="72" t="s">
        <v>848</v>
      </c>
      <c r="K97" s="72"/>
      <c r="L97" s="72"/>
      <c r="M97" s="72">
        <v>0.2</v>
      </c>
      <c r="N97" s="72" t="s">
        <v>848</v>
      </c>
      <c r="O97" s="72" t="s">
        <v>848</v>
      </c>
      <c r="P97" s="72" t="s">
        <v>848</v>
      </c>
      <c r="Q97" s="72" t="s">
        <v>848</v>
      </c>
      <c r="R97" s="72"/>
      <c r="S97" s="26"/>
      <c r="U97" s="123"/>
      <c r="W97" s="26"/>
      <c r="X97" s="26"/>
      <c r="Y97" s="26" t="str">
        <f>Commodities!$AD$18&amp;"_"&amp;RIGHT(Commodities!$D$340,3)&amp;"_"&amp;$Y$3&amp;"_IM01"</f>
        <v>RSD_APA2_SH_ELC_N_IM01</v>
      </c>
      <c r="Z97" s="26" t="str">
        <f>"Apartment A2 SpHeat ASHP Improved (N)|"&amp;AG99</f>
        <v>Apartment A2 SpHeat ASHP Improved (N)|</v>
      </c>
      <c r="AA97" s="57" t="str">
        <f>General!$B$2</f>
        <v>PJ</v>
      </c>
      <c r="AB97" s="57" t="str">
        <f>General!$B$5</f>
        <v>GW</v>
      </c>
      <c r="AC97" s="57" t="s">
        <v>723</v>
      </c>
      <c r="AD97" s="57"/>
      <c r="AE97" s="26"/>
      <c r="AF97" s="32"/>
      <c r="AG97" s="32"/>
    </row>
    <row r="98" spans="1:33" ht="12.75" customHeight="1" x14ac:dyDescent="0.25">
      <c r="A98" s="26"/>
      <c r="B98" s="26" t="str">
        <f>Y64</f>
        <v>RSD_DTA2_SH_GAS_N_AD01</v>
      </c>
      <c r="C98" s="26" t="str">
        <f>Z64</f>
        <v>Detached A2 SpHeat Gas Boiler Condensing Improved (N)|</v>
      </c>
      <c r="D98" s="26" t="str">
        <f>Commodities!$D$166</f>
        <v>RSDGASNAT</v>
      </c>
      <c r="E98" s="26" t="str">
        <f>E96</f>
        <v>RSD_DTA2_SH</v>
      </c>
      <c r="F98" s="84">
        <f t="shared" ref="F98:F99" si="27">G98</f>
        <v>2025</v>
      </c>
      <c r="G98" s="57">
        <f>BASE_YEAR+8</f>
        <v>2025</v>
      </c>
      <c r="H98" s="72">
        <v>0.94500000000000006</v>
      </c>
      <c r="I98" s="72"/>
      <c r="J98" s="72"/>
      <c r="K98" s="72"/>
      <c r="L98" s="72"/>
      <c r="M98" s="72"/>
      <c r="N98" s="72">
        <f>ROUNDUP(122.99160610508*1.9,0)</f>
        <v>234</v>
      </c>
      <c r="O98" s="72">
        <f>ROUNDDOWN(4.17604096968449,0)</f>
        <v>4</v>
      </c>
      <c r="P98" s="72">
        <v>0</v>
      </c>
      <c r="Q98" s="72">
        <v>20</v>
      </c>
      <c r="R98" s="72">
        <v>31.536000000000001</v>
      </c>
      <c r="S98" s="26"/>
      <c r="T98" s="123"/>
      <c r="W98" s="26"/>
      <c r="X98" s="26"/>
      <c r="Y98" s="26" t="str">
        <f>Commodities!$AD$18&amp;"_"&amp;RIGHT(Commodities!$D$340,3)&amp;"_"&amp;$Y$3&amp;"_IM02"</f>
        <v>RSD_APA2_SH_ELC_N_IM02</v>
      </c>
      <c r="Z98" s="26" t="str">
        <f>"Apartment A2 SpHeat &amp; SpCooling  ASHP Improved (N)|"&amp;AG100</f>
        <v>Apartment A2 SpHeat &amp; SpCooling  ASHP Improved (N)|</v>
      </c>
      <c r="AA98" s="57" t="str">
        <f>General!$B$2</f>
        <v>PJ</v>
      </c>
      <c r="AB98" s="57" t="str">
        <f>General!$B$5</f>
        <v>GW</v>
      </c>
      <c r="AC98" s="57" t="s">
        <v>723</v>
      </c>
      <c r="AD98" s="57"/>
      <c r="AE98" s="26"/>
      <c r="AF98" s="32"/>
      <c r="AG98" s="32"/>
    </row>
    <row r="99" spans="1:33" ht="12.75" customHeight="1" x14ac:dyDescent="0.25">
      <c r="A99" s="26"/>
      <c r="B99" s="26" t="str">
        <f>Y65</f>
        <v>RSD_DTA2_SH_GAS_N_AD02</v>
      </c>
      <c r="C99" s="26" t="str">
        <f>Z65</f>
        <v>Detached A2 Combi Gas Boiler Condensing (N)|</v>
      </c>
      <c r="D99" s="26" t="str">
        <f>Commodities!$D$166</f>
        <v>RSDGASNAT</v>
      </c>
      <c r="E99" s="26" t="str">
        <f>E98</f>
        <v>RSD_DTA2_SH</v>
      </c>
      <c r="F99" s="84">
        <f t="shared" si="27"/>
        <v>2030</v>
      </c>
      <c r="G99" s="57">
        <f>BASE_YEAR+13</f>
        <v>2030</v>
      </c>
      <c r="H99" s="72">
        <v>0.94500000000000006</v>
      </c>
      <c r="I99" s="72"/>
      <c r="J99" s="72"/>
      <c r="K99" s="72"/>
      <c r="L99" s="72"/>
      <c r="M99" s="72"/>
      <c r="N99" s="72">
        <f>ROUNDUP(122.99160610508*1.9,0)</f>
        <v>234</v>
      </c>
      <c r="O99" s="72">
        <f>ROUNDDOWN(4.17604096968449,0)</f>
        <v>4</v>
      </c>
      <c r="P99" s="72">
        <v>0</v>
      </c>
      <c r="Q99" s="72">
        <v>20</v>
      </c>
      <c r="R99" s="72">
        <v>31.536000000000001</v>
      </c>
      <c r="S99" s="26"/>
      <c r="W99" s="26"/>
      <c r="X99" s="26"/>
      <c r="Y99" s="26" t="str">
        <f>Commodities!$AD$18&amp;"_"&amp;RIGHT(Commodities!$D$340,3)&amp;"_"&amp;$Y$3&amp;"_AD01"</f>
        <v>RSD_APA2_SH_ELC_N_AD01</v>
      </c>
      <c r="Z99" s="26" t="str">
        <f>"Apartment A2 SpHeat ASHP Advanced (N)|"&amp;AG101</f>
        <v>Apartment A2 SpHeat ASHP Advanced (N)|</v>
      </c>
      <c r="AA99" s="57" t="str">
        <f>General!$B$2</f>
        <v>PJ</v>
      </c>
      <c r="AB99" s="57" t="str">
        <f>General!$B$5</f>
        <v>GW</v>
      </c>
      <c r="AC99" s="57" t="s">
        <v>723</v>
      </c>
      <c r="AD99" s="57"/>
      <c r="AE99" s="26"/>
      <c r="AF99" s="32"/>
      <c r="AG99" s="32"/>
    </row>
    <row r="100" spans="1:33" ht="12.75" customHeight="1" x14ac:dyDescent="0.25">
      <c r="A100" s="26"/>
      <c r="D100" s="10"/>
      <c r="E100" s="26" t="str">
        <f>E97</f>
        <v>RSD_DTA2_WH</v>
      </c>
      <c r="F100" s="84">
        <f>F99</f>
        <v>2030</v>
      </c>
      <c r="G100" s="10"/>
      <c r="H100" s="72" t="s">
        <v>848</v>
      </c>
      <c r="I100" s="72">
        <v>0.94500000000000006</v>
      </c>
      <c r="J100" s="72"/>
      <c r="K100" s="72"/>
      <c r="L100" s="72"/>
      <c r="M100" s="72">
        <v>0.2</v>
      </c>
      <c r="N100" s="72" t="s">
        <v>848</v>
      </c>
      <c r="O100" s="72" t="s">
        <v>848</v>
      </c>
      <c r="P100" s="72" t="s">
        <v>848</v>
      </c>
      <c r="Q100" s="72" t="s">
        <v>848</v>
      </c>
      <c r="R100" s="72"/>
      <c r="S100" s="26"/>
      <c r="U100" s="26"/>
      <c r="W100" s="26"/>
      <c r="X100" s="26"/>
      <c r="Y100" s="26" t="str">
        <f>Commodities!$AD$18&amp;"_"&amp;RIGHT(Commodities!$D$340,3)&amp;"_"&amp;$Y$3&amp;"_AD02"</f>
        <v>RSD_APA2_SH_ELC_N_AD02</v>
      </c>
      <c r="Z100" s="26" t="str">
        <f>"Apartment A2 SpHeat &amp; SpCooling ASHP Advanced (N)|"&amp;AG102</f>
        <v>Apartment A2 SpHeat &amp; SpCooling ASHP Advanced (N)|</v>
      </c>
      <c r="AA100" s="57" t="str">
        <f>General!$B$2</f>
        <v>PJ</v>
      </c>
      <c r="AB100" s="57" t="str">
        <f>General!$B$5</f>
        <v>GW</v>
      </c>
      <c r="AC100" s="57" t="s">
        <v>723</v>
      </c>
      <c r="AD100" s="57"/>
      <c r="AE100" s="26"/>
      <c r="AF100" s="32"/>
      <c r="AG100" s="32"/>
    </row>
    <row r="101" spans="1:33" ht="12.75" customHeight="1" x14ac:dyDescent="0.25">
      <c r="A101" s="26"/>
      <c r="B101" s="26" t="str">
        <f t="shared" ref="B101:C106" si="28">Y66</f>
        <v>RSD_DTA2_SH_LTH_N_ST01</v>
      </c>
      <c r="C101" s="26" t="str">
        <f t="shared" si="28"/>
        <v>Detached A2 SpHeat Dist. Heat Standard (N)|</v>
      </c>
      <c r="D101" s="26" t="str">
        <f>Commodities!$D$351</f>
        <v>RSDLTHA2</v>
      </c>
      <c r="E101" s="26" t="str">
        <f>E99</f>
        <v>RSD_DTA2_SH</v>
      </c>
      <c r="F101" s="84">
        <f t="shared" ref="F101:F103" si="29">G101</f>
        <v>2018</v>
      </c>
      <c r="G101" s="57">
        <f>BASE_YEAR+1</f>
        <v>2018</v>
      </c>
      <c r="H101" s="72">
        <v>0.9</v>
      </c>
      <c r="I101" s="72"/>
      <c r="J101" s="72"/>
      <c r="K101" s="72"/>
      <c r="L101" s="72"/>
      <c r="M101" s="72"/>
      <c r="N101" s="72">
        <f>ROUNDUP(90.3,0)</f>
        <v>91</v>
      </c>
      <c r="O101" s="72">
        <f>ROUNDUP(9.72,0)</f>
        <v>10</v>
      </c>
      <c r="P101" s="72">
        <v>0</v>
      </c>
      <c r="Q101" s="72">
        <v>20</v>
      </c>
      <c r="R101" s="72">
        <v>31.536000000000001</v>
      </c>
      <c r="S101" s="26"/>
      <c r="T101" s="26"/>
      <c r="U101" s="26"/>
      <c r="W101" s="26"/>
      <c r="X101" s="26"/>
      <c r="Y101" s="26" t="str">
        <f>Commodities!$AD$18&amp;"_"&amp;RIGHT(Commodities!$D$182,3)&amp;"_"&amp;$Y$3&amp;"_ST01"</f>
        <v>RSD_APA2_SH_GEO_N_ST01</v>
      </c>
      <c r="Z101" s="26" t="str">
        <f>"Apartment A2 SpHeat GSHP Standard (N)|"&amp;AG103</f>
        <v>Apartment A2 SpHeat GSHP Standard (N)|</v>
      </c>
      <c r="AA101" s="57" t="str">
        <f>General!$B$2</f>
        <v>PJ</v>
      </c>
      <c r="AB101" s="57" t="str">
        <f>General!$B$5</f>
        <v>GW</v>
      </c>
      <c r="AC101" s="57" t="s">
        <v>723</v>
      </c>
      <c r="AD101" s="57"/>
      <c r="AE101" s="26"/>
      <c r="AF101" s="32"/>
      <c r="AG101" s="26"/>
    </row>
    <row r="102" spans="1:33" ht="12.75" customHeight="1" x14ac:dyDescent="0.25">
      <c r="B102" s="26" t="str">
        <f t="shared" si="28"/>
        <v>RSD_DTA2_SH_LTH_N_IM01</v>
      </c>
      <c r="C102" s="26" t="str">
        <f t="shared" si="28"/>
        <v>Detached A2 SpHeat Dist. Heat Improved (N)|</v>
      </c>
      <c r="D102" s="26" t="str">
        <f>D101</f>
        <v>RSDLTHA2</v>
      </c>
      <c r="E102" s="26" t="str">
        <f>E101</f>
        <v>RSD_DTA2_SH</v>
      </c>
      <c r="F102" s="84">
        <f t="shared" si="29"/>
        <v>2025</v>
      </c>
      <c r="G102" s="57">
        <f>BASE_YEAR+8</f>
        <v>2025</v>
      </c>
      <c r="H102" s="72">
        <f>H101*1.03</f>
        <v>0.92700000000000005</v>
      </c>
      <c r="I102" s="72"/>
      <c r="J102" s="72"/>
      <c r="K102" s="72"/>
      <c r="L102" s="72"/>
      <c r="M102" s="72"/>
      <c r="N102" s="72">
        <f>ROUNDUP(94.815*1.1,0)</f>
        <v>105</v>
      </c>
      <c r="O102" s="72">
        <f>ROUNDUP(9.234,0)</f>
        <v>10</v>
      </c>
      <c r="P102" s="72">
        <v>0</v>
      </c>
      <c r="Q102" s="72">
        <v>20</v>
      </c>
      <c r="R102" s="72">
        <v>31.536000000000001</v>
      </c>
      <c r="S102" s="32"/>
      <c r="T102" s="26"/>
      <c r="W102" s="26"/>
      <c r="X102" s="26"/>
      <c r="Y102" s="26" t="str">
        <f>Commodities!$AD$18&amp;"_"&amp;RIGHT(Commodities!$D$182,3)&amp;"_"&amp;$Y$3&amp;"_ST02"</f>
        <v>RSD_APA2_SH_GEO_N_ST02</v>
      </c>
      <c r="Z102" s="26" t="str">
        <f>"Apartment A2 SpHeat &amp; SpCooling GSHP Standard (N)|"&amp;AG104</f>
        <v>Apartment A2 SpHeat &amp; SpCooling GSHP Standard (N)|</v>
      </c>
      <c r="AA102" s="57" t="str">
        <f>General!$B$2</f>
        <v>PJ</v>
      </c>
      <c r="AB102" s="57" t="str">
        <f>General!$B$5</f>
        <v>GW</v>
      </c>
      <c r="AC102" s="57" t="s">
        <v>723</v>
      </c>
      <c r="AD102" s="57"/>
      <c r="AE102" s="26"/>
      <c r="AF102" s="32"/>
      <c r="AG102" s="32"/>
    </row>
    <row r="103" spans="1:33" ht="12.75" customHeight="1" x14ac:dyDescent="0.25">
      <c r="B103" s="26" t="str">
        <f t="shared" si="28"/>
        <v>RSD_DTA2_SH_LTH_N_AD01</v>
      </c>
      <c r="C103" s="26" t="str">
        <f t="shared" si="28"/>
        <v>Detached A2 SpHeat Dist. Heat Advanced (N)|</v>
      </c>
      <c r="D103" s="26" t="str">
        <f>D102</f>
        <v>RSDLTHA2</v>
      </c>
      <c r="E103" s="26" t="str">
        <f>E102</f>
        <v>RSD_DTA2_SH</v>
      </c>
      <c r="F103" s="84">
        <f t="shared" si="29"/>
        <v>2035</v>
      </c>
      <c r="G103" s="57">
        <f>BASE_YEAR+18</f>
        <v>2035</v>
      </c>
      <c r="H103" s="72">
        <f>H101*1.05</f>
        <v>0.94500000000000006</v>
      </c>
      <c r="I103" s="72"/>
      <c r="J103" s="72"/>
      <c r="K103" s="72"/>
      <c r="L103" s="72"/>
      <c r="M103" s="72"/>
      <c r="N103" s="72">
        <f>ROUNDUP(99.55575*1.2,0)</f>
        <v>120</v>
      </c>
      <c r="O103" s="72">
        <f>ROUNDUP(8.7723,0)</f>
        <v>9</v>
      </c>
      <c r="P103" s="72">
        <v>0</v>
      </c>
      <c r="Q103" s="72">
        <v>20</v>
      </c>
      <c r="R103" s="72">
        <v>31.536000000000001</v>
      </c>
      <c r="S103" s="32"/>
      <c r="U103" s="26"/>
      <c r="W103" s="26"/>
      <c r="X103" s="26"/>
      <c r="Y103" s="26" t="str">
        <f>Commodities!$AD$18&amp;"_"&amp;RIGHT(Commodities!$D$182,3)&amp;"_"&amp;$Y$3&amp;"_IM01"</f>
        <v>RSD_APA2_SH_GEO_N_IM01</v>
      </c>
      <c r="Z103" s="26" t="str">
        <f>"Apartment A2 SpHeat GSHP Improved (N)|"&amp;AG105</f>
        <v>Apartment A2 SpHeat GSHP Improved (N)|</v>
      </c>
      <c r="AA103" s="57" t="str">
        <f>General!$B$2</f>
        <v>PJ</v>
      </c>
      <c r="AB103" s="57" t="str">
        <f>General!$B$5</f>
        <v>GW</v>
      </c>
      <c r="AC103" s="57" t="s">
        <v>723</v>
      </c>
      <c r="AD103" s="57"/>
      <c r="AE103" s="26"/>
      <c r="AF103" s="26"/>
      <c r="AG103" s="32"/>
    </row>
    <row r="104" spans="1:33" ht="12.75" customHeight="1" x14ac:dyDescent="0.3">
      <c r="B104" s="26" t="str">
        <f t="shared" si="28"/>
        <v>RSD_DTA2_SH_ELC_N_ST01</v>
      </c>
      <c r="C104" s="26" t="str">
        <f t="shared" si="28"/>
        <v>Detached A2 SpHeat Electric Heater Standard (N)|</v>
      </c>
      <c r="D104" s="26" t="str">
        <f>Commodities!$D$341</f>
        <v>RSDELC</v>
      </c>
      <c r="E104" s="26" t="str">
        <f t="shared" ref="E104:E106" si="30">E103</f>
        <v>RSD_DTA2_SH</v>
      </c>
      <c r="F104" s="84">
        <f>G104</f>
        <v>2100</v>
      </c>
      <c r="G104" s="135">
        <v>2100</v>
      </c>
      <c r="H104" s="72">
        <v>0.95</v>
      </c>
      <c r="I104" s="72"/>
      <c r="J104" s="72"/>
      <c r="K104" s="72"/>
      <c r="L104" s="72"/>
      <c r="M104" s="72"/>
      <c r="N104" s="72">
        <f>ROUNDUP(320.85*0.35,0)</f>
        <v>113</v>
      </c>
      <c r="O104" s="72">
        <f>N104*0.01</f>
        <v>1.1300000000000001</v>
      </c>
      <c r="P104" s="72">
        <v>0</v>
      </c>
      <c r="Q104" s="72">
        <v>15</v>
      </c>
      <c r="R104" s="72">
        <f>31.536/5</f>
        <v>6.3071999999999999</v>
      </c>
      <c r="S104" s="32"/>
      <c r="T104" s="26"/>
      <c r="U104" s="26"/>
      <c r="W104" s="26"/>
      <c r="X104" s="26"/>
      <c r="Y104" s="26" t="str">
        <f>Commodities!$AD$18&amp;"_"&amp;RIGHT(Commodities!$D$182,3)&amp;"_"&amp;$Y$3&amp;"_IM02"</f>
        <v>RSD_APA2_SH_GEO_N_IM02</v>
      </c>
      <c r="Z104" s="26" t="str">
        <f>"Apartment A2 SpHeat &amp; SpCooling GSHP Improved (N)|"&amp;AG106</f>
        <v>Apartment A2 SpHeat &amp; SpCooling GSHP Improved (N)|</v>
      </c>
      <c r="AA104" s="57" t="str">
        <f>General!$B$2</f>
        <v>PJ</v>
      </c>
      <c r="AB104" s="57" t="str">
        <f>General!$B$5</f>
        <v>GW</v>
      </c>
      <c r="AC104" s="57" t="s">
        <v>723</v>
      </c>
      <c r="AD104" s="57"/>
      <c r="AE104" s="26"/>
      <c r="AF104" s="32"/>
      <c r="AG104" s="32"/>
    </row>
    <row r="105" spans="1:33" ht="12.75" customHeight="1" x14ac:dyDescent="0.25">
      <c r="B105" s="26" t="str">
        <f t="shared" si="28"/>
        <v>RSD_DTA2_SH_ELC_N_ST02</v>
      </c>
      <c r="C105" s="26" t="str">
        <f t="shared" si="28"/>
        <v>Detached A2 SpHeat ASHP Standard (N)|</v>
      </c>
      <c r="D105" s="26" t="str">
        <f>Commodities!$D$341</f>
        <v>RSDELC</v>
      </c>
      <c r="E105" s="26" t="str">
        <f t="shared" si="30"/>
        <v>RSD_DTA2_SH</v>
      </c>
      <c r="F105" s="84">
        <f>G105</f>
        <v>2018</v>
      </c>
      <c r="G105" s="57">
        <f>BASE_YEAR+1</f>
        <v>2018</v>
      </c>
      <c r="H105" s="72">
        <v>2</v>
      </c>
      <c r="I105" s="72"/>
      <c r="J105" s="72"/>
      <c r="K105" s="72"/>
      <c r="L105" s="72"/>
      <c r="M105" s="72"/>
      <c r="N105" s="72">
        <f>ROUNDUP(612.593487394958*0.8,0)</f>
        <v>491</v>
      </c>
      <c r="O105" s="72">
        <v>1</v>
      </c>
      <c r="P105" s="72">
        <v>0</v>
      </c>
      <c r="Q105" s="72">
        <v>15</v>
      </c>
      <c r="R105" s="72">
        <v>31.536000000000001</v>
      </c>
      <c r="S105" s="32"/>
      <c r="T105" s="26"/>
      <c r="W105" s="26"/>
      <c r="X105" s="26"/>
      <c r="Y105" s="26" t="str">
        <f>Commodities!$AD$18&amp;"_"&amp;LEFT(RIGHT(Commodities!$D$159,3),3)&amp;"_"&amp;$Y$3&amp;"_AD02"</f>
        <v>RSD_APA2_SH_DSL_N_AD02</v>
      </c>
      <c r="Z105" s="26" t="str">
        <f>"Apartment A2 SpHeat DieselOil Boiler Advanced (N)|"&amp;AG107</f>
        <v>Apartment A2 SpHeat DieselOil Boiler Advanced (N)|</v>
      </c>
      <c r="AA105" s="57" t="str">
        <f>General!$B$2</f>
        <v>PJ</v>
      </c>
      <c r="AB105" s="57" t="str">
        <f>General!$B$5</f>
        <v>GW</v>
      </c>
      <c r="AC105" s="57" t="s">
        <v>723</v>
      </c>
      <c r="AD105" s="32"/>
      <c r="AE105" s="26"/>
      <c r="AF105" s="32"/>
      <c r="AG105" s="32"/>
    </row>
    <row r="106" spans="1:33" ht="12.75" customHeight="1" x14ac:dyDescent="0.25">
      <c r="B106" s="26" t="str">
        <f t="shared" si="28"/>
        <v>RSD_DTA2_SH_ELC_N_ST03</v>
      </c>
      <c r="C106" s="26" t="str">
        <f t="shared" si="28"/>
        <v>Detached A2 SpHeat &amp; SpCooling ASHP Standard (N)|</v>
      </c>
      <c r="D106" s="26" t="str">
        <f>Commodities!$D$341</f>
        <v>RSDELC</v>
      </c>
      <c r="E106" s="26" t="str">
        <f t="shared" si="30"/>
        <v>RSD_DTA2_SH</v>
      </c>
      <c r="F106" s="84">
        <f>G106</f>
        <v>2018</v>
      </c>
      <c r="G106" s="57">
        <f>BASE_YEAR+1</f>
        <v>2018</v>
      </c>
      <c r="H106" s="72">
        <v>2</v>
      </c>
      <c r="I106" s="72"/>
      <c r="J106" s="72"/>
      <c r="K106" s="72"/>
      <c r="L106" s="72"/>
      <c r="M106" s="72"/>
      <c r="N106" s="72">
        <f>ROUNDUP(612.593487394958*0.8,0)</f>
        <v>491</v>
      </c>
      <c r="O106" s="72">
        <v>1</v>
      </c>
      <c r="P106" s="72">
        <v>0</v>
      </c>
      <c r="Q106" s="72">
        <v>15</v>
      </c>
      <c r="R106" s="72">
        <v>31.536000000000001</v>
      </c>
      <c r="S106" s="32"/>
      <c r="W106" s="26"/>
      <c r="X106" s="26"/>
      <c r="Y106" s="26" t="str">
        <f>Commodities!$AD$18&amp;"_"&amp;LEFT(RIGHT(Commodities!$D$161,3),3)&amp;"_"&amp;$Y$3&amp;"_AD02"</f>
        <v>RSD_APA2_SH_LPG_N_AD02</v>
      </c>
      <c r="Z106" s="26" t="str">
        <f>"Apartment A2 SpHeat LPG Boiler Advanced (N)|"&amp;AG108</f>
        <v>Apartment A2 SpHeat LPG Boiler Advanced (N)|</v>
      </c>
      <c r="AA106" s="57" t="str">
        <f>General!$B$2</f>
        <v>PJ</v>
      </c>
      <c r="AB106" s="57" t="str">
        <f>General!$B$5</f>
        <v>GW</v>
      </c>
      <c r="AC106" s="57" t="s">
        <v>723</v>
      </c>
      <c r="AD106" s="32"/>
      <c r="AE106" s="26"/>
      <c r="AF106" s="32"/>
      <c r="AG106" s="32"/>
    </row>
    <row r="107" spans="1:33" ht="12.75" customHeight="1" x14ac:dyDescent="0.25">
      <c r="D107" s="10"/>
      <c r="E107" s="26" t="str">
        <f>Commodities!$AD$33</f>
        <v>RSD_DTA2_SC</v>
      </c>
      <c r="F107" s="84">
        <f>F106</f>
        <v>2018</v>
      </c>
      <c r="G107" s="10"/>
      <c r="H107" s="72" t="s">
        <v>848</v>
      </c>
      <c r="I107" s="72"/>
      <c r="J107" s="72">
        <f>H106*1.5</f>
        <v>3</v>
      </c>
      <c r="K107" s="72"/>
      <c r="L107" s="72"/>
      <c r="M107" s="72"/>
      <c r="N107" s="72" t="s">
        <v>848</v>
      </c>
      <c r="O107" s="72" t="s">
        <v>848</v>
      </c>
      <c r="P107" s="72" t="s">
        <v>848</v>
      </c>
      <c r="Q107" s="72" t="s">
        <v>848</v>
      </c>
      <c r="R107" s="72"/>
      <c r="S107" s="32"/>
      <c r="W107" s="26"/>
      <c r="X107" s="26"/>
      <c r="Y107" s="26" t="str">
        <f>Commodities!$AD$19&amp;"_"&amp;RIGHT(Commodities!$D$153,3)&amp;"_"&amp;$Y$3&amp;"_ST"</f>
        <v>RSD_DTA3_SH_BIC_N_ST</v>
      </c>
      <c r="Z107" s="26" t="str">
        <f>"Detached A3 SpHeat Coal Boiler Standard (N)|"&amp;AG107</f>
        <v>Detached A3 SpHeat Coal Boiler Standard (N)|</v>
      </c>
      <c r="AA107" s="57" t="str">
        <f>General!$B$2</f>
        <v>PJ</v>
      </c>
      <c r="AB107" s="57" t="str">
        <f>General!$B$5</f>
        <v>GW</v>
      </c>
      <c r="AC107" s="57" t="s">
        <v>723</v>
      </c>
      <c r="AD107" s="57"/>
      <c r="AE107" s="26"/>
      <c r="AF107" s="32"/>
      <c r="AG107" s="32"/>
    </row>
    <row r="108" spans="1:33" ht="12.75" customHeight="1" x14ac:dyDescent="0.25">
      <c r="B108" s="26" t="str">
        <f>Y72</f>
        <v>RSD_DTA2_SH_ELC_N_IM01</v>
      </c>
      <c r="C108" s="26" t="str">
        <f>Z72</f>
        <v>Detached A2 SpHeat ASHP Improved (N)|</v>
      </c>
      <c r="D108" s="26" t="str">
        <f>Commodities!$D$341</f>
        <v>RSDELC</v>
      </c>
      <c r="E108" s="26" t="str">
        <f>E106</f>
        <v>RSD_DTA2_SH</v>
      </c>
      <c r="F108" s="84">
        <f>G108</f>
        <v>2025</v>
      </c>
      <c r="G108" s="57">
        <f>BASE_YEAR+8</f>
        <v>2025</v>
      </c>
      <c r="H108" s="72">
        <v>2.5</v>
      </c>
      <c r="I108" s="72"/>
      <c r="J108" s="72"/>
      <c r="K108" s="72"/>
      <c r="L108" s="72"/>
      <c r="M108" s="72"/>
      <c r="N108" s="72">
        <f>ROUNDUP(655.475031512605*0.9,0)</f>
        <v>590</v>
      </c>
      <c r="O108" s="72">
        <v>1</v>
      </c>
      <c r="P108" s="72">
        <v>0</v>
      </c>
      <c r="Q108" s="72">
        <v>15</v>
      </c>
      <c r="R108" s="72">
        <v>31.536000000000001</v>
      </c>
      <c r="S108" s="32"/>
      <c r="W108" s="26"/>
      <c r="X108" s="26"/>
      <c r="Y108" s="26" t="str">
        <f>Commodities!$AD$19&amp;"_"&amp;RIGHT(Commodities!$D$167,3)&amp;"_"&amp;$Y$3&amp;"_ST01"</f>
        <v>RSD_DTA3_SH_LOG_N_ST01</v>
      </c>
      <c r="Z108" s="26" t="str">
        <f>"Detached A3 SpHeat Wood Stove Standard (N)|"&amp;AG108</f>
        <v>Detached A3 SpHeat Wood Stove Standard (N)|</v>
      </c>
      <c r="AA108" s="57" t="str">
        <f>General!$B$2</f>
        <v>PJ</v>
      </c>
      <c r="AB108" s="57" t="str">
        <f>General!$B$5</f>
        <v>GW</v>
      </c>
      <c r="AC108" s="57" t="s">
        <v>723</v>
      </c>
      <c r="AD108" s="57"/>
      <c r="AE108" s="26"/>
      <c r="AF108" s="32"/>
      <c r="AG108" s="32"/>
    </row>
    <row r="109" spans="1:33" ht="12.75" customHeight="1" x14ac:dyDescent="0.25">
      <c r="B109" s="26" t="str">
        <f>Y73</f>
        <v>RSD_DTA2_SH_ELC_N_IM02</v>
      </c>
      <c r="C109" s="26" t="str">
        <f>Z73</f>
        <v>Detached A2 SpHeat &amp; SpCooling  ASHP Improved (N)|</v>
      </c>
      <c r="D109" s="26" t="str">
        <f>Commodities!$D$341</f>
        <v>RSDELC</v>
      </c>
      <c r="E109" s="26" t="str">
        <f>E108</f>
        <v>RSD_DTA2_SH</v>
      </c>
      <c r="F109" s="84">
        <f>G109</f>
        <v>2025</v>
      </c>
      <c r="G109" s="57">
        <f>BASE_YEAR+8</f>
        <v>2025</v>
      </c>
      <c r="H109" s="72">
        <v>2.5</v>
      </c>
      <c r="I109" s="72"/>
      <c r="J109" s="72"/>
      <c r="K109" s="72"/>
      <c r="L109" s="72"/>
      <c r="M109" s="72"/>
      <c r="N109" s="72">
        <f>ROUNDUP(655.475031512605*0.9,0)</f>
        <v>590</v>
      </c>
      <c r="O109" s="72">
        <v>1</v>
      </c>
      <c r="P109" s="72">
        <v>0</v>
      </c>
      <c r="Q109" s="72">
        <v>15</v>
      </c>
      <c r="R109" s="72">
        <v>31.536000000000001</v>
      </c>
      <c r="S109" s="32"/>
      <c r="W109" s="32"/>
      <c r="X109" s="32"/>
      <c r="Y109" s="26" t="str">
        <f>Commodities!$AD$19&amp;"_"&amp;RIGHT(Commodities!$D$167,3)&amp;"_"&amp;$Y$3&amp;"_ST02"</f>
        <v>RSD_DTA3_SH_LOG_N_ST02</v>
      </c>
      <c r="Z109" s="26" t="str">
        <f>"Detached A3 SpHeat Wood Boiler Standard (N)|"&amp;AG109</f>
        <v>Detached A3 SpHeat Wood Boiler Standard (N)|</v>
      </c>
      <c r="AA109" s="57" t="str">
        <f>General!$B$2</f>
        <v>PJ</v>
      </c>
      <c r="AB109" s="57" t="str">
        <f>General!$B$5</f>
        <v>GW</v>
      </c>
      <c r="AC109" s="57" t="s">
        <v>723</v>
      </c>
      <c r="AD109" s="57"/>
      <c r="AE109" s="32"/>
      <c r="AF109" s="32"/>
      <c r="AG109" s="32"/>
    </row>
    <row r="110" spans="1:33" ht="12.75" customHeight="1" x14ac:dyDescent="0.25">
      <c r="D110" s="10"/>
      <c r="E110" s="26" t="str">
        <f>E107</f>
        <v>RSD_DTA2_SC</v>
      </c>
      <c r="F110" s="84">
        <f>F109</f>
        <v>2025</v>
      </c>
      <c r="G110" s="10"/>
      <c r="H110" s="72" t="s">
        <v>848</v>
      </c>
      <c r="I110" s="72"/>
      <c r="J110" s="72">
        <f>H109*1.5</f>
        <v>3.75</v>
      </c>
      <c r="K110" s="72"/>
      <c r="L110" s="72"/>
      <c r="M110" s="72"/>
      <c r="N110" s="72" t="s">
        <v>848</v>
      </c>
      <c r="O110" s="72" t="s">
        <v>848</v>
      </c>
      <c r="P110" s="72" t="s">
        <v>848</v>
      </c>
      <c r="Q110" s="72" t="s">
        <v>848</v>
      </c>
      <c r="R110" s="72"/>
      <c r="S110" s="32"/>
      <c r="W110" s="32"/>
      <c r="X110" s="32"/>
      <c r="Y110" s="26" t="str">
        <f>Commodities!$AD$19&amp;"_"&amp;RIGHT(Commodities!$D$177,3)&amp;"_"&amp;$Y$3&amp;"_ST01"</f>
        <v>RSD_DTA3_SH_PLT_N_ST01</v>
      </c>
      <c r="Z110" s="26" t="str">
        <f>"Detached A3 SpHeat Pellet Boiler Standard (N)|"&amp;AG110</f>
        <v>Detached A3 SpHeat Pellet Boiler Standard (N)|</v>
      </c>
      <c r="AA110" s="57" t="str">
        <f>General!$B$2</f>
        <v>PJ</v>
      </c>
      <c r="AB110" s="57" t="str">
        <f>General!$B$5</f>
        <v>GW</v>
      </c>
      <c r="AC110" s="57" t="s">
        <v>723</v>
      </c>
      <c r="AD110" s="57"/>
      <c r="AE110" s="32"/>
      <c r="AF110" s="32"/>
      <c r="AG110" s="32"/>
    </row>
    <row r="111" spans="1:33" ht="12.75" customHeight="1" x14ac:dyDescent="0.25">
      <c r="B111" s="26" t="str">
        <f>Y74</f>
        <v>RSD_DTA2_SH_ELC_N_AD01</v>
      </c>
      <c r="C111" s="26" t="str">
        <f>Z74</f>
        <v>Detached A2 SpHeat ASHP Advanced (N)|</v>
      </c>
      <c r="D111" s="26" t="str">
        <f>Commodities!$D$341</f>
        <v>RSDELC</v>
      </c>
      <c r="E111" s="26" t="str">
        <f>E109</f>
        <v>RSD_DTA2_SH</v>
      </c>
      <c r="F111" s="84">
        <f>G111</f>
        <v>2035</v>
      </c>
      <c r="G111" s="57">
        <f>BASE_YEAR+18</f>
        <v>2035</v>
      </c>
      <c r="H111" s="72">
        <v>3</v>
      </c>
      <c r="I111" s="72"/>
      <c r="J111" s="72"/>
      <c r="K111" s="72"/>
      <c r="L111" s="72"/>
      <c r="M111" s="72"/>
      <c r="N111" s="72">
        <f>ROUNDUP(688.248783088235,0)</f>
        <v>689</v>
      </c>
      <c r="O111" s="72">
        <v>1</v>
      </c>
      <c r="P111" s="72">
        <v>0</v>
      </c>
      <c r="Q111" s="72">
        <v>15</v>
      </c>
      <c r="R111" s="72">
        <v>31.536000000000001</v>
      </c>
      <c r="S111" s="32"/>
      <c r="W111" s="26"/>
      <c r="X111" s="26"/>
      <c r="Y111" s="26" t="str">
        <f>Commodities!$AD$19&amp;"_"&amp;RIGHT(Commodities!$D$177,3)&amp;"_"&amp;$Y$3&amp;"_IM01"</f>
        <v>RSD_DTA3_SH_PLT_N_IM01</v>
      </c>
      <c r="Z111" s="26" t="str">
        <f>"Detached A3 SpHeat Pellet Boiler Improved (N)|"&amp;AG111</f>
        <v>Detached A3 SpHeat Pellet Boiler Improved (N)|</v>
      </c>
      <c r="AA111" s="57" t="str">
        <f>General!$B$2</f>
        <v>PJ</v>
      </c>
      <c r="AB111" s="57" t="str">
        <f>General!$B$5</f>
        <v>GW</v>
      </c>
      <c r="AC111" s="57" t="s">
        <v>723</v>
      </c>
      <c r="AD111" s="57"/>
      <c r="AE111" s="26"/>
      <c r="AF111" s="32"/>
      <c r="AG111" s="32"/>
    </row>
    <row r="112" spans="1:33" ht="12.75" customHeight="1" x14ac:dyDescent="0.25">
      <c r="B112" s="26" t="str">
        <f>Y75</f>
        <v>RSD_DTA2_SH_ELC_N_AD02</v>
      </c>
      <c r="C112" s="26" t="str">
        <f>Z75</f>
        <v>Detached A2 SpHeat &amp; SpCooling ASHP Advanced (N)|</v>
      </c>
      <c r="D112" s="26" t="str">
        <f>Commodities!$D$341</f>
        <v>RSDELC</v>
      </c>
      <c r="E112" s="26" t="str">
        <f>E111</f>
        <v>RSD_DTA2_SH</v>
      </c>
      <c r="F112" s="84">
        <f>G112</f>
        <v>2035</v>
      </c>
      <c r="G112" s="57">
        <f>BASE_YEAR+18</f>
        <v>2035</v>
      </c>
      <c r="H112" s="72">
        <v>3</v>
      </c>
      <c r="I112" s="72"/>
      <c r="J112" s="72"/>
      <c r="K112" s="72"/>
      <c r="L112" s="72"/>
      <c r="M112" s="72"/>
      <c r="N112" s="72">
        <f>ROUNDUP(688.248783088235,0)</f>
        <v>689</v>
      </c>
      <c r="O112" s="72">
        <v>1</v>
      </c>
      <c r="P112" s="72">
        <v>0</v>
      </c>
      <c r="Q112" s="72">
        <v>15</v>
      </c>
      <c r="R112" s="72">
        <v>31.536000000000001</v>
      </c>
      <c r="S112" s="32"/>
      <c r="W112" s="26"/>
      <c r="X112" s="26"/>
      <c r="Y112" s="26" t="str">
        <f>Commodities!$AD$19&amp;"_"&amp;LEFT(RIGHT(Commodities!$D$166,6),3)&amp;"_"&amp;$Y$3&amp;"_ST01"</f>
        <v>RSD_DTA3_SH_GAS_N_ST01</v>
      </c>
      <c r="Z112" s="26" t="str">
        <f>"Detached A3 SpHeat Gas Boiler Condensing (N)|"&amp;AG112</f>
        <v>Detached A3 SpHeat Gas Boiler Condensing (N)|</v>
      </c>
      <c r="AA112" s="57" t="str">
        <f>General!$B$2</f>
        <v>PJ</v>
      </c>
      <c r="AB112" s="57" t="str">
        <f>General!$B$5</f>
        <v>GW</v>
      </c>
      <c r="AC112" s="57" t="s">
        <v>723</v>
      </c>
      <c r="AD112" s="57"/>
      <c r="AE112" s="26"/>
      <c r="AF112" s="32"/>
      <c r="AG112" s="32"/>
    </row>
    <row r="113" spans="2:33" ht="12.75" customHeight="1" x14ac:dyDescent="0.25">
      <c r="D113" s="10"/>
      <c r="E113" s="26" t="str">
        <f>E110</f>
        <v>RSD_DTA2_SC</v>
      </c>
      <c r="F113" s="84">
        <f>F112</f>
        <v>2035</v>
      </c>
      <c r="G113" s="10"/>
      <c r="H113" s="72" t="s">
        <v>848</v>
      </c>
      <c r="I113" s="72"/>
      <c r="J113" s="72">
        <f>H112*1.5</f>
        <v>4.5</v>
      </c>
      <c r="K113" s="72"/>
      <c r="L113" s="72"/>
      <c r="M113" s="72"/>
      <c r="N113" s="72" t="s">
        <v>848</v>
      </c>
      <c r="O113" s="72" t="s">
        <v>848</v>
      </c>
      <c r="P113" s="72" t="s">
        <v>848</v>
      </c>
      <c r="Q113" s="72" t="s">
        <v>848</v>
      </c>
      <c r="R113" s="72"/>
      <c r="S113" s="32"/>
      <c r="W113" s="26"/>
      <c r="X113" s="26"/>
      <c r="Y113" s="26" t="str">
        <f>Commodities!$AD$19&amp;"_"&amp;LEFT(RIGHT(Commodities!$D$166,6),3)&amp;"_"&amp;$Y$3&amp;"_ST02"</f>
        <v>RSD_DTA3_SH_GAS_N_ST02</v>
      </c>
      <c r="Z113" s="26" t="str">
        <f>"Detached A3 Combi Gas Boiler Condensing (N)|"&amp;AG113</f>
        <v>Detached A3 Combi Gas Boiler Condensing (N)|</v>
      </c>
      <c r="AA113" s="57" t="str">
        <f>General!$B$2</f>
        <v>PJ</v>
      </c>
      <c r="AB113" s="57" t="str">
        <f>General!$B$5</f>
        <v>GW</v>
      </c>
      <c r="AC113" s="57" t="s">
        <v>723</v>
      </c>
      <c r="AD113" s="57"/>
      <c r="AE113" s="26"/>
      <c r="AF113" s="32"/>
      <c r="AG113" s="32"/>
    </row>
    <row r="114" spans="2:33" ht="12.75" customHeight="1" x14ac:dyDescent="0.25">
      <c r="B114" s="26" t="str">
        <f>Y76</f>
        <v>RSD_DTA2_SH_GEO_N_ST01</v>
      </c>
      <c r="C114" s="26" t="str">
        <f>Z76</f>
        <v>Detached A2 SpHeat GSHP Standard (N)|</v>
      </c>
      <c r="D114" s="26" t="str">
        <f>Commodities!$D$341</f>
        <v>RSDELC</v>
      </c>
      <c r="E114" s="26" t="str">
        <f>E112</f>
        <v>RSD_DTA2_SH</v>
      </c>
      <c r="F114" s="84">
        <f>G114</f>
        <v>2020</v>
      </c>
      <c r="G114" s="57">
        <f>BASE_YEAR+3</f>
        <v>2020</v>
      </c>
      <c r="H114" s="72">
        <v>4</v>
      </c>
      <c r="I114" s="72"/>
      <c r="J114" s="72"/>
      <c r="K114" s="72"/>
      <c r="L114" s="72"/>
      <c r="M114" s="72"/>
      <c r="N114" s="72">
        <v>859.22430830039525</v>
      </c>
      <c r="O114" s="72">
        <v>1.7085427135678393</v>
      </c>
      <c r="P114" s="72">
        <v>0</v>
      </c>
      <c r="Q114" s="72">
        <v>15</v>
      </c>
      <c r="R114" s="72">
        <v>31.536000000000001</v>
      </c>
      <c r="S114" s="32"/>
      <c r="W114" s="26"/>
      <c r="X114" s="26"/>
      <c r="Y114" s="26" t="str">
        <f>Commodities!$AD$19&amp;"_"&amp;LEFT(RIGHT(Commodities!$D$166,6),3)&amp;"_"&amp;$Y$3&amp;"_AD01"</f>
        <v>RSD_DTA3_SH_GAS_N_AD01</v>
      </c>
      <c r="Z114" s="26" t="str">
        <f>"Detached A3 SpHeat Gas Boiler Condensing Improved (N)|"&amp;AG114</f>
        <v>Detached A3 SpHeat Gas Boiler Condensing Improved (N)|</v>
      </c>
      <c r="AA114" s="57" t="str">
        <f>General!$B$2</f>
        <v>PJ</v>
      </c>
      <c r="AB114" s="57" t="str">
        <f>General!$B$5</f>
        <v>GW</v>
      </c>
      <c r="AC114" s="57" t="s">
        <v>723</v>
      </c>
      <c r="AD114" s="57"/>
      <c r="AE114" s="26"/>
      <c r="AF114" s="32"/>
      <c r="AG114" s="32"/>
    </row>
    <row r="115" spans="2:33" ht="12.75" customHeight="1" x14ac:dyDescent="0.25">
      <c r="D115" s="26" t="str">
        <f>Commodities!$D$182</f>
        <v>RSDRESGEO</v>
      </c>
      <c r="E115" s="10"/>
      <c r="F115" s="84">
        <f>F114</f>
        <v>2020</v>
      </c>
      <c r="G115" s="10"/>
      <c r="H115" s="72" t="s">
        <v>848</v>
      </c>
      <c r="I115" s="72"/>
      <c r="J115" s="72" t="s">
        <v>848</v>
      </c>
      <c r="K115" s="72"/>
      <c r="L115" s="72">
        <v>0.2</v>
      </c>
      <c r="M115" s="72"/>
      <c r="N115" s="72" t="s">
        <v>848</v>
      </c>
      <c r="O115" s="72" t="s">
        <v>848</v>
      </c>
      <c r="P115" s="72" t="s">
        <v>848</v>
      </c>
      <c r="Q115" s="72" t="s">
        <v>848</v>
      </c>
      <c r="R115" s="72">
        <v>31.536000000000001</v>
      </c>
      <c r="S115" s="32"/>
      <c r="W115" s="26"/>
      <c r="X115" s="26"/>
      <c r="Y115" s="26" t="str">
        <f>Commodities!$AD$19&amp;"_"&amp;LEFT(RIGHT(Commodities!$D$166,6),3)&amp;"_"&amp;$Y$3&amp;"_AD02"</f>
        <v>RSD_DTA3_SH_GAS_N_AD02</v>
      </c>
      <c r="Z115" s="26" t="str">
        <f>"Detached A3 Combi Gas Boiler Condensing (N)|"&amp;AG115</f>
        <v>Detached A3 Combi Gas Boiler Condensing (N)|</v>
      </c>
      <c r="AA115" s="57" t="str">
        <f>General!$B$2</f>
        <v>PJ</v>
      </c>
      <c r="AB115" s="57" t="str">
        <f>General!$B$5</f>
        <v>GW</v>
      </c>
      <c r="AC115" s="57" t="s">
        <v>723</v>
      </c>
      <c r="AD115" s="57"/>
      <c r="AE115" s="26"/>
      <c r="AF115" s="32"/>
      <c r="AG115" s="32"/>
    </row>
    <row r="116" spans="2:33" ht="12.75" customHeight="1" x14ac:dyDescent="0.25">
      <c r="B116" s="26" t="str">
        <f>Y77</f>
        <v>RSD_DTA2_SH_GEO_N_ST02</v>
      </c>
      <c r="C116" s="26" t="str">
        <f>Z77</f>
        <v>Detached A2 SpHeat &amp; SpCooling GSHP Standard (N)|</v>
      </c>
      <c r="D116" s="26" t="str">
        <f>Commodities!$D$341</f>
        <v>RSDELC</v>
      </c>
      <c r="E116" s="26" t="str">
        <f>E112</f>
        <v>RSD_DTA2_SH</v>
      </c>
      <c r="F116" s="84">
        <f>G116</f>
        <v>2018</v>
      </c>
      <c r="G116" s="57">
        <f>BASE_YEAR+1</f>
        <v>2018</v>
      </c>
      <c r="H116" s="72">
        <v>4</v>
      </c>
      <c r="I116" s="72"/>
      <c r="J116" s="72"/>
      <c r="K116" s="72"/>
      <c r="L116" s="72"/>
      <c r="M116" s="72"/>
      <c r="N116" s="72">
        <v>859.22430830039525</v>
      </c>
      <c r="O116" s="72">
        <v>1.7085427135678393</v>
      </c>
      <c r="P116" s="72">
        <v>0</v>
      </c>
      <c r="Q116" s="72">
        <v>15</v>
      </c>
      <c r="R116" s="72">
        <v>31.536000000000001</v>
      </c>
      <c r="S116" s="32"/>
      <c r="W116" s="26"/>
      <c r="X116" s="26"/>
      <c r="Y116" s="26" t="str">
        <f>Commodities!$AD$19&amp;"_"&amp;RIGHT(Commodities!$D$347,3)&amp;"_"&amp;$Y$3&amp;"_ST01"</f>
        <v>RSD_DTA3_SH_LTH_N_ST01</v>
      </c>
      <c r="Z116" s="26" t="str">
        <f>"Detached A3 SpHeat Dist. Heat Standard (N)|"&amp;AG116</f>
        <v>Detached A3 SpHeat Dist. Heat Standard (N)|</v>
      </c>
      <c r="AA116" s="57" t="str">
        <f>General!$B$2</f>
        <v>PJ</v>
      </c>
      <c r="AB116" s="57" t="str">
        <f>General!$B$5</f>
        <v>GW</v>
      </c>
      <c r="AC116" s="57" t="s">
        <v>723</v>
      </c>
      <c r="AD116" s="57"/>
      <c r="AE116" s="26"/>
      <c r="AF116" s="32"/>
      <c r="AG116" s="32"/>
    </row>
    <row r="117" spans="2:33" ht="12.75" customHeight="1" x14ac:dyDescent="0.25">
      <c r="D117" s="26" t="str">
        <f>Commodities!$D$182</f>
        <v>RSDRESGEO</v>
      </c>
      <c r="E117" s="26" t="str">
        <f>E113</f>
        <v>RSD_DTA2_SC</v>
      </c>
      <c r="F117" s="84">
        <f>F116</f>
        <v>2018</v>
      </c>
      <c r="G117" s="10"/>
      <c r="H117" s="72" t="s">
        <v>848</v>
      </c>
      <c r="I117" s="72"/>
      <c r="J117" s="72"/>
      <c r="K117" s="72"/>
      <c r="L117" s="72">
        <v>0.2</v>
      </c>
      <c r="M117" s="72"/>
      <c r="N117" s="72" t="s">
        <v>848</v>
      </c>
      <c r="O117" s="72" t="s">
        <v>848</v>
      </c>
      <c r="P117" s="72" t="s">
        <v>848</v>
      </c>
      <c r="Q117" s="72" t="s">
        <v>848</v>
      </c>
      <c r="R117" s="72">
        <v>31.536000000000001</v>
      </c>
      <c r="S117" s="32"/>
      <c r="W117" s="26"/>
      <c r="X117" s="26"/>
      <c r="Y117" s="26" t="str">
        <f>Commodities!$AD$19&amp;"_"&amp;RIGHT(Commodities!$D$347,3)&amp;"_"&amp;$Y$3&amp;"_IM01"</f>
        <v>RSD_DTA3_SH_LTH_N_IM01</v>
      </c>
      <c r="Z117" s="26" t="str">
        <f>"Detached A3 SpHeat Dist. Heat Improved (N)|"&amp;AG117</f>
        <v>Detached A3 SpHeat Dist. Heat Improved (N)|</v>
      </c>
      <c r="AA117" s="57" t="str">
        <f>General!$B$2</f>
        <v>PJ</v>
      </c>
      <c r="AB117" s="57" t="str">
        <f>General!$B$5</f>
        <v>GW</v>
      </c>
      <c r="AC117" s="57" t="s">
        <v>723</v>
      </c>
      <c r="AD117" s="57"/>
      <c r="AE117" s="26"/>
      <c r="AF117" s="32"/>
      <c r="AG117" s="32"/>
    </row>
    <row r="118" spans="2:33" ht="12.75" customHeight="1" x14ac:dyDescent="0.25">
      <c r="B118" s="26" t="str">
        <f>Y78</f>
        <v>RSD_DTA2_SH_GEO_N_IM01</v>
      </c>
      <c r="C118" s="26" t="str">
        <f>Z78</f>
        <v>Detached A2 SpHeat GSHP Improved(N)|</v>
      </c>
      <c r="D118" s="26" t="str">
        <f>Commodities!$D$341</f>
        <v>RSDELC</v>
      </c>
      <c r="E118" s="26" t="str">
        <f>E116</f>
        <v>RSD_DTA2_SH</v>
      </c>
      <c r="F118" s="84">
        <f>G118</f>
        <v>2025</v>
      </c>
      <c r="G118" s="57">
        <f>BASE_YEAR+8</f>
        <v>2025</v>
      </c>
      <c r="H118" s="72">
        <v>4.3</v>
      </c>
      <c r="I118" s="72"/>
      <c r="J118" s="72"/>
      <c r="K118" s="72"/>
      <c r="L118" s="72"/>
      <c r="M118" s="72"/>
      <c r="N118" s="72">
        <v>919.37000988142302</v>
      </c>
      <c r="O118" s="72">
        <v>1.5889447236180905</v>
      </c>
      <c r="P118" s="72">
        <v>0</v>
      </c>
      <c r="Q118" s="72">
        <v>15</v>
      </c>
      <c r="R118" s="72">
        <v>31.536000000000001</v>
      </c>
      <c r="S118" s="32"/>
      <c r="W118" s="26"/>
      <c r="X118" s="26"/>
      <c r="Y118" s="26" t="str">
        <f>Commodities!$AD$19&amp;"_"&amp;RIGHT(Commodities!$D$347,3)&amp;"_"&amp;$Y$3&amp;"_AD01"</f>
        <v>RSD_DTA3_SH_LTH_N_AD01</v>
      </c>
      <c r="Z118" s="26" t="str">
        <f>"Detached A3 SpHeat Dist. Heat Advanced (N)|"&amp;AG118</f>
        <v>Detached A3 SpHeat Dist. Heat Advanced (N)|</v>
      </c>
      <c r="AA118" s="57" t="str">
        <f>General!$B$2</f>
        <v>PJ</v>
      </c>
      <c r="AB118" s="57" t="str">
        <f>General!$B$5</f>
        <v>GW</v>
      </c>
      <c r="AC118" s="57" t="s">
        <v>723</v>
      </c>
      <c r="AD118" s="57"/>
      <c r="AE118" s="26"/>
      <c r="AF118" s="32"/>
      <c r="AG118" s="32"/>
    </row>
    <row r="119" spans="2:33" ht="12.75" customHeight="1" x14ac:dyDescent="0.25">
      <c r="D119" s="26" t="str">
        <f>Commodities!$D$182</f>
        <v>RSDRESGEO</v>
      </c>
      <c r="E119" s="10"/>
      <c r="F119" s="84">
        <f>F118</f>
        <v>2025</v>
      </c>
      <c r="G119" s="10"/>
      <c r="H119" s="72" t="s">
        <v>848</v>
      </c>
      <c r="I119" s="72"/>
      <c r="J119" s="72"/>
      <c r="K119" s="72"/>
      <c r="L119" s="72">
        <v>0.2</v>
      </c>
      <c r="M119" s="72"/>
      <c r="N119" s="72" t="s">
        <v>848</v>
      </c>
      <c r="O119" s="72" t="s">
        <v>848</v>
      </c>
      <c r="P119" s="72" t="s">
        <v>848</v>
      </c>
      <c r="Q119" s="72" t="s">
        <v>848</v>
      </c>
      <c r="R119" s="72">
        <v>31.536000000000001</v>
      </c>
      <c r="S119" s="32"/>
      <c r="W119" s="26"/>
      <c r="X119" s="26"/>
      <c r="Y119" s="26" t="str">
        <f>Commodities!$AD$19&amp;"_"&amp;RIGHT(Commodities!$D$340,3)&amp;"_"&amp;$Y$3&amp;"_ST01"</f>
        <v>RSD_DTA3_SH_ELC_N_ST01</v>
      </c>
      <c r="Z119" s="26" t="str">
        <f>"Detached A3 SpHeat Electric Heater Standard (N)|"&amp;AG119</f>
        <v>Detached A3 SpHeat Electric Heater Standard (N)|</v>
      </c>
      <c r="AA119" s="57" t="str">
        <f>General!$B$2</f>
        <v>PJ</v>
      </c>
      <c r="AB119" s="57" t="str">
        <f>General!$B$5</f>
        <v>GW</v>
      </c>
      <c r="AC119" s="57" t="s">
        <v>723</v>
      </c>
      <c r="AD119" s="57"/>
      <c r="AE119" s="26"/>
      <c r="AF119" s="32"/>
      <c r="AG119" s="32"/>
    </row>
    <row r="120" spans="2:33" ht="12.75" customHeight="1" x14ac:dyDescent="0.25">
      <c r="B120" s="26" t="str">
        <f>Y79</f>
        <v>RSD_DTA2_SH_GEO_N_IM02</v>
      </c>
      <c r="C120" s="26" t="str">
        <f>Z79</f>
        <v>Detached A2 SpHeat &amp; SpCooling GSHP Improved (N)|</v>
      </c>
      <c r="D120" s="26" t="str">
        <f>Commodities!$D$341</f>
        <v>RSDELC</v>
      </c>
      <c r="E120" s="26" t="str">
        <f>E116</f>
        <v>RSD_DTA2_SH</v>
      </c>
      <c r="F120" s="84">
        <f>G120</f>
        <v>2025</v>
      </c>
      <c r="G120" s="57">
        <f>BASE_YEAR+8</f>
        <v>2025</v>
      </c>
      <c r="H120" s="72">
        <v>4.5</v>
      </c>
      <c r="I120" s="72"/>
      <c r="J120" s="72"/>
      <c r="K120" s="72"/>
      <c r="L120" s="72"/>
      <c r="M120" s="72"/>
      <c r="N120" s="72">
        <v>983.72591057312263</v>
      </c>
      <c r="O120" s="72">
        <v>1.477718592964824</v>
      </c>
      <c r="P120" s="72">
        <v>0</v>
      </c>
      <c r="Q120" s="72">
        <v>15</v>
      </c>
      <c r="R120" s="72">
        <v>31.536000000000001</v>
      </c>
      <c r="S120" s="32"/>
      <c r="W120" s="26"/>
      <c r="X120" s="26"/>
      <c r="Y120" s="26" t="str">
        <f>Commodities!$AD$19&amp;"_"&amp;RIGHT(Commodities!$D$340,3)&amp;"_"&amp;$Y$3&amp;"_ST02"</f>
        <v>RSD_DTA3_SH_ELC_N_ST02</v>
      </c>
      <c r="Z120" s="26" t="str">
        <f>"Detached A3 SpHeat ASHP Standard (N)|"&amp;AG120</f>
        <v>Detached A3 SpHeat ASHP Standard (N)|</v>
      </c>
      <c r="AA120" s="57" t="str">
        <f>General!$B$2</f>
        <v>PJ</v>
      </c>
      <c r="AB120" s="57" t="str">
        <f>General!$B$5</f>
        <v>GW</v>
      </c>
      <c r="AC120" s="57" t="s">
        <v>723</v>
      </c>
      <c r="AD120" s="57"/>
      <c r="AE120" s="26"/>
      <c r="AF120" s="32"/>
      <c r="AG120" s="32"/>
    </row>
    <row r="121" spans="2:33" ht="12.75" customHeight="1" x14ac:dyDescent="0.25">
      <c r="D121" s="26" t="str">
        <f>Commodities!$D$182</f>
        <v>RSDRESGEO</v>
      </c>
      <c r="E121" s="26" t="str">
        <f>E117</f>
        <v>RSD_DTA2_SC</v>
      </c>
      <c r="F121" s="84">
        <f>F120</f>
        <v>2025</v>
      </c>
      <c r="G121" s="10"/>
      <c r="H121" s="72" t="s">
        <v>848</v>
      </c>
      <c r="I121" s="72"/>
      <c r="J121" s="72" t="s">
        <v>848</v>
      </c>
      <c r="K121" s="72"/>
      <c r="L121" s="72">
        <v>0.2</v>
      </c>
      <c r="M121" s="72"/>
      <c r="N121" s="72" t="s">
        <v>848</v>
      </c>
      <c r="O121" s="72" t="s">
        <v>848</v>
      </c>
      <c r="P121" s="72" t="s">
        <v>848</v>
      </c>
      <c r="Q121" s="72" t="s">
        <v>848</v>
      </c>
      <c r="R121" s="72">
        <v>31.536000000000001</v>
      </c>
      <c r="S121" s="32"/>
      <c r="W121" s="26"/>
      <c r="X121" s="26"/>
      <c r="Y121" s="26" t="str">
        <f>Commodities!$AD$19&amp;"_"&amp;RIGHT(Commodities!$D$340,3)&amp;"_"&amp;$Y$3&amp;"_ST03"</f>
        <v>RSD_DTA3_SH_ELC_N_ST03</v>
      </c>
      <c r="Z121" s="26" t="str">
        <f>"Detached A3 SpHeat &amp; SpCooling ASHP Standard (N)|"&amp;AG121</f>
        <v>Detached A3 SpHeat &amp; SpCooling ASHP Standard (N)|</v>
      </c>
      <c r="AA121" s="57" t="str">
        <f>General!$B$2</f>
        <v>PJ</v>
      </c>
      <c r="AB121" s="57" t="str">
        <f>General!$B$5</f>
        <v>GW</v>
      </c>
      <c r="AC121" s="57" t="s">
        <v>723</v>
      </c>
      <c r="AD121" s="57"/>
      <c r="AE121" s="26"/>
      <c r="AF121" s="32"/>
      <c r="AG121" s="32"/>
    </row>
    <row r="122" spans="2:33" ht="12.75" customHeight="1" x14ac:dyDescent="0.25">
      <c r="B122" s="26" t="str">
        <f>Y80</f>
        <v>RSD_DTA2_SH_DSL_N_AD02</v>
      </c>
      <c r="C122" s="26" t="str">
        <f>Z80</f>
        <v>Detached A2 SpHeat DieselOil Boiler Advanced (N)|</v>
      </c>
      <c r="D122" s="26" t="str">
        <f>D81</f>
        <v>RSDOILDSL</v>
      </c>
      <c r="E122" s="26" t="str">
        <f>E96</f>
        <v>RSD_DTA2_SH</v>
      </c>
      <c r="F122" s="84">
        <v>2020</v>
      </c>
      <c r="G122" s="57">
        <f>F122</f>
        <v>2020</v>
      </c>
      <c r="H122" s="72">
        <f>H99</f>
        <v>0.94500000000000006</v>
      </c>
      <c r="I122" s="72"/>
      <c r="J122" s="72"/>
      <c r="K122" s="72"/>
      <c r="L122" s="72"/>
      <c r="M122" s="72"/>
      <c r="N122" s="72">
        <f>N99</f>
        <v>234</v>
      </c>
      <c r="O122" s="72">
        <f>O99</f>
        <v>4</v>
      </c>
      <c r="P122" s="72">
        <f>P99</f>
        <v>0</v>
      </c>
      <c r="Q122" s="72">
        <f>Q99</f>
        <v>20</v>
      </c>
      <c r="R122" s="72">
        <f>R99</f>
        <v>31.536000000000001</v>
      </c>
      <c r="S122" s="32"/>
      <c r="W122" s="26"/>
      <c r="X122" s="26"/>
      <c r="Y122" s="26" t="str">
        <f>Commodities!$AD$19&amp;"_"&amp;RIGHT(Commodities!$D$340,3)&amp;"_"&amp;$Y$3&amp;"_IM01"</f>
        <v>RSD_DTA3_SH_ELC_N_IM01</v>
      </c>
      <c r="Z122" s="26" t="str">
        <f>"Detached A3 SpHeat ASHP Improved (N)|"&amp;AG122</f>
        <v>Detached A3 SpHeat ASHP Improved (N)|</v>
      </c>
      <c r="AA122" s="57" t="str">
        <f>General!$B$2</f>
        <v>PJ</v>
      </c>
      <c r="AB122" s="57" t="str">
        <f>General!$B$5</f>
        <v>GW</v>
      </c>
      <c r="AC122" s="57" t="s">
        <v>723</v>
      </c>
      <c r="AD122" s="57"/>
      <c r="AE122" s="26"/>
      <c r="AF122" s="32"/>
      <c r="AG122" s="32"/>
    </row>
    <row r="123" spans="2:33" ht="12.75" customHeight="1" x14ac:dyDescent="0.25">
      <c r="D123" s="26"/>
      <c r="E123" s="26" t="str">
        <f>E97</f>
        <v>RSD_DTA2_WH</v>
      </c>
      <c r="F123" s="84">
        <v>2020</v>
      </c>
      <c r="G123" s="10"/>
      <c r="H123" s="72"/>
      <c r="I123" s="72">
        <f>I100</f>
        <v>0.94500000000000006</v>
      </c>
      <c r="J123" s="72"/>
      <c r="K123" s="72"/>
      <c r="L123" s="72"/>
      <c r="M123" s="72"/>
      <c r="N123" s="72"/>
      <c r="O123" s="72"/>
      <c r="P123" s="72"/>
      <c r="Q123" s="72"/>
      <c r="R123" s="72"/>
      <c r="S123" s="32"/>
      <c r="W123" s="26"/>
      <c r="X123" s="26"/>
      <c r="Y123" s="26" t="str">
        <f>Commodities!$AD$19&amp;"_"&amp;RIGHT(Commodities!$D$340,3)&amp;"_"&amp;$Y$3&amp;"_IM02"</f>
        <v>RSD_DTA3_SH_ELC_N_IM02</v>
      </c>
      <c r="Z123" s="26" t="str">
        <f>"Detached A3 SpHeat &amp; SpCooling  ASHP Improved (N)|"&amp;AG127</f>
        <v>Detached A3 SpHeat &amp; SpCooling  ASHP Improved (N)|</v>
      </c>
      <c r="AA123" s="57" t="str">
        <f>General!$B$2</f>
        <v>PJ</v>
      </c>
      <c r="AB123" s="57" t="str">
        <f>General!$B$5</f>
        <v>GW</v>
      </c>
      <c r="AC123" s="57" t="s">
        <v>723</v>
      </c>
      <c r="AD123" s="57"/>
      <c r="AE123" s="26"/>
      <c r="AF123" s="32"/>
      <c r="AG123" s="32"/>
    </row>
    <row r="124" spans="2:33" ht="12.75" customHeight="1" x14ac:dyDescent="0.25">
      <c r="B124" s="26" t="str">
        <f>Y81</f>
        <v>RSD_DTA2_SH_LPG_N_AD02</v>
      </c>
      <c r="C124" s="26" t="str">
        <f>Z81</f>
        <v>Detached A2 SpHeat LPG Boiler Advanced (N)|</v>
      </c>
      <c r="D124" s="26" t="str">
        <f>D83</f>
        <v>RSDOILLPG</v>
      </c>
      <c r="E124" s="26" t="str">
        <f>E122</f>
        <v>RSD_DTA2_SH</v>
      </c>
      <c r="F124" s="84">
        <v>2020</v>
      </c>
      <c r="G124" s="57">
        <f>F124</f>
        <v>2020</v>
      </c>
      <c r="H124" s="72">
        <f>H122</f>
        <v>0.94500000000000006</v>
      </c>
      <c r="I124" s="72"/>
      <c r="J124" s="72"/>
      <c r="K124" s="72"/>
      <c r="L124" s="72"/>
      <c r="M124" s="72"/>
      <c r="N124" s="72">
        <f>N122</f>
        <v>234</v>
      </c>
      <c r="O124" s="72">
        <f>O122</f>
        <v>4</v>
      </c>
      <c r="P124" s="72">
        <f>P122</f>
        <v>0</v>
      </c>
      <c r="Q124" s="72">
        <f>Q122</f>
        <v>20</v>
      </c>
      <c r="R124" s="72">
        <f>R122</f>
        <v>31.536000000000001</v>
      </c>
      <c r="S124" s="32"/>
      <c r="W124" s="26"/>
      <c r="X124" s="26"/>
      <c r="Y124" s="26" t="str">
        <f>Commodities!$AD$19&amp;"_"&amp;RIGHT(Commodities!$D$340,3)&amp;"_"&amp;$Y$3&amp;"_AD01"</f>
        <v>RSD_DTA3_SH_ELC_N_AD01</v>
      </c>
      <c r="Z124" s="26" t="str">
        <f>"Detached A3 SpHeat ASHP Advanced (N)|"&amp;AG128</f>
        <v>Detached A3 SpHeat ASHP Advanced (N)|</v>
      </c>
      <c r="AA124" s="57" t="str">
        <f>General!$B$2</f>
        <v>PJ</v>
      </c>
      <c r="AB124" s="57" t="str">
        <f>General!$B$5</f>
        <v>GW</v>
      </c>
      <c r="AC124" s="57" t="s">
        <v>723</v>
      </c>
      <c r="AD124" s="57"/>
      <c r="AE124" s="26"/>
      <c r="AF124" s="32"/>
      <c r="AG124" s="32"/>
    </row>
    <row r="125" spans="2:33" ht="12.75" customHeight="1" x14ac:dyDescent="0.25">
      <c r="D125" s="26"/>
      <c r="E125" s="26" t="str">
        <f>E123</f>
        <v>RSD_DTA2_WH</v>
      </c>
      <c r="F125" s="84">
        <v>2020</v>
      </c>
      <c r="G125" s="10"/>
      <c r="H125" s="72"/>
      <c r="I125" s="72">
        <f>I123</f>
        <v>0.94500000000000006</v>
      </c>
      <c r="J125" s="72"/>
      <c r="K125" s="72"/>
      <c r="L125" s="72"/>
      <c r="M125" s="72"/>
      <c r="N125" s="72"/>
      <c r="O125" s="72"/>
      <c r="P125" s="72"/>
      <c r="Q125" s="72"/>
      <c r="R125" s="72"/>
      <c r="S125" s="32"/>
      <c r="W125" s="26"/>
      <c r="X125" s="26"/>
      <c r="Y125" s="26" t="str">
        <f>Commodities!$AD$19&amp;"_"&amp;RIGHT(Commodities!$D$340,3)&amp;"_"&amp;$Y$3&amp;"_AD02"</f>
        <v>RSD_DTA3_SH_ELC_N_AD02</v>
      </c>
      <c r="Z125" s="26" t="str">
        <f>"Detached A3 SpHeat &amp; SpCooling ASHP Advanced (N)|"&amp;AG129</f>
        <v>Detached A3 SpHeat &amp; SpCooling ASHP Advanced (N)|</v>
      </c>
      <c r="AA125" s="57" t="str">
        <f>General!$B$2</f>
        <v>PJ</v>
      </c>
      <c r="AB125" s="57" t="str">
        <f>General!$B$5</f>
        <v>GW</v>
      </c>
      <c r="AC125" s="57" t="s">
        <v>723</v>
      </c>
      <c r="AD125" s="57"/>
      <c r="AE125" s="26"/>
      <c r="AF125" s="32"/>
      <c r="AG125" s="32"/>
    </row>
    <row r="126" spans="2:33" ht="12.75" customHeight="1" x14ac:dyDescent="0.25">
      <c r="B126" s="28"/>
      <c r="C126" s="10"/>
      <c r="D126" s="29"/>
      <c r="E126" s="26"/>
      <c r="F126" s="57"/>
      <c r="G126" s="29"/>
      <c r="H126" s="26"/>
      <c r="I126" s="26"/>
      <c r="J126" s="26"/>
      <c r="K126" s="74"/>
      <c r="L126" s="74"/>
      <c r="M126" s="74"/>
      <c r="N126" s="74"/>
      <c r="O126" s="74"/>
      <c r="P126" s="74"/>
      <c r="Q126" s="136"/>
      <c r="R126" s="26"/>
      <c r="S126" s="32"/>
      <c r="W126" s="26"/>
      <c r="X126" s="26"/>
      <c r="Y126" s="26" t="str">
        <f>Commodities!$AD$19&amp;"_"&amp;RIGHT(Commodities!$D$182,3)&amp;"_"&amp;$Y$3&amp;"_ST01"</f>
        <v>RSD_DTA3_SH_GEO_N_ST01</v>
      </c>
      <c r="Z126" s="26" t="str">
        <f>"Detached A3 SpHeat GSHP Standard (N)|"&amp;AG130</f>
        <v>Detached A3 SpHeat GSHP Standard (N)|</v>
      </c>
      <c r="AA126" s="57" t="str">
        <f>General!$B$2</f>
        <v>PJ</v>
      </c>
      <c r="AB126" s="57" t="str">
        <f>General!$B$5</f>
        <v>GW</v>
      </c>
      <c r="AC126" s="57" t="s">
        <v>723</v>
      </c>
      <c r="AD126" s="57"/>
      <c r="AE126" s="26"/>
      <c r="AF126" s="32"/>
      <c r="AG126" s="32"/>
    </row>
    <row r="127" spans="2:33" ht="12.75" customHeight="1" x14ac:dyDescent="0.25">
      <c r="B127" s="10"/>
      <c r="C127" s="10"/>
      <c r="D127" s="10"/>
      <c r="E127" s="30"/>
      <c r="F127" s="31" t="s">
        <v>0</v>
      </c>
      <c r="G127" s="31"/>
      <c r="H127" s="74"/>
      <c r="I127" s="74"/>
      <c r="J127" s="74"/>
      <c r="K127" s="10"/>
      <c r="L127" s="10"/>
      <c r="M127" s="10"/>
      <c r="N127" s="10"/>
      <c r="O127" s="10"/>
      <c r="P127" s="10"/>
      <c r="Q127" s="10"/>
      <c r="R127" s="10"/>
      <c r="S127" s="32"/>
      <c r="W127" s="26"/>
      <c r="X127" s="26"/>
      <c r="Y127" s="26" t="str">
        <f>Commodities!$AD$19&amp;"_"&amp;RIGHT(Commodities!$D$182,3)&amp;"_"&amp;$Y$3&amp;"_ST02"</f>
        <v>RSD_DTA3_SH_GEO_N_ST02</v>
      </c>
      <c r="Z127" s="26" t="str">
        <f>"Detached A3 SpHeat &amp; SpCooling GSHP Standard (N)|"&amp;AG131</f>
        <v>Detached A3 SpHeat &amp; SpCooling GSHP Standard (N)|</v>
      </c>
      <c r="AA127" s="57" t="str">
        <f>General!$B$2</f>
        <v>PJ</v>
      </c>
      <c r="AB127" s="57" t="str">
        <f>General!$B$5</f>
        <v>GW</v>
      </c>
      <c r="AC127" s="57" t="s">
        <v>723</v>
      </c>
      <c r="AD127" s="57"/>
      <c r="AE127" s="26"/>
      <c r="AF127" s="32"/>
      <c r="AG127" s="32"/>
    </row>
    <row r="128" spans="2:33" ht="12.75" customHeight="1" x14ac:dyDescent="0.25">
      <c r="B128" s="33" t="s">
        <v>1</v>
      </c>
      <c r="C128" s="33" t="s">
        <v>794</v>
      </c>
      <c r="D128" s="33" t="s">
        <v>3</v>
      </c>
      <c r="E128" s="33" t="s">
        <v>4</v>
      </c>
      <c r="F128" s="34" t="s">
        <v>803</v>
      </c>
      <c r="G128" s="35" t="s">
        <v>14</v>
      </c>
      <c r="H128" s="36" t="s">
        <v>16</v>
      </c>
      <c r="I128" s="36" t="str">
        <f>"CEFF~"&amp;E138</f>
        <v>CEFF~RSD_APA2_WH</v>
      </c>
      <c r="J128" s="36" t="str">
        <f>"CEFF~"&amp;E148</f>
        <v>CEFF~RSD_APA2_SC</v>
      </c>
      <c r="K128" s="36" t="s">
        <v>789</v>
      </c>
      <c r="L128" s="36" t="str">
        <f>"SHARE~"&amp;Commodities!$D$182</f>
        <v>SHARE~RSDRESGEO</v>
      </c>
      <c r="M128" s="36" t="str">
        <f>"SHARE~UP~"&amp;E138</f>
        <v>SHARE~UP~RSD_APA2_WH</v>
      </c>
      <c r="N128" s="36" t="s">
        <v>36</v>
      </c>
      <c r="O128" s="36" t="s">
        <v>5</v>
      </c>
      <c r="P128" s="36" t="s">
        <v>34</v>
      </c>
      <c r="Q128" s="36" t="s">
        <v>780</v>
      </c>
      <c r="R128" s="36" t="s">
        <v>773</v>
      </c>
      <c r="S128" s="32"/>
      <c r="W128" s="26"/>
      <c r="X128" s="26"/>
      <c r="Y128" s="26" t="str">
        <f>Commodities!$AD$19&amp;"_"&amp;RIGHT(Commodities!$D$182,3)&amp;"_"&amp;$Y$3&amp;"_IM01"</f>
        <v>RSD_DTA3_SH_GEO_N_IM01</v>
      </c>
      <c r="Z128" s="26" t="str">
        <f>"Detached A3 SpHeat GSHP Improved (N)|"&amp;AG132</f>
        <v>Detached A3 SpHeat GSHP Improved (N)|</v>
      </c>
      <c r="AA128" s="57" t="str">
        <f>General!$B$2</f>
        <v>PJ</v>
      </c>
      <c r="AB128" s="57" t="str">
        <f>General!$B$5</f>
        <v>GW</v>
      </c>
      <c r="AC128" s="57" t="s">
        <v>723</v>
      </c>
      <c r="AD128" s="57"/>
      <c r="AE128" s="26"/>
      <c r="AF128" s="32"/>
      <c r="AG128" s="32"/>
    </row>
    <row r="129" spans="2:33" ht="12.75" customHeight="1" thickBot="1" x14ac:dyDescent="0.3">
      <c r="B129" s="41" t="s">
        <v>795</v>
      </c>
      <c r="C129" s="41" t="s">
        <v>28</v>
      </c>
      <c r="D129" s="41" t="s">
        <v>32</v>
      </c>
      <c r="E129" s="41" t="s">
        <v>33</v>
      </c>
      <c r="F129" s="42"/>
      <c r="G129" s="43" t="s">
        <v>35</v>
      </c>
      <c r="H129" s="41" t="s">
        <v>813</v>
      </c>
      <c r="I129" s="41" t="s">
        <v>812</v>
      </c>
      <c r="J129" s="41" t="s">
        <v>811</v>
      </c>
      <c r="K129" s="41" t="s">
        <v>805</v>
      </c>
      <c r="L129" s="41" t="s">
        <v>814</v>
      </c>
      <c r="M129" s="41" t="s">
        <v>810</v>
      </c>
      <c r="N129" s="43" t="s">
        <v>806</v>
      </c>
      <c r="O129" s="41" t="s">
        <v>37</v>
      </c>
      <c r="P129" s="41" t="s">
        <v>38</v>
      </c>
      <c r="Q129" s="41" t="s">
        <v>781</v>
      </c>
      <c r="R129" s="41" t="s">
        <v>807</v>
      </c>
      <c r="S129" s="32"/>
      <c r="W129" s="26"/>
      <c r="X129" s="26"/>
      <c r="Y129" s="26" t="str">
        <f>Commodities!$AD$19&amp;"_"&amp;RIGHT(Commodities!$D$182,3)&amp;"_"&amp;$Y$3&amp;"_IM02"</f>
        <v>RSD_DTA3_SH_GEO_N_IM02</v>
      </c>
      <c r="Z129" s="26" t="str">
        <f>"Detached A3 SpHeat &amp; SpCooling GSHP Improved (N)|"&amp;AG133</f>
        <v>Detached A3 SpHeat &amp; SpCooling GSHP Improved (N)|</v>
      </c>
      <c r="AA129" s="57" t="str">
        <f>General!$B$2</f>
        <v>PJ</v>
      </c>
      <c r="AB129" s="57" t="str">
        <f>General!$B$5</f>
        <v>GW</v>
      </c>
      <c r="AC129" s="57" t="s">
        <v>723</v>
      </c>
      <c r="AD129" s="57"/>
      <c r="AE129" s="26"/>
      <c r="AF129" s="32"/>
      <c r="AG129" s="32"/>
    </row>
    <row r="130" spans="2:33" ht="12.75" customHeight="1" x14ac:dyDescent="0.25">
      <c r="B130" s="47"/>
      <c r="C130" s="48"/>
      <c r="D130" s="48"/>
      <c r="E130" s="48" t="s">
        <v>799</v>
      </c>
      <c r="F130" s="49"/>
      <c r="G130" s="48"/>
      <c r="H130" s="48" t="s">
        <v>808</v>
      </c>
      <c r="I130" s="48" t="s">
        <v>808</v>
      </c>
      <c r="J130" s="48" t="s">
        <v>808</v>
      </c>
      <c r="K130" s="48" t="s">
        <v>808</v>
      </c>
      <c r="L130" s="48" t="s">
        <v>808</v>
      </c>
      <c r="M130" s="48" t="s">
        <v>808</v>
      </c>
      <c r="N130" s="48" t="str">
        <f>General!$D$14</f>
        <v>$/kW</v>
      </c>
      <c r="O130" s="48" t="str">
        <f>General!$D$14</f>
        <v>$/kW</v>
      </c>
      <c r="P130" s="48" t="str">
        <f>General!$D$15</f>
        <v>$/GJ</v>
      </c>
      <c r="Q130" s="48" t="str">
        <f>General!$D$21</f>
        <v>Years</v>
      </c>
      <c r="R130" s="48" t="str">
        <f>General!$E$16</f>
        <v>PJ/GW</v>
      </c>
      <c r="S130" s="32"/>
      <c r="W130" s="26"/>
      <c r="X130" s="26"/>
      <c r="Y130" s="26" t="str">
        <f>Commodities!$AD$19&amp;"_"&amp;LEFT(RIGHT(Commodities!$D$159,3),3)&amp;"_"&amp;$Y$3&amp;"_AD02"</f>
        <v>RSD_DTA3_SH_DSL_N_AD02</v>
      </c>
      <c r="Z130" s="26" t="str">
        <f>"Detached A3 SpHeat Diesel Oil Advanced (N)|"&amp;AG130</f>
        <v>Detached A3 SpHeat Diesel Oil Advanced (N)|</v>
      </c>
      <c r="AA130" s="57" t="str">
        <f>General!$B$2</f>
        <v>PJ</v>
      </c>
      <c r="AB130" s="57" t="str">
        <f>General!$B$5</f>
        <v>GW</v>
      </c>
      <c r="AC130" s="57" t="s">
        <v>723</v>
      </c>
      <c r="AE130" s="26"/>
      <c r="AF130" s="32"/>
      <c r="AG130" s="32"/>
    </row>
    <row r="131" spans="2:33" ht="12.75" customHeight="1" x14ac:dyDescent="0.3">
      <c r="B131" s="26" t="str">
        <f t="shared" ref="B131:C137" si="31">Y82</f>
        <v>RSD_APA2_SH_BIC_N_ST</v>
      </c>
      <c r="C131" s="26" t="str">
        <f t="shared" si="31"/>
        <v>Apartment A2 SpHeat Coal Boiler Standard (N)|</v>
      </c>
      <c r="D131" s="26" t="str">
        <f>Commodities!$D$153</f>
        <v>RSDCOABIC</v>
      </c>
      <c r="E131" s="26" t="str">
        <f>Commodities!$AD$18</f>
        <v>RSD_APA2_SH</v>
      </c>
      <c r="F131" s="137">
        <f t="shared" ref="F131:F137" si="32">G131</f>
        <v>2100</v>
      </c>
      <c r="G131" s="135">
        <v>2100</v>
      </c>
      <c r="H131" s="72">
        <v>0.65</v>
      </c>
      <c r="I131" s="72"/>
      <c r="J131" s="72"/>
      <c r="K131" s="72"/>
      <c r="L131" s="72"/>
      <c r="M131" s="72"/>
      <c r="N131" s="72">
        <v>250</v>
      </c>
      <c r="O131" s="72">
        <f>N131*2%</f>
        <v>5</v>
      </c>
      <c r="P131" s="72">
        <v>0</v>
      </c>
      <c r="Q131" s="72">
        <v>15</v>
      </c>
      <c r="R131" s="72">
        <v>31.536000000000001</v>
      </c>
      <c r="S131" s="32"/>
      <c r="W131" s="26"/>
      <c r="X131" s="26"/>
      <c r="Y131" s="26" t="str">
        <f>Commodities!$AD$19&amp;"_"&amp;LEFT(RIGHT(Commodities!$D$161,3),3)&amp;"_"&amp;$Y$3&amp;"_AD02"</f>
        <v>RSD_DTA3_SH_LPG_N_AD02</v>
      </c>
      <c r="Z131" s="26" t="str">
        <f>"Detached A3 SpHeat LPG Boiler Advanced (N)|"&amp;AG131</f>
        <v>Detached A3 SpHeat LPG Boiler Advanced (N)|</v>
      </c>
      <c r="AA131" s="57" t="str">
        <f>General!$B$2</f>
        <v>PJ</v>
      </c>
      <c r="AB131" s="57" t="str">
        <f>General!$B$5</f>
        <v>GW</v>
      </c>
      <c r="AC131" s="57" t="s">
        <v>723</v>
      </c>
      <c r="AE131" s="26"/>
      <c r="AF131" s="32"/>
      <c r="AG131" s="32"/>
    </row>
    <row r="132" spans="2:33" ht="12.75" customHeight="1" x14ac:dyDescent="0.3">
      <c r="B132" s="26" t="str">
        <f t="shared" si="31"/>
        <v>RSD_APA2_SH_LOG_N_ST01</v>
      </c>
      <c r="C132" s="26" t="str">
        <f t="shared" si="31"/>
        <v>Apartment A2 SpHeat Wood Stove Standard (N)|</v>
      </c>
      <c r="D132" s="26" t="str">
        <f>Commodities!$D$167</f>
        <v>RSDBIOLOG</v>
      </c>
      <c r="E132" s="26" t="str">
        <f>E131</f>
        <v>RSD_APA2_SH</v>
      </c>
      <c r="F132" s="137">
        <f t="shared" si="32"/>
        <v>2100</v>
      </c>
      <c r="G132" s="135">
        <v>2100</v>
      </c>
      <c r="H132" s="72">
        <v>0.5</v>
      </c>
      <c r="I132" s="72"/>
      <c r="J132" s="72"/>
      <c r="K132" s="72"/>
      <c r="L132" s="72"/>
      <c r="M132" s="72"/>
      <c r="N132" s="72">
        <v>30</v>
      </c>
      <c r="O132" s="72">
        <f>N132*2%</f>
        <v>0.6</v>
      </c>
      <c r="P132" s="72">
        <v>0</v>
      </c>
      <c r="Q132" s="72">
        <v>15</v>
      </c>
      <c r="R132" s="72">
        <v>31.536000000000001</v>
      </c>
      <c r="S132" s="32"/>
      <c r="W132" s="26"/>
      <c r="X132" s="26"/>
      <c r="Y132" s="26" t="str">
        <f>Commodities!$AD$20&amp;"_"&amp;RIGHT(Commodities!$D$153,3)&amp;"_"&amp;$Y$3&amp;"_ST"</f>
        <v>RSD_APA3_SH_BIC_N_ST</v>
      </c>
      <c r="Z132" s="26" t="str">
        <f>"Apartment A3 SpHeat Coal Boiler Standard (N)|"&amp;AG135</f>
        <v>Apartment A3 SpHeat Coal Boiler Standard (N)|</v>
      </c>
      <c r="AA132" s="57" t="str">
        <f>General!$B$2</f>
        <v>PJ</v>
      </c>
      <c r="AB132" s="57" t="str">
        <f>General!$B$5</f>
        <v>GW</v>
      </c>
      <c r="AC132" s="57" t="s">
        <v>723</v>
      </c>
      <c r="AE132" s="26"/>
      <c r="AF132" s="32"/>
      <c r="AG132" s="32"/>
    </row>
    <row r="133" spans="2:33" ht="12.75" customHeight="1" x14ac:dyDescent="0.25">
      <c r="B133" s="26" t="str">
        <f t="shared" si="31"/>
        <v>RSD_APA2_SH_LOG_N_ST02</v>
      </c>
      <c r="C133" s="26" t="str">
        <f t="shared" si="31"/>
        <v>Apartment A2 SpHeat Wood Boiler Standard (N)|</v>
      </c>
      <c r="D133" s="26" t="str">
        <f>Commodities!$D$167</f>
        <v>RSDBIOLOG</v>
      </c>
      <c r="E133" s="26" t="str">
        <f>E132</f>
        <v>RSD_APA2_SH</v>
      </c>
      <c r="F133" s="84">
        <f t="shared" si="32"/>
        <v>2018</v>
      </c>
      <c r="G133" s="57">
        <f>BASE_YEAR+1</f>
        <v>2018</v>
      </c>
      <c r="H133" s="72">
        <v>0.65</v>
      </c>
      <c r="I133" s="72"/>
      <c r="J133" s="72"/>
      <c r="K133" s="72"/>
      <c r="L133" s="72"/>
      <c r="M133" s="72"/>
      <c r="N133" s="72">
        <v>285</v>
      </c>
      <c r="O133" s="72">
        <f t="shared" ref="O133:O135" si="33">N133*2%</f>
        <v>5.7</v>
      </c>
      <c r="P133" s="72">
        <v>0</v>
      </c>
      <c r="Q133" s="72">
        <v>20</v>
      </c>
      <c r="R133" s="72">
        <v>31.536000000000001</v>
      </c>
      <c r="S133" s="32"/>
      <c r="W133" s="26"/>
      <c r="X133" s="26"/>
      <c r="Y133" s="26" t="str">
        <f>Commodities!$AD$20&amp;"_"&amp;RIGHT(Commodities!$D$167,3)&amp;"_"&amp;$Y$3&amp;"_ST01"</f>
        <v>RSD_APA3_SH_LOG_N_ST01</v>
      </c>
      <c r="Z133" s="26" t="str">
        <f>"Apartment A3 SpHeat Wood Stove Standard (N)|"&amp;AG137</f>
        <v>Apartment A3 SpHeat Wood Stove Standard (N)|</v>
      </c>
      <c r="AA133" s="57" t="str">
        <f>General!$B$2</f>
        <v>PJ</v>
      </c>
      <c r="AB133" s="57" t="str">
        <f>General!$B$5</f>
        <v>GW</v>
      </c>
      <c r="AC133" s="57" t="s">
        <v>723</v>
      </c>
      <c r="AE133" s="26"/>
      <c r="AF133" s="32"/>
      <c r="AG133" s="32"/>
    </row>
    <row r="134" spans="2:33" ht="12.75" customHeight="1" x14ac:dyDescent="0.25">
      <c r="B134" s="26" t="str">
        <f t="shared" si="31"/>
        <v>RSD_APA2_SH_PLT_N_ST01</v>
      </c>
      <c r="C134" s="26" t="str">
        <f t="shared" si="31"/>
        <v>Apartment A2 SpHeat Pellet Boiler Standard (N)|</v>
      </c>
      <c r="D134" s="26" t="str">
        <f>Commodities!$D$177</f>
        <v>RSDBIOPLT</v>
      </c>
      <c r="E134" s="26" t="str">
        <f>E133</f>
        <v>RSD_APA2_SH</v>
      </c>
      <c r="F134" s="84">
        <f t="shared" si="32"/>
        <v>2018</v>
      </c>
      <c r="G134" s="57">
        <f>BASE_YEAR+1</f>
        <v>2018</v>
      </c>
      <c r="H134" s="72">
        <v>0.65</v>
      </c>
      <c r="I134" s="72"/>
      <c r="J134" s="72"/>
      <c r="K134" s="72"/>
      <c r="L134" s="72"/>
      <c r="M134" s="72"/>
      <c r="N134" s="72">
        <v>210</v>
      </c>
      <c r="O134" s="72">
        <f t="shared" si="33"/>
        <v>4.2</v>
      </c>
      <c r="P134" s="72">
        <v>0</v>
      </c>
      <c r="Q134" s="72">
        <v>15</v>
      </c>
      <c r="R134" s="72">
        <v>31.536000000000001</v>
      </c>
      <c r="S134" s="32"/>
      <c r="W134" s="26"/>
      <c r="X134" s="26"/>
      <c r="Y134" s="26" t="str">
        <f>Commodities!$AD$20&amp;"_"&amp;RIGHT(Commodities!$D$167,3)&amp;"_"&amp;$Y$3&amp;"_ST02"</f>
        <v>RSD_APA3_SH_LOG_N_ST02</v>
      </c>
      <c r="Z134" s="26" t="str">
        <f>"Apartment A3 SpHeat Wood Boiler Standard (N)|"&amp;AG138</f>
        <v>Apartment A3 SpHeat Wood Boiler Standard (N)|</v>
      </c>
      <c r="AA134" s="57" t="str">
        <f>General!$B$2</f>
        <v>PJ</v>
      </c>
      <c r="AB134" s="57" t="str">
        <f>General!$B$5</f>
        <v>GW</v>
      </c>
      <c r="AC134" s="57" t="s">
        <v>723</v>
      </c>
      <c r="AD134" s="57"/>
      <c r="AE134" s="26"/>
      <c r="AF134" s="32"/>
      <c r="AG134" s="32"/>
    </row>
    <row r="135" spans="2:33" ht="12.75" customHeight="1" x14ac:dyDescent="0.25">
      <c r="B135" s="26" t="str">
        <f t="shared" si="31"/>
        <v>RSD_APA2_SH_PLT_N_IM01</v>
      </c>
      <c r="C135" s="26" t="str">
        <f t="shared" si="31"/>
        <v>Apartment A2 SpHeat Pellet Boiler Improved (N)|</v>
      </c>
      <c r="D135" s="26" t="str">
        <f>Commodities!$D$177</f>
        <v>RSDBIOPLT</v>
      </c>
      <c r="E135" s="26" t="str">
        <f>E134</f>
        <v>RSD_APA2_SH</v>
      </c>
      <c r="F135" s="84">
        <f t="shared" si="32"/>
        <v>2020</v>
      </c>
      <c r="G135" s="57">
        <f>BASE_YEAR+3</f>
        <v>2020</v>
      </c>
      <c r="H135" s="72">
        <v>0.7</v>
      </c>
      <c r="I135" s="72"/>
      <c r="J135" s="72"/>
      <c r="K135" s="72"/>
      <c r="L135" s="72"/>
      <c r="M135" s="72"/>
      <c r="N135" s="72">
        <v>230</v>
      </c>
      <c r="O135" s="72">
        <f t="shared" si="33"/>
        <v>4.6000000000000005</v>
      </c>
      <c r="P135" s="72">
        <v>0</v>
      </c>
      <c r="Q135" s="72">
        <v>15</v>
      </c>
      <c r="R135" s="72">
        <v>31.536000000000001</v>
      </c>
      <c r="S135" s="32"/>
      <c r="W135" s="26"/>
      <c r="X135" s="26"/>
      <c r="Y135" s="26" t="str">
        <f>Commodities!$AD$20&amp;"_"&amp;RIGHT(Commodities!$D$177,3)&amp;"_"&amp;$Y$3&amp;"_ST01"</f>
        <v>RSD_APA3_SH_PLT_N_ST01</v>
      </c>
      <c r="Z135" s="26" t="str">
        <f>"Apartment A3 SpHeat Pellet Boiler Standard (N)|"&amp;AG138</f>
        <v>Apartment A3 SpHeat Pellet Boiler Standard (N)|</v>
      </c>
      <c r="AA135" s="57" t="str">
        <f>General!$B$2</f>
        <v>PJ</v>
      </c>
      <c r="AB135" s="57" t="str">
        <f>General!$B$5</f>
        <v>GW</v>
      </c>
      <c r="AC135" s="57" t="s">
        <v>723</v>
      </c>
      <c r="AD135" s="57"/>
      <c r="AE135" s="26"/>
      <c r="AF135" s="32"/>
      <c r="AG135" s="32"/>
    </row>
    <row r="136" spans="2:33" ht="12.75" customHeight="1" x14ac:dyDescent="0.25">
      <c r="B136" s="26" t="str">
        <f t="shared" si="31"/>
        <v>RSD_APA2_SH_GAS_N_ST01</v>
      </c>
      <c r="C136" s="26" t="str">
        <f t="shared" si="31"/>
        <v>Apartment A2 SpHeat Gas Boiler Condensing (N)|</v>
      </c>
      <c r="D136" s="26" t="str">
        <f>Commodities!$D$166</f>
        <v>RSDGASNAT</v>
      </c>
      <c r="E136" s="26" t="str">
        <f t="shared" ref="E136:E137" si="34">E135</f>
        <v>RSD_APA2_SH</v>
      </c>
      <c r="F136" s="84">
        <f t="shared" si="32"/>
        <v>2018</v>
      </c>
      <c r="G136" s="57">
        <f>BASE_YEAR+1</f>
        <v>2018</v>
      </c>
      <c r="H136" s="72">
        <v>0.85</v>
      </c>
      <c r="I136" s="72"/>
      <c r="J136" s="72"/>
      <c r="K136" s="72"/>
      <c r="L136" s="72"/>
      <c r="M136" s="72"/>
      <c r="N136" s="72">
        <f>ROUNDUP(114.94542626643*1.5,0)</f>
        <v>173</v>
      </c>
      <c r="O136" s="72">
        <f>ROUNDDOWN(4.49036663406935,0)</f>
        <v>4</v>
      </c>
      <c r="P136" s="72">
        <v>0</v>
      </c>
      <c r="Q136" s="72">
        <v>20</v>
      </c>
      <c r="R136" s="72">
        <v>31.536000000000001</v>
      </c>
      <c r="S136" s="32"/>
      <c r="W136" s="26"/>
      <c r="X136" s="26"/>
      <c r="Y136" s="26" t="str">
        <f>Commodities!$AD$20&amp;"_"&amp;RIGHT(Commodities!$D$177,3)&amp;"_"&amp;$Y$3&amp;"_IM01"</f>
        <v>RSD_APA3_SH_PLT_N_IM01</v>
      </c>
      <c r="Z136" s="26" t="str">
        <f>"Apartment A3 SpHeat Pellet Boiler Improved (N)|"&amp;AG139</f>
        <v>Apartment A3 SpHeat Pellet Boiler Improved (N)|</v>
      </c>
      <c r="AA136" s="57" t="str">
        <f>General!$B$2</f>
        <v>PJ</v>
      </c>
      <c r="AB136" s="57" t="str">
        <f>General!$B$5</f>
        <v>GW</v>
      </c>
      <c r="AC136" s="57" t="s">
        <v>723</v>
      </c>
      <c r="AD136" s="57"/>
      <c r="AE136" s="26"/>
      <c r="AF136" s="32"/>
      <c r="AG136" s="32"/>
    </row>
    <row r="137" spans="2:33" ht="12.75" customHeight="1" x14ac:dyDescent="0.25">
      <c r="B137" s="26" t="str">
        <f t="shared" si="31"/>
        <v>RSD_APA2_SH_GAS_N_ST02</v>
      </c>
      <c r="C137" s="26" t="str">
        <f t="shared" si="31"/>
        <v>Apartment A2 Combi Gas Boiler Condensing (N)|</v>
      </c>
      <c r="D137" s="26" t="str">
        <f>Commodities!$D$166</f>
        <v>RSDGASNAT</v>
      </c>
      <c r="E137" s="26" t="str">
        <f t="shared" si="34"/>
        <v>RSD_APA2_SH</v>
      </c>
      <c r="F137" s="84">
        <f t="shared" si="32"/>
        <v>2018</v>
      </c>
      <c r="G137" s="57">
        <f>BASE_YEAR+1</f>
        <v>2018</v>
      </c>
      <c r="H137" s="72">
        <v>0.85</v>
      </c>
      <c r="I137" s="72"/>
      <c r="J137" s="72"/>
      <c r="K137" s="72"/>
      <c r="L137" s="72"/>
      <c r="M137" s="72"/>
      <c r="N137" s="72">
        <f>ROUNDUP(114.94542626643*1.5,0)</f>
        <v>173</v>
      </c>
      <c r="O137" s="72">
        <f>ROUNDDOWN(4.49036663406935,0)</f>
        <v>4</v>
      </c>
      <c r="P137" s="72">
        <v>0</v>
      </c>
      <c r="Q137" s="72">
        <v>20</v>
      </c>
      <c r="R137" s="72">
        <v>31.536000000000001</v>
      </c>
      <c r="S137" s="32"/>
      <c r="W137" s="26"/>
      <c r="X137" s="26"/>
      <c r="Y137" s="26" t="str">
        <f>Commodities!$AD$20&amp;"_"&amp;LEFT(RIGHT(Commodities!$D$166,6),3)&amp;"_"&amp;$Y$3&amp;"_ST01"</f>
        <v>RSD_APA3_SH_GAS_N_ST01</v>
      </c>
      <c r="Z137" s="26" t="str">
        <f>"Apartment A3 SpHeat Gas Boiler Condensing (N)|"&amp;AG140</f>
        <v>Apartment A3 SpHeat Gas Boiler Condensing (N)|</v>
      </c>
      <c r="AA137" s="57" t="str">
        <f>General!$B$2</f>
        <v>PJ</v>
      </c>
      <c r="AB137" s="57" t="str">
        <f>General!$B$5</f>
        <v>GW</v>
      </c>
      <c r="AC137" s="57" t="s">
        <v>723</v>
      </c>
      <c r="AD137" s="57"/>
      <c r="AE137" s="26"/>
      <c r="AF137" s="32"/>
      <c r="AG137" s="32"/>
    </row>
    <row r="138" spans="2:33" ht="12.75" customHeight="1" x14ac:dyDescent="0.25">
      <c r="D138" s="10"/>
      <c r="E138" s="26" t="str">
        <f>Commodities!$AD$26</f>
        <v>RSD_APA2_WH</v>
      </c>
      <c r="F138" s="84">
        <f>F137</f>
        <v>2018</v>
      </c>
      <c r="G138" s="10"/>
      <c r="H138" s="72" t="s">
        <v>848</v>
      </c>
      <c r="I138" s="72">
        <v>0.9</v>
      </c>
      <c r="J138" s="72" t="s">
        <v>848</v>
      </c>
      <c r="K138" s="72"/>
      <c r="L138" s="72"/>
      <c r="M138" s="72">
        <v>0.2</v>
      </c>
      <c r="N138" s="72" t="s">
        <v>848</v>
      </c>
      <c r="O138" s="72" t="s">
        <v>848</v>
      </c>
      <c r="P138" s="72" t="s">
        <v>848</v>
      </c>
      <c r="Q138" s="72" t="s">
        <v>848</v>
      </c>
      <c r="R138" s="72"/>
      <c r="S138" s="32"/>
      <c r="W138" s="26"/>
      <c r="X138" s="26"/>
      <c r="Y138" s="26" t="str">
        <f>Commodities!$AD$20&amp;"_"&amp;LEFT(RIGHT(Commodities!$D$166,6),3)&amp;"_"&amp;$Y$3&amp;"_ST02"</f>
        <v>RSD_APA3_SH_GAS_N_ST02</v>
      </c>
      <c r="Z138" s="26" t="str">
        <f>"Apartment A3 Combi Gas Boiler Condensing (N)|"&amp;AG120</f>
        <v>Apartment A3 Combi Gas Boiler Condensing (N)|</v>
      </c>
      <c r="AA138" s="57" t="str">
        <f>General!$B$2</f>
        <v>PJ</v>
      </c>
      <c r="AB138" s="57" t="str">
        <f>General!$B$5</f>
        <v>GW</v>
      </c>
      <c r="AC138" s="57" t="s">
        <v>723</v>
      </c>
      <c r="AD138" s="57"/>
      <c r="AE138" s="26"/>
      <c r="AF138" s="32"/>
      <c r="AG138" s="32"/>
    </row>
    <row r="139" spans="2:33" ht="12.75" customHeight="1" x14ac:dyDescent="0.25">
      <c r="B139" s="26" t="str">
        <f>Y89</f>
        <v>RSD_APA2_SH_GAS_N_AD01</v>
      </c>
      <c r="C139" s="26" t="str">
        <f>Z89</f>
        <v>Apartment A2 SpHeat Gas Boiler Condensing Improved (N)|</v>
      </c>
      <c r="D139" s="26" t="str">
        <f>Commodities!$D$166</f>
        <v>RSDGASNAT</v>
      </c>
      <c r="E139" s="26" t="str">
        <f>E137</f>
        <v>RSD_APA2_SH</v>
      </c>
      <c r="F139" s="84">
        <f t="shared" ref="F139:F140" si="35">G139</f>
        <v>2025</v>
      </c>
      <c r="G139" s="57">
        <f>BASE_YEAR+8</f>
        <v>2025</v>
      </c>
      <c r="H139" s="72">
        <v>0.94500000000000006</v>
      </c>
      <c r="I139" s="72"/>
      <c r="J139" s="72"/>
      <c r="K139" s="72"/>
      <c r="L139" s="72"/>
      <c r="M139" s="72"/>
      <c r="N139" s="72">
        <f>ROUNDUP(122.99160610508*1.9,0)</f>
        <v>234</v>
      </c>
      <c r="O139" s="72">
        <f>ROUNDDOWN(4.17604096968449,0)</f>
        <v>4</v>
      </c>
      <c r="P139" s="72">
        <v>0</v>
      </c>
      <c r="Q139" s="72">
        <v>20</v>
      </c>
      <c r="R139" s="72">
        <v>31.536000000000001</v>
      </c>
      <c r="W139" s="26"/>
      <c r="X139" s="26"/>
      <c r="Y139" s="26" t="str">
        <f>Commodities!$AD$20&amp;"_"&amp;LEFT(RIGHT(Commodities!$D$166,6),3)&amp;"_"&amp;$Y$3&amp;"_AD01"</f>
        <v>RSD_APA3_SH_GAS_N_AD01</v>
      </c>
      <c r="Z139" s="26" t="str">
        <f>"Apartment A3 SpHeat Gas Boiler Condensing Improved (N)|"&amp;AG141</f>
        <v>Apartment A3 SpHeat Gas Boiler Condensing Improved (N)|</v>
      </c>
      <c r="AA139" s="57" t="str">
        <f>General!$B$2</f>
        <v>PJ</v>
      </c>
      <c r="AB139" s="57" t="str">
        <f>General!$B$5</f>
        <v>GW</v>
      </c>
      <c r="AC139" s="57" t="s">
        <v>723</v>
      </c>
      <c r="AD139" s="57"/>
      <c r="AE139" s="26"/>
      <c r="AF139" s="32"/>
      <c r="AG139" s="32"/>
    </row>
    <row r="140" spans="2:33" ht="12.75" customHeight="1" x14ac:dyDescent="0.25">
      <c r="B140" s="26" t="str">
        <f>Y90</f>
        <v>RSD_APA2_SH_GAS_N_AD02</v>
      </c>
      <c r="C140" s="26" t="str">
        <f>Z90</f>
        <v>Apartment A2 Combi Gas Boiler Condensing (N)|</v>
      </c>
      <c r="D140" s="26" t="str">
        <f>Commodities!$D$166</f>
        <v>RSDGASNAT</v>
      </c>
      <c r="E140" s="26" t="str">
        <f>E139</f>
        <v>RSD_APA2_SH</v>
      </c>
      <c r="F140" s="84">
        <f t="shared" si="35"/>
        <v>2030</v>
      </c>
      <c r="G140" s="57">
        <f>BASE_YEAR+13</f>
        <v>2030</v>
      </c>
      <c r="H140" s="72">
        <v>0.94500000000000006</v>
      </c>
      <c r="I140" s="72"/>
      <c r="J140" s="72"/>
      <c r="K140" s="72"/>
      <c r="L140" s="72"/>
      <c r="M140" s="72"/>
      <c r="N140" s="72">
        <f>ROUNDUP(122.99160610508*1.9,0)</f>
        <v>234</v>
      </c>
      <c r="O140" s="72">
        <f>ROUNDDOWN(4.17604096968449,0)</f>
        <v>4</v>
      </c>
      <c r="P140" s="72">
        <v>0</v>
      </c>
      <c r="Q140" s="72">
        <v>20</v>
      </c>
      <c r="R140" s="72">
        <v>31.536000000000001</v>
      </c>
      <c r="W140" s="26"/>
      <c r="X140" s="26"/>
      <c r="Y140" s="26" t="str">
        <f>Commodities!$AD$20&amp;"_"&amp;LEFT(RIGHT(Commodities!$D$166,6),3)&amp;"_"&amp;$Y$3&amp;"_AD02"</f>
        <v>RSD_APA3_SH_GAS_N_AD02</v>
      </c>
      <c r="Z140" s="26" t="str">
        <f>"Apartment A3 Combi Gas Boiler Condensing (N)|"&amp;AG142</f>
        <v>Apartment A3 Combi Gas Boiler Condensing (N)|</v>
      </c>
      <c r="AA140" s="57" t="str">
        <f>General!$B$2</f>
        <v>PJ</v>
      </c>
      <c r="AB140" s="57" t="str">
        <f>General!$B$5</f>
        <v>GW</v>
      </c>
      <c r="AC140" s="57" t="s">
        <v>723</v>
      </c>
      <c r="AD140" s="57"/>
      <c r="AE140" s="26"/>
      <c r="AF140" s="32"/>
      <c r="AG140" s="32"/>
    </row>
    <row r="141" spans="2:33" ht="12.75" customHeight="1" x14ac:dyDescent="0.25">
      <c r="D141" s="10"/>
      <c r="E141" s="26" t="str">
        <f>E138</f>
        <v>RSD_APA2_WH</v>
      </c>
      <c r="F141" s="84">
        <f>F140</f>
        <v>2030</v>
      </c>
      <c r="G141" s="10"/>
      <c r="H141" s="72" t="s">
        <v>848</v>
      </c>
      <c r="I141" s="72">
        <v>0.94500000000000006</v>
      </c>
      <c r="J141" s="72"/>
      <c r="K141" s="72"/>
      <c r="L141" s="72"/>
      <c r="M141" s="72">
        <v>0.2</v>
      </c>
      <c r="N141" s="72" t="s">
        <v>848</v>
      </c>
      <c r="O141" s="72" t="s">
        <v>848</v>
      </c>
      <c r="P141" s="72" t="s">
        <v>848</v>
      </c>
      <c r="Q141" s="72" t="s">
        <v>848</v>
      </c>
      <c r="R141" s="72"/>
      <c r="W141" s="26"/>
      <c r="X141" s="26"/>
      <c r="Y141" s="26" t="str">
        <f>Commodities!$AD$20&amp;"_"&amp;RIGHT(Commodities!$D$347,3)&amp;"_"&amp;$Y$3&amp;"_ST01"</f>
        <v>RSD_APA3_SH_LTH_N_ST01</v>
      </c>
      <c r="Z141" s="26" t="str">
        <f>"Apartment A3 SpHeat Dist. Heat Standard (N)|"&amp;AG143</f>
        <v>Apartment A3 SpHeat Dist. Heat Standard (N)|</v>
      </c>
      <c r="AA141" s="57" t="str">
        <f>General!$B$2</f>
        <v>PJ</v>
      </c>
      <c r="AB141" s="57" t="str">
        <f>General!$B$5</f>
        <v>GW</v>
      </c>
      <c r="AC141" s="57" t="s">
        <v>723</v>
      </c>
      <c r="AD141" s="57"/>
      <c r="AE141" s="26"/>
      <c r="AF141" s="32"/>
      <c r="AG141" s="32"/>
    </row>
    <row r="142" spans="2:33" ht="12.75" customHeight="1" x14ac:dyDescent="0.25">
      <c r="B142" s="26" t="str">
        <f t="shared" ref="B142:C147" si="36">Y91</f>
        <v>RSD_APA2_SH_LTH_N_ST01</v>
      </c>
      <c r="C142" s="26" t="str">
        <f t="shared" si="36"/>
        <v>Apartment A2 SpHeat Dist. Heat Standard (N)|</v>
      </c>
      <c r="D142" s="26" t="str">
        <f>Commodities!$D$351</f>
        <v>RSDLTHA2</v>
      </c>
      <c r="E142" s="26" t="str">
        <f>E140</f>
        <v>RSD_APA2_SH</v>
      </c>
      <c r="F142" s="84">
        <f t="shared" ref="F142:F144" si="37">G142</f>
        <v>2018</v>
      </c>
      <c r="G142" s="57">
        <f>BASE_YEAR+1</f>
        <v>2018</v>
      </c>
      <c r="H142" s="72">
        <v>0.9</v>
      </c>
      <c r="I142" s="72"/>
      <c r="J142" s="72"/>
      <c r="K142" s="72"/>
      <c r="L142" s="72"/>
      <c r="M142" s="72"/>
      <c r="N142" s="72">
        <f>ROUNDUP(90.3,0)</f>
        <v>91</v>
      </c>
      <c r="O142" s="72">
        <f>ROUNDUP(9.72,0)</f>
        <v>10</v>
      </c>
      <c r="P142" s="72">
        <v>0</v>
      </c>
      <c r="Q142" s="72">
        <v>20</v>
      </c>
      <c r="R142" s="72">
        <v>31.536000000000001</v>
      </c>
      <c r="W142" s="26"/>
      <c r="X142" s="26"/>
      <c r="Y142" s="26" t="str">
        <f>Commodities!$AD$20&amp;"_"&amp;RIGHT(Commodities!$D$347,3)&amp;"_"&amp;$Y$3&amp;"_IM01"</f>
        <v>RSD_APA3_SH_LTH_N_IM01</v>
      </c>
      <c r="Z142" s="26" t="str">
        <f>"Apartment A3 SpHeat Dist. Heat Improved (N)|"&amp;AG144</f>
        <v>Apartment A3 SpHeat Dist. Heat Improved (N)|</v>
      </c>
      <c r="AA142" s="57" t="str">
        <f>General!$B$2</f>
        <v>PJ</v>
      </c>
      <c r="AB142" s="57" t="str">
        <f>General!$B$5</f>
        <v>GW</v>
      </c>
      <c r="AC142" s="57" t="s">
        <v>723</v>
      </c>
      <c r="AD142" s="57"/>
      <c r="AE142" s="26"/>
      <c r="AF142" s="32"/>
      <c r="AG142" s="32"/>
    </row>
    <row r="143" spans="2:33" ht="12.75" customHeight="1" x14ac:dyDescent="0.25">
      <c r="B143" s="26" t="str">
        <f t="shared" si="36"/>
        <v>RSD_APA2_SH_LTH_N_IM01</v>
      </c>
      <c r="C143" s="26" t="str">
        <f t="shared" si="36"/>
        <v>Apartment A2 SpHeat Dist. Heat Improved (N)|</v>
      </c>
      <c r="D143" s="26" t="str">
        <f>D142</f>
        <v>RSDLTHA2</v>
      </c>
      <c r="E143" s="26" t="str">
        <f>E142</f>
        <v>RSD_APA2_SH</v>
      </c>
      <c r="F143" s="84">
        <f t="shared" si="37"/>
        <v>2025</v>
      </c>
      <c r="G143" s="57">
        <f>BASE_YEAR+8</f>
        <v>2025</v>
      </c>
      <c r="H143" s="72">
        <f>H142*1.03</f>
        <v>0.92700000000000005</v>
      </c>
      <c r="I143" s="72"/>
      <c r="J143" s="72"/>
      <c r="K143" s="72"/>
      <c r="L143" s="72"/>
      <c r="M143" s="72"/>
      <c r="N143" s="72">
        <f>ROUNDUP(94.815*1.1,0)</f>
        <v>105</v>
      </c>
      <c r="O143" s="72">
        <f>ROUNDUP(9.234,0)</f>
        <v>10</v>
      </c>
      <c r="P143" s="72">
        <v>0</v>
      </c>
      <c r="Q143" s="72">
        <v>20</v>
      </c>
      <c r="R143" s="72">
        <v>31.536000000000001</v>
      </c>
      <c r="S143" s="26"/>
      <c r="U143" s="123"/>
      <c r="W143" s="26"/>
      <c r="X143" s="26"/>
      <c r="Y143" s="26" t="str">
        <f>Commodities!$AD$20&amp;"_"&amp;RIGHT(Commodities!$D$347,3)&amp;"_"&amp;$Y$3&amp;"_AD01"</f>
        <v>RSD_APA3_SH_LTH_N_AD01</v>
      </c>
      <c r="Z143" s="26" t="str">
        <f>"Apartment A3 SpHeat Dist. Heat Advanced (N)|"&amp;AG145</f>
        <v>Apartment A3 SpHeat Dist. Heat Advanced (N)|</v>
      </c>
      <c r="AA143" s="57" t="str">
        <f>General!$B$2</f>
        <v>PJ</v>
      </c>
      <c r="AB143" s="57" t="str">
        <f>General!$B$5</f>
        <v>GW</v>
      </c>
      <c r="AC143" s="57" t="s">
        <v>723</v>
      </c>
      <c r="AD143" s="57"/>
      <c r="AE143" s="26"/>
      <c r="AF143" s="32"/>
      <c r="AG143" s="32"/>
    </row>
    <row r="144" spans="2:33" ht="12.75" customHeight="1" x14ac:dyDescent="0.25">
      <c r="B144" s="26" t="str">
        <f t="shared" si="36"/>
        <v>RSD_APA2_SH_LTH_N_AD01</v>
      </c>
      <c r="C144" s="26" t="str">
        <f t="shared" si="36"/>
        <v>Apartment A2 SpHeat Dist. Heat Advanced (N)|</v>
      </c>
      <c r="D144" s="26" t="str">
        <f>D143</f>
        <v>RSDLTHA2</v>
      </c>
      <c r="E144" s="26" t="str">
        <f>E143</f>
        <v>RSD_APA2_SH</v>
      </c>
      <c r="F144" s="84">
        <f t="shared" si="37"/>
        <v>2035</v>
      </c>
      <c r="G144" s="57">
        <f>BASE_YEAR+18</f>
        <v>2035</v>
      </c>
      <c r="H144" s="72">
        <f>H142*1.05</f>
        <v>0.94500000000000006</v>
      </c>
      <c r="I144" s="72"/>
      <c r="J144" s="72"/>
      <c r="K144" s="72"/>
      <c r="L144" s="72"/>
      <c r="M144" s="72"/>
      <c r="N144" s="72">
        <f>ROUNDUP(99.55575*1.2,0)</f>
        <v>120</v>
      </c>
      <c r="O144" s="72">
        <f>ROUNDUP(8.7723,0)</f>
        <v>9</v>
      </c>
      <c r="P144" s="72">
        <v>0</v>
      </c>
      <c r="Q144" s="72">
        <v>20</v>
      </c>
      <c r="R144" s="72">
        <v>31.536000000000001</v>
      </c>
      <c r="S144" s="26"/>
      <c r="T144" s="123"/>
      <c r="W144" s="26"/>
      <c r="X144" s="26"/>
      <c r="Y144" s="26" t="str">
        <f>Commodities!$AD$20&amp;"_"&amp;RIGHT(Commodities!$D$340,3)&amp;"_"&amp;$Y$3&amp;"_ST01"</f>
        <v>RSD_APA3_SH_ELC_N_ST01</v>
      </c>
      <c r="Z144" s="26" t="str">
        <f>"Apartment A3 SpHeat Electric Heater Standard (N)|"&amp;AG146</f>
        <v>Apartment A3 SpHeat Electric Heater Standard (N)|</v>
      </c>
      <c r="AA144" s="57" t="str">
        <f>General!$B$2</f>
        <v>PJ</v>
      </c>
      <c r="AB144" s="57" t="str">
        <f>General!$B$5</f>
        <v>GW</v>
      </c>
      <c r="AC144" s="57" t="s">
        <v>723</v>
      </c>
      <c r="AD144" s="57"/>
      <c r="AE144" s="26"/>
      <c r="AF144" s="32"/>
      <c r="AG144" s="32"/>
    </row>
    <row r="145" spans="2:33" ht="12.75" customHeight="1" x14ac:dyDescent="0.25">
      <c r="B145" s="26" t="str">
        <f t="shared" si="36"/>
        <v>RSD_APA2_SH_ELC_N_ST01</v>
      </c>
      <c r="C145" s="26" t="str">
        <f t="shared" si="36"/>
        <v>Apartment A2 SpHeat Electric Heater Standard (N)|</v>
      </c>
      <c r="D145" s="26" t="str">
        <f>Commodities!$D$341</f>
        <v>RSDELC</v>
      </c>
      <c r="E145" s="26" t="str">
        <f t="shared" ref="E145:E147" si="38">E144</f>
        <v>RSD_APA2_SH</v>
      </c>
      <c r="F145" s="84">
        <f>G145</f>
        <v>2018</v>
      </c>
      <c r="G145" s="57">
        <f>BASE_YEAR+1</f>
        <v>2018</v>
      </c>
      <c r="H145" s="72">
        <v>0.95</v>
      </c>
      <c r="I145" s="72"/>
      <c r="J145" s="72"/>
      <c r="K145" s="72"/>
      <c r="L145" s="72"/>
      <c r="M145" s="72"/>
      <c r="N145" s="72">
        <f>ROUNDUP(320.85*0.35,0)</f>
        <v>113</v>
      </c>
      <c r="O145" s="72">
        <f>N145*0.01</f>
        <v>1.1300000000000001</v>
      </c>
      <c r="P145" s="72">
        <v>0</v>
      </c>
      <c r="Q145" s="72">
        <v>15</v>
      </c>
      <c r="R145" s="72">
        <f>31.536/5</f>
        <v>6.3071999999999999</v>
      </c>
      <c r="S145" s="26"/>
      <c r="W145" s="26"/>
      <c r="X145" s="26"/>
      <c r="Y145" s="26" t="str">
        <f>Commodities!$AD$20&amp;"_"&amp;RIGHT(Commodities!$D$340,3)&amp;"_"&amp;$Y$3&amp;"_ST02"</f>
        <v>RSD_APA3_SH_ELC_N_ST02</v>
      </c>
      <c r="Z145" s="26" t="str">
        <f>"Apartment A3 SpHeat ASHP Standard (N)|"&amp;AG147</f>
        <v>Apartment A3 SpHeat ASHP Standard (N)|</v>
      </c>
      <c r="AA145" s="57" t="str">
        <f>General!$B$2</f>
        <v>PJ</v>
      </c>
      <c r="AB145" s="57" t="str">
        <f>General!$B$5</f>
        <v>GW</v>
      </c>
      <c r="AC145" s="57" t="s">
        <v>723</v>
      </c>
      <c r="AD145" s="57"/>
      <c r="AE145" s="26"/>
      <c r="AF145" s="32"/>
      <c r="AG145" s="32"/>
    </row>
    <row r="146" spans="2:33" ht="12.75" customHeight="1" x14ac:dyDescent="0.25">
      <c r="B146" s="26" t="str">
        <f t="shared" si="36"/>
        <v>RSD_APA2_SH_ELC_N_ST02</v>
      </c>
      <c r="C146" s="26" t="str">
        <f t="shared" si="36"/>
        <v>Apartment A2 SpHeat ASHP Standard (N)|</v>
      </c>
      <c r="D146" s="26" t="str">
        <f>Commodities!$D$341</f>
        <v>RSDELC</v>
      </c>
      <c r="E146" s="26" t="str">
        <f t="shared" si="38"/>
        <v>RSD_APA2_SH</v>
      </c>
      <c r="F146" s="84">
        <f>G146</f>
        <v>2018</v>
      </c>
      <c r="G146" s="57">
        <f>BASE_YEAR+1</f>
        <v>2018</v>
      </c>
      <c r="H146" s="72">
        <v>2</v>
      </c>
      <c r="I146" s="72"/>
      <c r="J146" s="72"/>
      <c r="K146" s="72"/>
      <c r="L146" s="72"/>
      <c r="M146" s="72"/>
      <c r="N146" s="72">
        <f>ROUNDUP(612.593487394958*0.8,0)</f>
        <v>491</v>
      </c>
      <c r="O146" s="72">
        <v>1</v>
      </c>
      <c r="P146" s="72">
        <v>0</v>
      </c>
      <c r="Q146" s="72">
        <v>15</v>
      </c>
      <c r="R146" s="72">
        <v>31.536000000000001</v>
      </c>
      <c r="S146" s="26"/>
      <c r="U146" s="26"/>
      <c r="W146" s="26"/>
      <c r="X146" s="26"/>
      <c r="Y146" s="26" t="str">
        <f>Commodities!$AD$20&amp;"_"&amp;RIGHT(Commodities!$D$340,3)&amp;"_"&amp;$Y$3&amp;"_ST03"</f>
        <v>RSD_APA3_SH_ELC_N_ST03</v>
      </c>
      <c r="Z146" s="26" t="str">
        <f>"Apartment A3 SpHeat &amp; SpCooling ASHP Standard (N)|"&amp;AG148</f>
        <v>Apartment A3 SpHeat &amp; SpCooling ASHP Standard (N)|</v>
      </c>
      <c r="AA146" s="57" t="str">
        <f>General!$B$2</f>
        <v>PJ</v>
      </c>
      <c r="AB146" s="57" t="str">
        <f>General!$B$5</f>
        <v>GW</v>
      </c>
      <c r="AC146" s="57" t="s">
        <v>723</v>
      </c>
      <c r="AD146" s="57"/>
      <c r="AE146" s="26"/>
      <c r="AF146" s="32"/>
      <c r="AG146" s="32"/>
    </row>
    <row r="147" spans="2:33" ht="12.75" customHeight="1" x14ac:dyDescent="0.25">
      <c r="B147" s="26" t="str">
        <f t="shared" si="36"/>
        <v>RSD_APA2_SH_ELC_N_ST03</v>
      </c>
      <c r="C147" s="26" t="str">
        <f t="shared" si="36"/>
        <v>Apartment A2 SpHeat &amp; SpCooling ASHP Standard (N)|</v>
      </c>
      <c r="D147" s="26" t="str">
        <f>Commodities!$D$341</f>
        <v>RSDELC</v>
      </c>
      <c r="E147" s="26" t="str">
        <f t="shared" si="38"/>
        <v>RSD_APA2_SH</v>
      </c>
      <c r="F147" s="84">
        <f>G147</f>
        <v>2018</v>
      </c>
      <c r="G147" s="57">
        <f>BASE_YEAR+1</f>
        <v>2018</v>
      </c>
      <c r="H147" s="72">
        <v>2</v>
      </c>
      <c r="I147" s="72"/>
      <c r="J147" s="72"/>
      <c r="K147" s="72"/>
      <c r="L147" s="72"/>
      <c r="M147" s="72"/>
      <c r="N147" s="72">
        <f>ROUNDUP(612.593487394958*0.8,0)</f>
        <v>491</v>
      </c>
      <c r="O147" s="72">
        <v>1</v>
      </c>
      <c r="P147" s="72">
        <v>0</v>
      </c>
      <c r="Q147" s="72">
        <v>15</v>
      </c>
      <c r="R147" s="72">
        <v>31.536000000000001</v>
      </c>
      <c r="S147" s="26"/>
      <c r="T147" s="26"/>
      <c r="U147" s="26"/>
      <c r="W147" s="26"/>
      <c r="X147" s="26"/>
      <c r="Y147" s="26" t="str">
        <f>Commodities!$AD$20&amp;"_"&amp;RIGHT(Commodities!$D$340,3)&amp;"_"&amp;$Y$3&amp;"_IM01"</f>
        <v>RSD_APA3_SH_ELC_N_IM01</v>
      </c>
      <c r="Z147" s="26" t="str">
        <f>"Apartment A3 SpHeat ASHP Improved (N)|"&amp;AG149</f>
        <v>Apartment A3 SpHeat ASHP Improved (N)|</v>
      </c>
      <c r="AA147" s="57" t="str">
        <f>General!$B$2</f>
        <v>PJ</v>
      </c>
      <c r="AB147" s="57" t="str">
        <f>General!$B$5</f>
        <v>GW</v>
      </c>
      <c r="AC147" s="57" t="s">
        <v>723</v>
      </c>
      <c r="AD147" s="57"/>
      <c r="AE147" s="26"/>
      <c r="AF147" s="32"/>
      <c r="AG147" s="32"/>
    </row>
    <row r="148" spans="2:33" ht="12.75" customHeight="1" x14ac:dyDescent="0.25">
      <c r="D148" s="10"/>
      <c r="E148" s="26" t="str">
        <f>Commodities!$AD$34</f>
        <v>RSD_APA2_SC</v>
      </c>
      <c r="F148" s="84">
        <f>F147</f>
        <v>2018</v>
      </c>
      <c r="G148" s="10"/>
      <c r="H148" s="72" t="s">
        <v>848</v>
      </c>
      <c r="I148" s="72"/>
      <c r="J148" s="72">
        <f>H147*1.5</f>
        <v>3</v>
      </c>
      <c r="K148" s="72"/>
      <c r="L148" s="72"/>
      <c r="M148" s="72"/>
      <c r="N148" s="72" t="s">
        <v>848</v>
      </c>
      <c r="O148" s="72" t="s">
        <v>848</v>
      </c>
      <c r="P148" s="72" t="s">
        <v>848</v>
      </c>
      <c r="Q148" s="72" t="s">
        <v>848</v>
      </c>
      <c r="R148" s="72"/>
      <c r="S148" s="26"/>
      <c r="T148" s="26"/>
      <c r="W148" s="26"/>
      <c r="X148" s="26"/>
      <c r="Y148" s="26" t="str">
        <f>Commodities!$AD$20&amp;"_"&amp;RIGHT(Commodities!$D$340,3)&amp;"_"&amp;$Y$3&amp;"_IM02"</f>
        <v>RSD_APA3_SH_ELC_N_IM02</v>
      </c>
      <c r="Z148" s="26" t="str">
        <f>"Apartment A3 SpHeat &amp; SpCooling  ASHP Improved (N)|"&amp;AG150</f>
        <v>Apartment A3 SpHeat &amp; SpCooling  ASHP Improved (N)|</v>
      </c>
      <c r="AA148" s="57" t="str">
        <f>General!$B$2</f>
        <v>PJ</v>
      </c>
      <c r="AB148" s="57" t="str">
        <f>General!$B$5</f>
        <v>GW</v>
      </c>
      <c r="AC148" s="57" t="s">
        <v>723</v>
      </c>
      <c r="AD148" s="57"/>
      <c r="AE148" s="26"/>
      <c r="AF148" s="32"/>
      <c r="AG148" s="32"/>
    </row>
    <row r="149" spans="2:33" ht="12.75" customHeight="1" x14ac:dyDescent="0.25">
      <c r="B149" s="26" t="str">
        <f>Y97</f>
        <v>RSD_APA2_SH_ELC_N_IM01</v>
      </c>
      <c r="C149" s="26" t="str">
        <f>Z97</f>
        <v>Apartment A2 SpHeat ASHP Improved (N)|</v>
      </c>
      <c r="D149" s="26" t="str">
        <f>Commodities!$D$341</f>
        <v>RSDELC</v>
      </c>
      <c r="E149" s="26" t="str">
        <f>E147</f>
        <v>RSD_APA2_SH</v>
      </c>
      <c r="F149" s="84">
        <f>G149</f>
        <v>2025</v>
      </c>
      <c r="G149" s="57">
        <f>BASE_YEAR+8</f>
        <v>2025</v>
      </c>
      <c r="H149" s="72">
        <v>2.5</v>
      </c>
      <c r="I149" s="72"/>
      <c r="J149" s="72"/>
      <c r="K149" s="72"/>
      <c r="L149" s="72"/>
      <c r="M149" s="72"/>
      <c r="N149" s="72">
        <f>ROUNDUP(655.475031512605*0.9,0)</f>
        <v>590</v>
      </c>
      <c r="O149" s="72">
        <v>1</v>
      </c>
      <c r="P149" s="72">
        <v>0</v>
      </c>
      <c r="Q149" s="72">
        <v>15</v>
      </c>
      <c r="R149" s="72">
        <v>31.536000000000001</v>
      </c>
      <c r="U149" s="26"/>
      <c r="W149" s="26"/>
      <c r="X149" s="26"/>
      <c r="Y149" s="26" t="str">
        <f>Commodities!$AD$20&amp;"_"&amp;RIGHT(Commodities!$D$340,3)&amp;"_"&amp;$Y$3&amp;"_AD01"</f>
        <v>RSD_APA3_SH_ELC_N_AD01</v>
      </c>
      <c r="Z149" s="26" t="str">
        <f>"Apartment A3 SpHeat ASHP Advanced (N)|"&amp;AG151</f>
        <v>Apartment A3 SpHeat ASHP Advanced (N)|</v>
      </c>
      <c r="AA149" s="57" t="str">
        <f>General!$B$2</f>
        <v>PJ</v>
      </c>
      <c r="AB149" s="57" t="str">
        <f>General!$B$5</f>
        <v>GW</v>
      </c>
      <c r="AC149" s="57" t="s">
        <v>723</v>
      </c>
      <c r="AD149" s="57"/>
      <c r="AE149" s="26"/>
      <c r="AF149" s="32"/>
      <c r="AG149" s="32"/>
    </row>
    <row r="150" spans="2:33" ht="12.75" customHeight="1" x14ac:dyDescent="0.25">
      <c r="B150" s="26" t="str">
        <f>Y98</f>
        <v>RSD_APA2_SH_ELC_N_IM02</v>
      </c>
      <c r="C150" s="26" t="str">
        <f>Z98</f>
        <v>Apartment A2 SpHeat &amp; SpCooling  ASHP Improved (N)|</v>
      </c>
      <c r="D150" s="26" t="str">
        <f>Commodities!$D$341</f>
        <v>RSDELC</v>
      </c>
      <c r="E150" s="26" t="str">
        <f>E149</f>
        <v>RSD_APA2_SH</v>
      </c>
      <c r="F150" s="84">
        <f>G150</f>
        <v>2025</v>
      </c>
      <c r="G150" s="57">
        <f>BASE_YEAR+8</f>
        <v>2025</v>
      </c>
      <c r="H150" s="72">
        <v>2.5</v>
      </c>
      <c r="I150" s="72"/>
      <c r="J150" s="72"/>
      <c r="K150" s="72"/>
      <c r="L150" s="72"/>
      <c r="M150" s="72"/>
      <c r="N150" s="72">
        <f>ROUNDUP(655.475031512605*0.9,0)</f>
        <v>590</v>
      </c>
      <c r="O150" s="72">
        <v>1</v>
      </c>
      <c r="P150" s="72">
        <v>0</v>
      </c>
      <c r="Q150" s="72">
        <v>15</v>
      </c>
      <c r="R150" s="72">
        <v>31.536000000000001</v>
      </c>
      <c r="T150" s="26"/>
      <c r="U150" s="26"/>
      <c r="W150" s="26"/>
      <c r="X150" s="26"/>
      <c r="Y150" s="26" t="str">
        <f>Commodities!$AD$20&amp;"_"&amp;RIGHT(Commodities!$D$340,3)&amp;"_"&amp;$Y$3&amp;"_AD02"</f>
        <v>RSD_APA3_SH_ELC_N_AD02</v>
      </c>
      <c r="Z150" s="26" t="str">
        <f>"Apartment A3 SpHeat &amp; SpCooling ASHP Advanced (N)|"&amp;AG152</f>
        <v>Apartment A3 SpHeat &amp; SpCooling ASHP Advanced (N)|</v>
      </c>
      <c r="AA150" s="57" t="str">
        <f>General!$B$2</f>
        <v>PJ</v>
      </c>
      <c r="AB150" s="57" t="str">
        <f>General!$B$5</f>
        <v>GW</v>
      </c>
      <c r="AC150" s="57" t="s">
        <v>723</v>
      </c>
      <c r="AD150" s="57"/>
      <c r="AE150" s="26"/>
      <c r="AF150" s="32"/>
      <c r="AG150" s="32"/>
    </row>
    <row r="151" spans="2:33" ht="12.75" customHeight="1" x14ac:dyDescent="0.25">
      <c r="D151" s="10"/>
      <c r="E151" s="26" t="str">
        <f>E148</f>
        <v>RSD_APA2_SC</v>
      </c>
      <c r="F151" s="84">
        <f>F150</f>
        <v>2025</v>
      </c>
      <c r="G151" s="10"/>
      <c r="H151" s="72" t="s">
        <v>848</v>
      </c>
      <c r="I151" s="72"/>
      <c r="J151" s="72">
        <f>H150*1.5</f>
        <v>3.75</v>
      </c>
      <c r="K151" s="72"/>
      <c r="L151" s="72"/>
      <c r="M151" s="72"/>
      <c r="N151" s="72" t="s">
        <v>848</v>
      </c>
      <c r="O151" s="72" t="s">
        <v>848</v>
      </c>
      <c r="P151" s="72" t="s">
        <v>848</v>
      </c>
      <c r="Q151" s="72" t="s">
        <v>848</v>
      </c>
      <c r="R151" s="72"/>
      <c r="T151" s="26"/>
      <c r="W151" s="26"/>
      <c r="X151" s="26"/>
      <c r="Y151" s="26" t="str">
        <f>Commodities!$AD$20&amp;"_"&amp;RIGHT(Commodities!$D$182,3)&amp;"_"&amp;$Y$3&amp;"_ST01"</f>
        <v>RSD_APA3_SH_GEO_N_ST01</v>
      </c>
      <c r="Z151" s="26" t="str">
        <f>"Apartment A3 SpHeat GSHP Standard (N)|"&amp;AG153</f>
        <v>Apartment A3 SpHeat GSHP Standard (N)|</v>
      </c>
      <c r="AA151" s="57" t="str">
        <f>General!$B$2</f>
        <v>PJ</v>
      </c>
      <c r="AB151" s="57" t="str">
        <f>General!$B$5</f>
        <v>GW</v>
      </c>
      <c r="AC151" s="57" t="s">
        <v>723</v>
      </c>
      <c r="AD151" s="57"/>
      <c r="AE151" s="26"/>
      <c r="AF151" s="32"/>
      <c r="AG151" s="32"/>
    </row>
    <row r="152" spans="2:33" ht="12.75" customHeight="1" x14ac:dyDescent="0.25">
      <c r="B152" s="26" t="str">
        <f>Y99</f>
        <v>RSD_APA2_SH_ELC_N_AD01</v>
      </c>
      <c r="C152" s="26" t="str">
        <f>Z99</f>
        <v>Apartment A2 SpHeat ASHP Advanced (N)|</v>
      </c>
      <c r="D152" s="26" t="str">
        <f>Commodities!$D$341</f>
        <v>RSDELC</v>
      </c>
      <c r="E152" s="26" t="str">
        <f>E150</f>
        <v>RSD_APA2_SH</v>
      </c>
      <c r="F152" s="84">
        <f>G152</f>
        <v>2035</v>
      </c>
      <c r="G152" s="57">
        <f>BASE_YEAR+18</f>
        <v>2035</v>
      </c>
      <c r="H152" s="72">
        <v>3</v>
      </c>
      <c r="I152" s="72"/>
      <c r="J152" s="72"/>
      <c r="K152" s="72"/>
      <c r="L152" s="72"/>
      <c r="M152" s="72"/>
      <c r="N152" s="72">
        <f>ROUNDUP(688.248783088235,0)</f>
        <v>689</v>
      </c>
      <c r="O152" s="72">
        <v>1</v>
      </c>
      <c r="P152" s="72">
        <v>0</v>
      </c>
      <c r="Q152" s="72">
        <v>15</v>
      </c>
      <c r="R152" s="72">
        <v>31.536000000000001</v>
      </c>
      <c r="W152" s="26"/>
      <c r="X152" s="26"/>
      <c r="Y152" s="26" t="str">
        <f>Commodities!$AD$20&amp;"_"&amp;RIGHT(Commodities!$D$182,3)&amp;"_"&amp;$Y$3&amp;"_ST02"</f>
        <v>RSD_APA3_SH_GEO_N_ST02</v>
      </c>
      <c r="Z152" s="26" t="str">
        <f>"Apartment A3 SpHeat &amp; SpCooling GSHP Standard (N)|"&amp;AG154</f>
        <v>Apartment A3 SpHeat &amp; SpCooling GSHP Standard (N)|</v>
      </c>
      <c r="AA152" s="57" t="str">
        <f>General!$B$2</f>
        <v>PJ</v>
      </c>
      <c r="AB152" s="57" t="str">
        <f>General!$B$5</f>
        <v>GW</v>
      </c>
      <c r="AC152" s="57" t="s">
        <v>723</v>
      </c>
      <c r="AD152" s="57"/>
      <c r="AE152" s="26"/>
      <c r="AF152" s="32"/>
      <c r="AG152" s="32"/>
    </row>
    <row r="153" spans="2:33" ht="12.75" customHeight="1" x14ac:dyDescent="0.25">
      <c r="B153" s="26" t="str">
        <f>Y100</f>
        <v>RSD_APA2_SH_ELC_N_AD02</v>
      </c>
      <c r="C153" s="26" t="str">
        <f>Z100</f>
        <v>Apartment A2 SpHeat &amp; SpCooling ASHP Advanced (N)|</v>
      </c>
      <c r="D153" s="26" t="str">
        <f>Commodities!$D$341</f>
        <v>RSDELC</v>
      </c>
      <c r="E153" s="26" t="str">
        <f>E152</f>
        <v>RSD_APA2_SH</v>
      </c>
      <c r="F153" s="84">
        <f>G153</f>
        <v>2035</v>
      </c>
      <c r="G153" s="57">
        <f>BASE_YEAR+18</f>
        <v>2035</v>
      </c>
      <c r="H153" s="72">
        <v>3</v>
      </c>
      <c r="I153" s="72"/>
      <c r="J153" s="72"/>
      <c r="K153" s="72"/>
      <c r="L153" s="72"/>
      <c r="M153" s="72"/>
      <c r="N153" s="72">
        <f>ROUNDUP(688.248783088235,0)</f>
        <v>689</v>
      </c>
      <c r="O153" s="72">
        <v>1</v>
      </c>
      <c r="P153" s="72">
        <v>0</v>
      </c>
      <c r="Q153" s="72">
        <v>15</v>
      </c>
      <c r="R153" s="72">
        <v>31.536000000000001</v>
      </c>
      <c r="W153" s="26"/>
      <c r="X153" s="26"/>
      <c r="Y153" s="26" t="str">
        <f>Commodities!$AD$20&amp;"_"&amp;RIGHT(Commodities!$D$182,3)&amp;"_"&amp;$Y$3&amp;"_IM01"</f>
        <v>RSD_APA3_SH_GEO_N_IM01</v>
      </c>
      <c r="Z153" s="26" t="str">
        <f>"Apartment A3 SpHeat GSHP Improved (N)|"&amp;AG155</f>
        <v>Apartment A3 SpHeat GSHP Improved (N)|</v>
      </c>
      <c r="AA153" s="57" t="str">
        <f>General!$B$2</f>
        <v>PJ</v>
      </c>
      <c r="AB153" s="57" t="str">
        <f>General!$B$5</f>
        <v>GW</v>
      </c>
      <c r="AC153" s="57" t="s">
        <v>723</v>
      </c>
      <c r="AD153" s="57"/>
      <c r="AE153" s="26"/>
      <c r="AF153" s="32"/>
      <c r="AG153" s="32"/>
    </row>
    <row r="154" spans="2:33" ht="12.75" customHeight="1" x14ac:dyDescent="0.25">
      <c r="D154" s="10"/>
      <c r="E154" s="26" t="str">
        <f>E151</f>
        <v>RSD_APA2_SC</v>
      </c>
      <c r="F154" s="84">
        <f>F153</f>
        <v>2035</v>
      </c>
      <c r="G154" s="10"/>
      <c r="H154" s="72" t="s">
        <v>848</v>
      </c>
      <c r="I154" s="72"/>
      <c r="J154" s="72">
        <f>H153*1.5</f>
        <v>4.5</v>
      </c>
      <c r="K154" s="72"/>
      <c r="L154" s="72"/>
      <c r="M154" s="72"/>
      <c r="N154" s="72" t="s">
        <v>848</v>
      </c>
      <c r="O154" s="72" t="s">
        <v>848</v>
      </c>
      <c r="P154" s="72" t="s">
        <v>848</v>
      </c>
      <c r="Q154" s="72" t="s">
        <v>848</v>
      </c>
      <c r="R154" s="72"/>
      <c r="W154" s="26"/>
      <c r="X154" s="26"/>
      <c r="Y154" s="26" t="str">
        <f>Commodities!$AD$20&amp;"_"&amp;RIGHT(Commodities!$D$182,3)&amp;"_"&amp;$Y$3&amp;"_IM02"</f>
        <v>RSD_APA3_SH_GEO_N_IM02</v>
      </c>
      <c r="Z154" s="26" t="str">
        <f>"Apartment A3 SpHeat &amp; SpCooling GSHP Improved (N)|"&amp;AG156</f>
        <v>Apartment A3 SpHeat &amp; SpCooling GSHP Improved (N)|</v>
      </c>
      <c r="AA154" s="57" t="str">
        <f>General!$B$2</f>
        <v>PJ</v>
      </c>
      <c r="AB154" s="57" t="str">
        <f>General!$B$5</f>
        <v>GW</v>
      </c>
      <c r="AC154" s="57" t="s">
        <v>723</v>
      </c>
      <c r="AD154" s="57"/>
      <c r="AE154" s="26"/>
      <c r="AF154" s="32"/>
      <c r="AG154" s="32"/>
    </row>
    <row r="155" spans="2:33" ht="12.75" customHeight="1" x14ac:dyDescent="0.25">
      <c r="B155" s="26" t="str">
        <f>Y101</f>
        <v>RSD_APA2_SH_GEO_N_ST01</v>
      </c>
      <c r="C155" s="26" t="str">
        <f>Z101</f>
        <v>Apartment A2 SpHeat GSHP Standard (N)|</v>
      </c>
      <c r="D155" s="26" t="str">
        <f>Commodities!$D$341</f>
        <v>RSDELC</v>
      </c>
      <c r="E155" s="26" t="str">
        <f>E153</f>
        <v>RSD_APA2_SH</v>
      </c>
      <c r="F155" s="84">
        <f>G155</f>
        <v>2020</v>
      </c>
      <c r="G155" s="57">
        <f>BASE_YEAR+3</f>
        <v>2020</v>
      </c>
      <c r="H155" s="72">
        <v>4</v>
      </c>
      <c r="I155" s="72"/>
      <c r="J155" s="72"/>
      <c r="K155" s="72"/>
      <c r="L155" s="72"/>
      <c r="M155" s="72"/>
      <c r="N155" s="72">
        <v>859.22430830039525</v>
      </c>
      <c r="O155" s="72">
        <v>1.7085427135678393</v>
      </c>
      <c r="P155" s="72">
        <v>0</v>
      </c>
      <c r="Q155" s="72">
        <v>15</v>
      </c>
      <c r="R155" s="72">
        <v>31.536000000000001</v>
      </c>
      <c r="W155" s="26"/>
      <c r="X155" s="26"/>
      <c r="Y155" s="26" t="str">
        <f>Commodities!$AD$20&amp;"_"&amp;LEFT(RIGHT(Commodities!$D$159,3),3)&amp;"_"&amp;$Y$3&amp;"_AD02"</f>
        <v>RSD_APA3_SH_DSL_N_AD02</v>
      </c>
      <c r="Z155" s="26" t="str">
        <f>"Apartment A3 SpHeat DieselOil Advanced (N)|"&amp;AG157</f>
        <v>Apartment A3 SpHeat DieselOil Advanced (N)|</v>
      </c>
      <c r="AA155" s="57" t="str">
        <f>General!$B$2</f>
        <v>PJ</v>
      </c>
      <c r="AB155" s="57" t="str">
        <f>General!$B$5</f>
        <v>GW</v>
      </c>
      <c r="AC155" s="57" t="s">
        <v>723</v>
      </c>
      <c r="AD155" s="57"/>
      <c r="AE155" s="26"/>
      <c r="AF155" s="32"/>
      <c r="AG155" s="32"/>
    </row>
    <row r="156" spans="2:33" ht="12.75" customHeight="1" x14ac:dyDescent="0.25">
      <c r="D156" s="26" t="str">
        <f>Commodities!$D$182</f>
        <v>RSDRESGEO</v>
      </c>
      <c r="E156" s="10"/>
      <c r="F156" s="84">
        <f>F155</f>
        <v>2020</v>
      </c>
      <c r="G156" s="10"/>
      <c r="H156" s="72" t="s">
        <v>848</v>
      </c>
      <c r="I156" s="72"/>
      <c r="J156" s="72" t="s">
        <v>848</v>
      </c>
      <c r="K156" s="72"/>
      <c r="L156" s="72">
        <v>0.2</v>
      </c>
      <c r="M156" s="72"/>
      <c r="N156" s="72" t="s">
        <v>848</v>
      </c>
      <c r="O156" s="72" t="s">
        <v>848</v>
      </c>
      <c r="P156" s="72" t="s">
        <v>848</v>
      </c>
      <c r="Q156" s="72" t="s">
        <v>848</v>
      </c>
      <c r="R156" s="72">
        <v>31.536000000000001</v>
      </c>
      <c r="W156" s="26"/>
      <c r="X156" s="26"/>
      <c r="Y156" s="26" t="str">
        <f>Commodities!$AD$20&amp;"_"&amp;LEFT(RIGHT(Commodities!$D$161,3),3)&amp;"_"&amp;$Y$3&amp;"_AD02"</f>
        <v>RSD_APA3_SH_LPG_N_AD02</v>
      </c>
      <c r="Z156" s="26" t="str">
        <f>"Apartment A3 SpHeat LPG Boiler Advanced (N)|"&amp;AG158</f>
        <v>Apartment A3 SpHeat LPG Boiler Advanced (N)|</v>
      </c>
      <c r="AA156" s="57" t="str">
        <f>General!$B$2</f>
        <v>PJ</v>
      </c>
      <c r="AB156" s="57" t="str">
        <f>General!$B$5</f>
        <v>GW</v>
      </c>
      <c r="AC156" s="57" t="s">
        <v>723</v>
      </c>
      <c r="AD156" s="57"/>
      <c r="AE156" s="26"/>
      <c r="AF156" s="32"/>
      <c r="AG156" s="32"/>
    </row>
    <row r="157" spans="2:33" ht="12.75" customHeight="1" x14ac:dyDescent="0.25">
      <c r="B157" s="26" t="str">
        <f>Y102</f>
        <v>RSD_APA2_SH_GEO_N_ST02</v>
      </c>
      <c r="C157" s="26" t="str">
        <f>Z102</f>
        <v>Apartment A2 SpHeat &amp; SpCooling GSHP Standard (N)|</v>
      </c>
      <c r="D157" s="26" t="str">
        <f>Commodities!$D$341</f>
        <v>RSDELC</v>
      </c>
      <c r="E157" s="26" t="str">
        <f>E153</f>
        <v>RSD_APA2_SH</v>
      </c>
      <c r="F157" s="84">
        <f>G157</f>
        <v>2018</v>
      </c>
      <c r="G157" s="57">
        <f>BASE_YEAR+1</f>
        <v>2018</v>
      </c>
      <c r="H157" s="72">
        <v>4</v>
      </c>
      <c r="I157" s="72"/>
      <c r="J157" s="72"/>
      <c r="K157" s="72"/>
      <c r="L157" s="72"/>
      <c r="M157" s="72"/>
      <c r="N157" s="72">
        <v>859.22430830039525</v>
      </c>
      <c r="O157" s="72">
        <v>1.7085427135678393</v>
      </c>
      <c r="P157" s="72">
        <v>0</v>
      </c>
      <c r="Q157" s="72">
        <v>15</v>
      </c>
      <c r="R157" s="72">
        <v>31.536000000000001</v>
      </c>
      <c r="W157" s="26"/>
      <c r="X157" s="26"/>
      <c r="Y157" s="26" t="str">
        <f>Commodities!$AD$21&amp;"_"&amp;RIGHT(Commodities!$D$153,3)&amp;"_"&amp;$Y$3&amp;"_ST"</f>
        <v>RSD_DTA4_SH_BIC_N_ST</v>
      </c>
      <c r="Z157" s="26" t="str">
        <f>"Detached A4 SpHeat Coal Boiler Standard (N)|"&amp;AG157</f>
        <v>Detached A4 SpHeat Coal Boiler Standard (N)|</v>
      </c>
      <c r="AA157" s="57" t="str">
        <f>General!$B$2</f>
        <v>PJ</v>
      </c>
      <c r="AB157" s="57" t="str">
        <f>General!$B$5</f>
        <v>GW</v>
      </c>
      <c r="AC157" s="57" t="s">
        <v>723</v>
      </c>
      <c r="AD157" s="57"/>
      <c r="AE157" s="26"/>
      <c r="AF157" s="32"/>
      <c r="AG157" s="32"/>
    </row>
    <row r="158" spans="2:33" ht="12.75" customHeight="1" x14ac:dyDescent="0.25">
      <c r="D158" s="26" t="str">
        <f>Commodities!$D$182</f>
        <v>RSDRESGEO</v>
      </c>
      <c r="E158" s="26" t="str">
        <f>E154</f>
        <v>RSD_APA2_SC</v>
      </c>
      <c r="F158" s="84">
        <f>F157</f>
        <v>2018</v>
      </c>
      <c r="G158" s="10"/>
      <c r="H158" s="72" t="s">
        <v>848</v>
      </c>
      <c r="I158" s="72"/>
      <c r="J158" s="72"/>
      <c r="K158" s="72"/>
      <c r="L158" s="72">
        <v>0.2</v>
      </c>
      <c r="M158" s="72"/>
      <c r="N158" s="72" t="s">
        <v>848</v>
      </c>
      <c r="O158" s="72" t="s">
        <v>848</v>
      </c>
      <c r="P158" s="72" t="s">
        <v>848</v>
      </c>
      <c r="Q158" s="72" t="s">
        <v>848</v>
      </c>
      <c r="R158" s="72">
        <v>31.536000000000001</v>
      </c>
      <c r="W158" s="26"/>
      <c r="X158" s="26"/>
      <c r="Y158" s="26" t="str">
        <f>Commodities!$AD$21&amp;"_"&amp;RIGHT(Commodities!$D$167,3)&amp;"_"&amp;$Y$3&amp;"_ST01"</f>
        <v>RSD_DTA4_SH_LOG_N_ST01</v>
      </c>
      <c r="Z158" s="26" t="str">
        <f>"Detached A4 SpHeat Wood Stove Standard (N)|"&amp;AG158</f>
        <v>Detached A4 SpHeat Wood Stove Standard (N)|</v>
      </c>
      <c r="AA158" s="57" t="str">
        <f>General!$B$2</f>
        <v>PJ</v>
      </c>
      <c r="AB158" s="57" t="str">
        <f>General!$B$5</f>
        <v>GW</v>
      </c>
      <c r="AC158" s="57" t="s">
        <v>723</v>
      </c>
      <c r="AD158" s="57"/>
      <c r="AE158" s="26"/>
      <c r="AF158" s="32"/>
      <c r="AG158" s="32"/>
    </row>
    <row r="159" spans="2:33" ht="12.75" customHeight="1" x14ac:dyDescent="0.25">
      <c r="B159" s="26" t="str">
        <f>Y103</f>
        <v>RSD_APA2_SH_GEO_N_IM01</v>
      </c>
      <c r="C159" s="26" t="str">
        <f>Z103</f>
        <v>Apartment A2 SpHeat GSHP Improved (N)|</v>
      </c>
      <c r="D159" s="26" t="str">
        <f>Commodities!$D$341</f>
        <v>RSDELC</v>
      </c>
      <c r="E159" s="26" t="str">
        <f>E157</f>
        <v>RSD_APA2_SH</v>
      </c>
      <c r="F159" s="84">
        <f>G159</f>
        <v>2025</v>
      </c>
      <c r="G159" s="57">
        <f>BASE_YEAR+8</f>
        <v>2025</v>
      </c>
      <c r="H159" s="72">
        <v>4.3</v>
      </c>
      <c r="I159" s="72"/>
      <c r="J159" s="72"/>
      <c r="K159" s="72"/>
      <c r="L159" s="72"/>
      <c r="M159" s="72"/>
      <c r="N159" s="72">
        <v>919.37000988142302</v>
      </c>
      <c r="O159" s="72">
        <v>1.5889447236180905</v>
      </c>
      <c r="P159" s="72">
        <v>0</v>
      </c>
      <c r="Q159" s="72">
        <v>15</v>
      </c>
      <c r="R159" s="72">
        <v>31.536000000000001</v>
      </c>
      <c r="W159" s="26"/>
      <c r="X159" s="26"/>
      <c r="Y159" s="26" t="str">
        <f>Commodities!$AD$21&amp;"_"&amp;RIGHT(Commodities!$D$167,3)&amp;"_"&amp;$Y$3&amp;"_ST02"</f>
        <v>RSD_DTA4_SH_LOG_N_ST02</v>
      </c>
      <c r="Z159" s="26" t="str">
        <f>"Detached A4 SpHeat Wood Boiler Standard (N)|"&amp;AG159</f>
        <v>Detached A4 SpHeat Wood Boiler Standard (N)|</v>
      </c>
      <c r="AA159" s="57" t="str">
        <f>General!$B$2</f>
        <v>PJ</v>
      </c>
      <c r="AB159" s="57" t="str">
        <f>General!$B$5</f>
        <v>GW</v>
      </c>
      <c r="AC159" s="57" t="s">
        <v>723</v>
      </c>
      <c r="AD159" s="57"/>
      <c r="AE159" s="26"/>
      <c r="AF159" s="32"/>
      <c r="AG159" s="32"/>
    </row>
    <row r="160" spans="2:33" ht="12.75" customHeight="1" x14ac:dyDescent="0.25">
      <c r="D160" s="26" t="str">
        <f>Commodities!$D$182</f>
        <v>RSDRESGEO</v>
      </c>
      <c r="E160" s="10"/>
      <c r="F160" s="84">
        <f>F159</f>
        <v>2025</v>
      </c>
      <c r="G160" s="10"/>
      <c r="H160" s="72" t="s">
        <v>848</v>
      </c>
      <c r="I160" s="72"/>
      <c r="J160" s="72"/>
      <c r="K160" s="72"/>
      <c r="L160" s="72">
        <v>0.2</v>
      </c>
      <c r="M160" s="72"/>
      <c r="N160" s="72" t="s">
        <v>848</v>
      </c>
      <c r="O160" s="72" t="s">
        <v>848</v>
      </c>
      <c r="P160" s="72" t="s">
        <v>848</v>
      </c>
      <c r="Q160" s="72" t="s">
        <v>848</v>
      </c>
      <c r="R160" s="72">
        <v>31.536000000000001</v>
      </c>
      <c r="W160" s="26"/>
      <c r="X160" s="26"/>
      <c r="Y160" s="26" t="str">
        <f>Commodities!$AD$21&amp;"_"&amp;RIGHT(Commodities!$D$177,3)&amp;"_"&amp;$Y$3&amp;"_ST01"</f>
        <v>RSD_DTA4_SH_PLT_N_ST01</v>
      </c>
      <c r="Z160" s="26" t="str">
        <f>"Detached A4 SpHeat Pellet Boiler Standard (N)|"&amp;AG160</f>
        <v>Detached A4 SpHeat Pellet Boiler Standard (N)|</v>
      </c>
      <c r="AA160" s="57" t="str">
        <f>General!$B$2</f>
        <v>PJ</v>
      </c>
      <c r="AB160" s="57" t="str">
        <f>General!$B$5</f>
        <v>GW</v>
      </c>
      <c r="AC160" s="57" t="s">
        <v>723</v>
      </c>
      <c r="AD160" s="57"/>
      <c r="AE160" s="26"/>
      <c r="AF160" s="32"/>
      <c r="AG160" s="32"/>
    </row>
    <row r="161" spans="2:33" ht="12.75" customHeight="1" x14ac:dyDescent="0.25">
      <c r="B161" s="26" t="str">
        <f>Y104</f>
        <v>RSD_APA2_SH_GEO_N_IM02</v>
      </c>
      <c r="C161" s="26" t="str">
        <f>Z104</f>
        <v>Apartment A2 SpHeat &amp; SpCooling GSHP Improved (N)|</v>
      </c>
      <c r="D161" s="26" t="str">
        <f>Commodities!$D$341</f>
        <v>RSDELC</v>
      </c>
      <c r="E161" s="26" t="str">
        <f>E157</f>
        <v>RSD_APA2_SH</v>
      </c>
      <c r="F161" s="84">
        <f>G161</f>
        <v>2025</v>
      </c>
      <c r="G161" s="57">
        <f>BASE_YEAR+8</f>
        <v>2025</v>
      </c>
      <c r="H161" s="72">
        <v>4.5</v>
      </c>
      <c r="I161" s="72"/>
      <c r="J161" s="72"/>
      <c r="K161" s="72"/>
      <c r="L161" s="72"/>
      <c r="M161" s="72"/>
      <c r="N161" s="72">
        <v>983.72591057312263</v>
      </c>
      <c r="O161" s="72">
        <v>1.477718592964824</v>
      </c>
      <c r="P161" s="72">
        <v>0</v>
      </c>
      <c r="Q161" s="72">
        <v>15</v>
      </c>
      <c r="R161" s="72">
        <v>31.536000000000001</v>
      </c>
      <c r="W161" s="32"/>
      <c r="X161" s="32"/>
      <c r="Y161" s="26" t="str">
        <f>Commodities!$AD$21&amp;"_"&amp;RIGHT(Commodities!$D$177,3)&amp;"_"&amp;$Y$3&amp;"_IM01"</f>
        <v>RSD_DTA4_SH_PLT_N_IM01</v>
      </c>
      <c r="Z161" s="26" t="str">
        <f>"Detached A4 SpHeat Pellet Boiler Improved (N)|"&amp;AG161</f>
        <v>Detached A4 SpHeat Pellet Boiler Improved (N)|</v>
      </c>
      <c r="AA161" s="57" t="str">
        <f>General!$B$2</f>
        <v>PJ</v>
      </c>
      <c r="AB161" s="57" t="str">
        <f>General!$B$5</f>
        <v>GW</v>
      </c>
      <c r="AC161" s="57" t="s">
        <v>723</v>
      </c>
      <c r="AD161" s="32"/>
      <c r="AE161" s="32"/>
      <c r="AF161" s="32"/>
      <c r="AG161" s="32"/>
    </row>
    <row r="162" spans="2:33" ht="12.75" customHeight="1" x14ac:dyDescent="0.25">
      <c r="D162" s="26" t="str">
        <f>Commodities!$D$182</f>
        <v>RSDRESGEO</v>
      </c>
      <c r="E162" s="26" t="str">
        <f>E158</f>
        <v>RSD_APA2_SC</v>
      </c>
      <c r="F162" s="84">
        <f>F161</f>
        <v>2025</v>
      </c>
      <c r="G162" s="10"/>
      <c r="H162" s="72" t="s">
        <v>848</v>
      </c>
      <c r="I162" s="72"/>
      <c r="J162" s="72" t="s">
        <v>848</v>
      </c>
      <c r="K162" s="72"/>
      <c r="L162" s="72">
        <v>0.2</v>
      </c>
      <c r="M162" s="72"/>
      <c r="N162" s="72" t="s">
        <v>848</v>
      </c>
      <c r="O162" s="72" t="s">
        <v>848</v>
      </c>
      <c r="P162" s="72" t="s">
        <v>848</v>
      </c>
      <c r="Q162" s="72" t="s">
        <v>848</v>
      </c>
      <c r="R162" s="72">
        <v>31.536000000000001</v>
      </c>
      <c r="W162" s="32"/>
      <c r="X162" s="32"/>
      <c r="Y162" s="26" t="str">
        <f>Commodities!$AD$21&amp;"_"&amp;LEFT(RIGHT(Commodities!$D$166,6),3)&amp;"_"&amp;$Y$3&amp;"_ST01"</f>
        <v>RSD_DTA4_SH_GAS_N_ST01</v>
      </c>
      <c r="Z162" s="26" t="str">
        <f>"Detached A4 SpHeat Gas Boiler Condensing (N)|"&amp;AG162</f>
        <v>Detached A4 SpHeat Gas Boiler Condensing (N)|</v>
      </c>
      <c r="AA162" s="57" t="str">
        <f>General!$B$2</f>
        <v>PJ</v>
      </c>
      <c r="AB162" s="57" t="str">
        <f>General!$B$5</f>
        <v>GW</v>
      </c>
      <c r="AC162" s="57" t="s">
        <v>723</v>
      </c>
      <c r="AD162" s="32"/>
      <c r="AE162" s="32"/>
      <c r="AF162" s="32"/>
      <c r="AG162" s="32"/>
    </row>
    <row r="163" spans="2:33" ht="12.75" customHeight="1" x14ac:dyDescent="0.25">
      <c r="B163" s="26" t="str">
        <f>Y105</f>
        <v>RSD_APA2_SH_DSL_N_AD02</v>
      </c>
      <c r="C163" s="26" t="str">
        <f>Z105</f>
        <v>Apartment A2 SpHeat DieselOil Boiler Advanced (N)|</v>
      </c>
      <c r="D163" s="26" t="str">
        <f>D122</f>
        <v>RSDOILDSL</v>
      </c>
      <c r="E163" s="26" t="str">
        <f>E137</f>
        <v>RSD_APA2_SH</v>
      </c>
      <c r="F163" s="84">
        <v>2020</v>
      </c>
      <c r="G163" s="57">
        <f>F163</f>
        <v>2020</v>
      </c>
      <c r="H163" s="72">
        <f>H140</f>
        <v>0.94500000000000006</v>
      </c>
      <c r="I163" s="72"/>
      <c r="J163" s="72"/>
      <c r="K163" s="72"/>
      <c r="L163" s="72"/>
      <c r="M163" s="72"/>
      <c r="N163" s="72">
        <f>N140</f>
        <v>234</v>
      </c>
      <c r="O163" s="72">
        <f>O140</f>
        <v>4</v>
      </c>
      <c r="P163" s="72">
        <f>P140</f>
        <v>0</v>
      </c>
      <c r="Q163" s="72">
        <f>Q140</f>
        <v>20</v>
      </c>
      <c r="R163" s="72">
        <f>R140</f>
        <v>31.536000000000001</v>
      </c>
      <c r="W163" s="26"/>
      <c r="X163" s="26"/>
      <c r="Y163" s="26" t="str">
        <f>Commodities!$AD$21&amp;"_"&amp;LEFT(RIGHT(Commodities!$D$166,6),3)&amp;"_"&amp;$Y$3&amp;"_ST02"</f>
        <v>RSD_DTA4_SH_GAS_N_ST02</v>
      </c>
      <c r="Z163" s="26" t="str">
        <f>"Detached A4 Combi Gas Boiler Condensing (N)|"&amp;AG163</f>
        <v>Detached A4 Combi Gas Boiler Condensing (N)|</v>
      </c>
      <c r="AA163" s="57" t="str">
        <f>General!$B$2</f>
        <v>PJ</v>
      </c>
      <c r="AB163" s="57" t="str">
        <f>General!$B$5</f>
        <v>GW</v>
      </c>
      <c r="AC163" s="57" t="s">
        <v>723</v>
      </c>
      <c r="AD163" s="57"/>
      <c r="AE163" s="26"/>
      <c r="AF163" s="32"/>
      <c r="AG163" s="32"/>
    </row>
    <row r="164" spans="2:33" ht="12.75" customHeight="1" x14ac:dyDescent="0.25">
      <c r="D164" s="26"/>
      <c r="E164" s="26" t="str">
        <f>E138</f>
        <v>RSD_APA2_WH</v>
      </c>
      <c r="F164" s="84">
        <v>2020</v>
      </c>
      <c r="G164" s="10"/>
      <c r="H164" s="72"/>
      <c r="I164" s="72">
        <f>I141</f>
        <v>0.94500000000000006</v>
      </c>
      <c r="J164" s="72"/>
      <c r="K164" s="72"/>
      <c r="L164" s="72"/>
      <c r="M164" s="72"/>
      <c r="N164" s="72"/>
      <c r="O164" s="72"/>
      <c r="P164" s="72"/>
      <c r="Q164" s="72"/>
      <c r="R164" s="72"/>
      <c r="W164" s="26"/>
      <c r="X164" s="26"/>
      <c r="Y164" s="26" t="str">
        <f>Commodities!$AD$21&amp;"_"&amp;LEFT(RIGHT(Commodities!$D$166,6),3)&amp;"_"&amp;$Y$3&amp;"_AD01"</f>
        <v>RSD_DTA4_SH_GAS_N_AD01</v>
      </c>
      <c r="Z164" s="26" t="str">
        <f>"Detached A4 SpHeat Gas Boiler Condensing Improved (N)|"&amp;AG164</f>
        <v>Detached A4 SpHeat Gas Boiler Condensing Improved (N)|</v>
      </c>
      <c r="AA164" s="57" t="str">
        <f>General!$B$2</f>
        <v>PJ</v>
      </c>
      <c r="AB164" s="57" t="str">
        <f>General!$B$5</f>
        <v>GW</v>
      </c>
      <c r="AC164" s="57" t="s">
        <v>723</v>
      </c>
      <c r="AD164" s="57"/>
      <c r="AE164" s="26"/>
      <c r="AF164" s="32"/>
      <c r="AG164" s="32"/>
    </row>
    <row r="165" spans="2:33" ht="12.75" customHeight="1" x14ac:dyDescent="0.25">
      <c r="B165" s="26" t="str">
        <f>Y106</f>
        <v>RSD_APA2_SH_LPG_N_AD02</v>
      </c>
      <c r="C165" s="26" t="str">
        <f>Z106</f>
        <v>Apartment A2 SpHeat LPG Boiler Advanced (N)|</v>
      </c>
      <c r="D165" s="26" t="str">
        <f>D124</f>
        <v>RSDOILLPG</v>
      </c>
      <c r="E165" s="26" t="str">
        <f>E163</f>
        <v>RSD_APA2_SH</v>
      </c>
      <c r="F165" s="84">
        <v>2020</v>
      </c>
      <c r="G165" s="57">
        <f>F165</f>
        <v>2020</v>
      </c>
      <c r="H165" s="72">
        <f>H163</f>
        <v>0.94500000000000006</v>
      </c>
      <c r="I165" s="72"/>
      <c r="J165" s="72"/>
      <c r="K165" s="72"/>
      <c r="L165" s="72"/>
      <c r="M165" s="72"/>
      <c r="N165" s="72">
        <f>N163</f>
        <v>234</v>
      </c>
      <c r="O165" s="72">
        <f>O163</f>
        <v>4</v>
      </c>
      <c r="P165" s="72">
        <f>P163</f>
        <v>0</v>
      </c>
      <c r="Q165" s="72">
        <f>Q163</f>
        <v>20</v>
      </c>
      <c r="R165" s="72">
        <f>R163</f>
        <v>31.536000000000001</v>
      </c>
      <c r="W165" s="26"/>
      <c r="X165" s="26"/>
      <c r="Y165" s="26" t="str">
        <f>Commodities!$AD$21&amp;"_"&amp;LEFT(RIGHT(Commodities!$D$166,6),3)&amp;"_"&amp;$Y$3&amp;"_AD02"</f>
        <v>RSD_DTA4_SH_GAS_N_AD02</v>
      </c>
      <c r="Z165" s="26" t="str">
        <f>"Detached A4 Combi Gas Boiler Condensing (N)|"&amp;AG165</f>
        <v>Detached A4 Combi Gas Boiler Condensing (N)|</v>
      </c>
      <c r="AA165" s="57" t="str">
        <f>General!$B$2</f>
        <v>PJ</v>
      </c>
      <c r="AB165" s="57" t="str">
        <f>General!$B$5</f>
        <v>GW</v>
      </c>
      <c r="AC165" s="57" t="s">
        <v>723</v>
      </c>
      <c r="AD165" s="57"/>
      <c r="AE165" s="26"/>
      <c r="AF165" s="32"/>
      <c r="AG165" s="32"/>
    </row>
    <row r="166" spans="2:33" ht="12.75" customHeight="1" x14ac:dyDescent="0.25">
      <c r="D166" s="26"/>
      <c r="E166" s="26" t="str">
        <f>E164</f>
        <v>RSD_APA2_WH</v>
      </c>
      <c r="F166" s="84">
        <v>2020</v>
      </c>
      <c r="G166" s="10"/>
      <c r="H166" s="72"/>
      <c r="I166" s="72">
        <f>I164</f>
        <v>0.94500000000000006</v>
      </c>
      <c r="J166" s="72"/>
      <c r="K166" s="72"/>
      <c r="L166" s="72"/>
      <c r="M166" s="72"/>
      <c r="N166" s="72"/>
      <c r="O166" s="72"/>
      <c r="P166" s="72"/>
      <c r="Q166" s="72"/>
      <c r="R166" s="72"/>
      <c r="W166" s="26"/>
      <c r="X166" s="26"/>
      <c r="Y166" s="26" t="str">
        <f>Commodities!$AD$21&amp;"_"&amp;RIGHT(Commodities!$D$347,3)&amp;"_"&amp;$Y$3&amp;"_ST01"</f>
        <v>RSD_DTA4_SH_LTH_N_ST01</v>
      </c>
      <c r="Z166" s="26" t="str">
        <f>"Detached A4 SpHeat Dist. Heat Standard (N)|"&amp;AG170</f>
        <v>Detached A4 SpHeat Dist. Heat Standard (N)|</v>
      </c>
      <c r="AA166" s="57" t="str">
        <f>General!$B$2</f>
        <v>PJ</v>
      </c>
      <c r="AB166" s="57" t="str">
        <f>General!$B$5</f>
        <v>GW</v>
      </c>
      <c r="AC166" s="57" t="s">
        <v>723</v>
      </c>
      <c r="AD166" s="57"/>
      <c r="AE166" s="26"/>
      <c r="AF166" s="32"/>
      <c r="AG166" s="32"/>
    </row>
    <row r="167" spans="2:33" ht="12.75" customHeight="1" x14ac:dyDescent="0.25">
      <c r="B167" s="32"/>
      <c r="C167" s="32"/>
      <c r="D167" s="32"/>
      <c r="E167" s="26"/>
      <c r="F167" s="57"/>
      <c r="G167" s="57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W167" s="26"/>
      <c r="X167" s="26"/>
      <c r="Y167" s="26" t="str">
        <f>Commodities!$AD$21&amp;"_"&amp;RIGHT(Commodities!$D$347,3)&amp;"_"&amp;$Y$3&amp;"_IM01"</f>
        <v>RSD_DTA4_SH_LTH_N_IM01</v>
      </c>
      <c r="Z167" s="26" t="str">
        <f>"Detached A4 SpHeat Dist. Heat Improved (N)|"&amp;AG171</f>
        <v>Detached A4 SpHeat Dist. Heat Improved (N)|</v>
      </c>
      <c r="AA167" s="57" t="str">
        <f>General!$B$2</f>
        <v>PJ</v>
      </c>
      <c r="AB167" s="57" t="str">
        <f>General!$B$5</f>
        <v>GW</v>
      </c>
      <c r="AC167" s="57" t="s">
        <v>723</v>
      </c>
      <c r="AD167" s="57"/>
      <c r="AE167" s="26"/>
      <c r="AF167" s="32"/>
      <c r="AG167" s="32"/>
    </row>
    <row r="168" spans="2:33" ht="12.75" customHeight="1" x14ac:dyDescent="0.25">
      <c r="B168" s="28"/>
      <c r="C168" s="10"/>
      <c r="D168" s="26"/>
      <c r="E168" s="26"/>
      <c r="F168" s="31" t="s">
        <v>0</v>
      </c>
      <c r="G168" s="57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W168" s="26"/>
      <c r="X168" s="26"/>
      <c r="Y168" s="26" t="str">
        <f>Commodities!$AD$21&amp;"_"&amp;RIGHT(Commodities!$D$347,3)&amp;"_"&amp;$Y$3&amp;"_AD01"</f>
        <v>RSD_DTA4_SH_LTH_N_AD01</v>
      </c>
      <c r="Z168" s="26" t="str">
        <f>"Detached A4 SpHeat Dist. Heat Advanced (N)|"&amp;AG172</f>
        <v>Detached A4 SpHeat Dist. Heat Advanced (N)|</v>
      </c>
      <c r="AA168" s="57" t="str">
        <f>General!$B$2</f>
        <v>PJ</v>
      </c>
      <c r="AB168" s="57" t="str">
        <f>General!$B$5</f>
        <v>GW</v>
      </c>
      <c r="AC168" s="57" t="s">
        <v>723</v>
      </c>
      <c r="AD168" s="57"/>
      <c r="AE168" s="26"/>
      <c r="AF168" s="32"/>
      <c r="AG168" s="32"/>
    </row>
    <row r="169" spans="2:33" ht="12.75" customHeight="1" x14ac:dyDescent="0.25">
      <c r="B169" s="33" t="s">
        <v>1</v>
      </c>
      <c r="C169" s="33" t="s">
        <v>794</v>
      </c>
      <c r="D169" s="33" t="s">
        <v>3</v>
      </c>
      <c r="E169" s="33" t="s">
        <v>4</v>
      </c>
      <c r="F169" s="34" t="s">
        <v>803</v>
      </c>
      <c r="G169" s="35" t="s">
        <v>14</v>
      </c>
      <c r="H169" s="36" t="s">
        <v>16</v>
      </c>
      <c r="I169" s="36" t="str">
        <f>"CEFF~"&amp;E179</f>
        <v>CEFF~RSD_DTA3_WH</v>
      </c>
      <c r="J169" s="36" t="str">
        <f>"CEFF~"&amp;E189</f>
        <v>CEFF~RSD_DTA3_SC</v>
      </c>
      <c r="K169" s="36" t="s">
        <v>789</v>
      </c>
      <c r="L169" s="36" t="str">
        <f>"SHARE~"&amp;Commodities!$D$182</f>
        <v>SHARE~RSDRESGEO</v>
      </c>
      <c r="M169" s="36" t="str">
        <f>"SHARE~UP~"&amp;E179</f>
        <v>SHARE~UP~RSD_DTA3_WH</v>
      </c>
      <c r="N169" s="36" t="s">
        <v>36</v>
      </c>
      <c r="O169" s="36" t="s">
        <v>5</v>
      </c>
      <c r="P169" s="36" t="s">
        <v>34</v>
      </c>
      <c r="Q169" s="36" t="s">
        <v>780</v>
      </c>
      <c r="R169" s="36" t="s">
        <v>773</v>
      </c>
      <c r="W169" s="26"/>
      <c r="X169" s="26"/>
      <c r="Y169" s="26" t="str">
        <f>Commodities!$AD$21&amp;"_"&amp;RIGHT(Commodities!$D$340,3)&amp;"_"&amp;$Y$3&amp;"_ST01"</f>
        <v>RSD_DTA4_SH_ELC_N_ST01</v>
      </c>
      <c r="Z169" s="26" t="str">
        <f>"Detached A4 SpHeat Electric Heater Standard (N)|"&amp;AG173</f>
        <v>Detached A4 SpHeat Electric Heater Standard (N)|</v>
      </c>
      <c r="AA169" s="57" t="str">
        <f>General!$B$2</f>
        <v>PJ</v>
      </c>
      <c r="AB169" s="57" t="str">
        <f>General!$B$5</f>
        <v>GW</v>
      </c>
      <c r="AC169" s="57" t="s">
        <v>723</v>
      </c>
      <c r="AD169" s="57"/>
      <c r="AE169" s="26"/>
      <c r="AF169" s="32"/>
      <c r="AG169" s="32"/>
    </row>
    <row r="170" spans="2:33" ht="12.75" customHeight="1" thickBot="1" x14ac:dyDescent="0.3">
      <c r="B170" s="41" t="s">
        <v>795</v>
      </c>
      <c r="C170" s="41" t="s">
        <v>28</v>
      </c>
      <c r="D170" s="41" t="s">
        <v>32</v>
      </c>
      <c r="E170" s="41" t="s">
        <v>33</v>
      </c>
      <c r="F170" s="42"/>
      <c r="G170" s="43" t="s">
        <v>35</v>
      </c>
      <c r="H170" s="41" t="s">
        <v>813</v>
      </c>
      <c r="I170" s="41" t="s">
        <v>812</v>
      </c>
      <c r="J170" s="41" t="s">
        <v>811</v>
      </c>
      <c r="K170" s="41" t="s">
        <v>805</v>
      </c>
      <c r="L170" s="41" t="s">
        <v>814</v>
      </c>
      <c r="M170" s="41" t="s">
        <v>810</v>
      </c>
      <c r="N170" s="43" t="s">
        <v>806</v>
      </c>
      <c r="O170" s="41" t="s">
        <v>37</v>
      </c>
      <c r="P170" s="41" t="s">
        <v>38</v>
      </c>
      <c r="Q170" s="41" t="s">
        <v>781</v>
      </c>
      <c r="R170" s="41" t="s">
        <v>807</v>
      </c>
      <c r="W170" s="26"/>
      <c r="X170" s="26"/>
      <c r="Y170" s="26" t="str">
        <f>Commodities!$AD$21&amp;"_"&amp;RIGHT(Commodities!$D$340,3)&amp;"_"&amp;$Y$3&amp;"_ST02"</f>
        <v>RSD_DTA4_SH_ELC_N_ST02</v>
      </c>
      <c r="Z170" s="26" t="str">
        <f>"Detached A4 SpHeat ASHP Standard (N)|"&amp;AG174</f>
        <v>Detached A4 SpHeat ASHP Standard (N)|</v>
      </c>
      <c r="AA170" s="57" t="str">
        <f>General!$B$2</f>
        <v>PJ</v>
      </c>
      <c r="AB170" s="57" t="str">
        <f>General!$B$5</f>
        <v>GW</v>
      </c>
      <c r="AC170" s="57" t="s">
        <v>723</v>
      </c>
      <c r="AD170" s="57"/>
      <c r="AE170" s="26"/>
      <c r="AF170" s="32"/>
      <c r="AG170" s="32"/>
    </row>
    <row r="171" spans="2:33" ht="12.75" customHeight="1" x14ac:dyDescent="0.25">
      <c r="B171" s="47"/>
      <c r="C171" s="48"/>
      <c r="D171" s="48"/>
      <c r="E171" s="48" t="s">
        <v>799</v>
      </c>
      <c r="F171" s="49"/>
      <c r="G171" s="48"/>
      <c r="H171" s="48" t="s">
        <v>808</v>
      </c>
      <c r="I171" s="48" t="s">
        <v>808</v>
      </c>
      <c r="J171" s="48" t="s">
        <v>808</v>
      </c>
      <c r="K171" s="48" t="s">
        <v>808</v>
      </c>
      <c r="L171" s="48" t="s">
        <v>808</v>
      </c>
      <c r="M171" s="48" t="s">
        <v>808</v>
      </c>
      <c r="N171" s="48" t="str">
        <f>General!$D$14</f>
        <v>$/kW</v>
      </c>
      <c r="O171" s="48" t="str">
        <f>General!$D$14</f>
        <v>$/kW</v>
      </c>
      <c r="P171" s="48" t="str">
        <f>General!$D$15</f>
        <v>$/GJ</v>
      </c>
      <c r="Q171" s="48" t="str">
        <f>General!$D$21</f>
        <v>Years</v>
      </c>
      <c r="R171" s="48" t="str">
        <f>General!$E$16</f>
        <v>PJ/GW</v>
      </c>
      <c r="W171" s="26"/>
      <c r="X171" s="26"/>
      <c r="Y171" s="26" t="str">
        <f>Commodities!$AD$21&amp;"_"&amp;RIGHT(Commodities!$D$340,3)&amp;"_"&amp;$Y$3&amp;"_ST03"</f>
        <v>RSD_DTA4_SH_ELC_N_ST03</v>
      </c>
      <c r="Z171" s="26" t="str">
        <f>"Detached A4 SpHeat &amp; SpCooling ASHP Standard (N)|"&amp;AG175</f>
        <v>Detached A4 SpHeat &amp; SpCooling ASHP Standard (N)|</v>
      </c>
      <c r="AA171" s="57" t="str">
        <f>General!$B$2</f>
        <v>PJ</v>
      </c>
      <c r="AB171" s="57" t="str">
        <f>General!$B$5</f>
        <v>GW</v>
      </c>
      <c r="AC171" s="57" t="s">
        <v>723</v>
      </c>
      <c r="AD171" s="57"/>
      <c r="AE171" s="26"/>
      <c r="AF171" s="32"/>
      <c r="AG171" s="32"/>
    </row>
    <row r="172" spans="2:33" ht="12.75" customHeight="1" x14ac:dyDescent="0.25">
      <c r="B172" s="26" t="str">
        <f t="shared" ref="B172:C178" si="39">Y107</f>
        <v>RSD_DTA3_SH_BIC_N_ST</v>
      </c>
      <c r="C172" s="26" t="str">
        <f t="shared" si="39"/>
        <v>Detached A3 SpHeat Coal Boiler Standard (N)|</v>
      </c>
      <c r="D172" s="26" t="str">
        <f>Commodities!$D$153</f>
        <v>RSDCOABIC</v>
      </c>
      <c r="E172" s="26" t="str">
        <f>Commodities!$AD$19</f>
        <v>RSD_DTA3_SH</v>
      </c>
      <c r="F172" s="84">
        <f t="shared" ref="F172:F178" si="40">G172</f>
        <v>2018</v>
      </c>
      <c r="G172" s="57">
        <f>BASE_YEAR+1</f>
        <v>2018</v>
      </c>
      <c r="H172" s="72">
        <v>0.65</v>
      </c>
      <c r="I172" s="72"/>
      <c r="J172" s="72"/>
      <c r="K172" s="72"/>
      <c r="L172" s="72"/>
      <c r="M172" s="72"/>
      <c r="N172" s="72">
        <v>250</v>
      </c>
      <c r="O172" s="72">
        <f>N172*2%</f>
        <v>5</v>
      </c>
      <c r="P172" s="72">
        <v>0</v>
      </c>
      <c r="Q172" s="72">
        <v>15</v>
      </c>
      <c r="R172" s="72">
        <v>31.536000000000001</v>
      </c>
      <c r="W172" s="26"/>
      <c r="X172" s="26"/>
      <c r="Y172" s="26" t="str">
        <f>Commodities!$AD$21&amp;"_"&amp;RIGHT(Commodities!$D$340,3)&amp;"_"&amp;$Y$3&amp;"_IM01"</f>
        <v>RSD_DTA4_SH_ELC_N_IM01</v>
      </c>
      <c r="Z172" s="26" t="str">
        <f>"Detached A4 SpHeat ASHP Improved (N)|"&amp;AG176</f>
        <v>Detached A4 SpHeat ASHP Improved (N)|</v>
      </c>
      <c r="AA172" s="57" t="str">
        <f>General!$B$2</f>
        <v>PJ</v>
      </c>
      <c r="AB172" s="57" t="str">
        <f>General!$B$5</f>
        <v>GW</v>
      </c>
      <c r="AC172" s="57" t="s">
        <v>723</v>
      </c>
      <c r="AD172" s="57"/>
      <c r="AE172" s="26"/>
      <c r="AF172" s="32"/>
      <c r="AG172" s="32"/>
    </row>
    <row r="173" spans="2:33" ht="12.75" customHeight="1" x14ac:dyDescent="0.25">
      <c r="B173" s="26" t="str">
        <f t="shared" si="39"/>
        <v>RSD_DTA3_SH_LOG_N_ST01</v>
      </c>
      <c r="C173" s="26" t="str">
        <f t="shared" si="39"/>
        <v>Detached A3 SpHeat Wood Stove Standard (N)|</v>
      </c>
      <c r="D173" s="26" t="str">
        <f>Commodities!$D$167</f>
        <v>RSDBIOLOG</v>
      </c>
      <c r="E173" s="26" t="str">
        <f>E172</f>
        <v>RSD_DTA3_SH</v>
      </c>
      <c r="F173" s="84">
        <f t="shared" si="40"/>
        <v>2018</v>
      </c>
      <c r="G173" s="57">
        <f>BASE_YEAR+1</f>
        <v>2018</v>
      </c>
      <c r="H173" s="72">
        <v>0.5</v>
      </c>
      <c r="I173" s="72"/>
      <c r="J173" s="72"/>
      <c r="K173" s="72"/>
      <c r="L173" s="72"/>
      <c r="M173" s="72"/>
      <c r="N173" s="72">
        <v>30</v>
      </c>
      <c r="O173" s="72">
        <f>N173*2%</f>
        <v>0.6</v>
      </c>
      <c r="P173" s="72">
        <v>0</v>
      </c>
      <c r="Q173" s="72">
        <v>15</v>
      </c>
      <c r="R173" s="72">
        <v>31.536000000000001</v>
      </c>
      <c r="W173" s="26"/>
      <c r="X173" s="26"/>
      <c r="Y173" s="26" t="str">
        <f>Commodities!$AD$21&amp;"_"&amp;RIGHT(Commodities!$D$340,3)&amp;"_"&amp;$Y$3&amp;"_IM02"</f>
        <v>RSD_DTA4_SH_ELC_N_IM02</v>
      </c>
      <c r="Z173" s="26" t="str">
        <f>"Detached A4 SpHeat &amp; SpCooling  ASHP Improved (N)|"&amp;AG177</f>
        <v>Detached A4 SpHeat &amp; SpCooling  ASHP Improved (N)|</v>
      </c>
      <c r="AA173" s="57" t="str">
        <f>General!$B$2</f>
        <v>PJ</v>
      </c>
      <c r="AB173" s="57" t="str">
        <f>General!$B$5</f>
        <v>GW</v>
      </c>
      <c r="AC173" s="57" t="s">
        <v>723</v>
      </c>
      <c r="AD173" s="57"/>
      <c r="AE173" s="26"/>
      <c r="AF173" s="32"/>
      <c r="AG173" s="32"/>
    </row>
    <row r="174" spans="2:33" ht="12.75" customHeight="1" x14ac:dyDescent="0.25">
      <c r="B174" s="26" t="str">
        <f t="shared" si="39"/>
        <v>RSD_DTA3_SH_LOG_N_ST02</v>
      </c>
      <c r="C174" s="26" t="str">
        <f t="shared" si="39"/>
        <v>Detached A3 SpHeat Wood Boiler Standard (N)|</v>
      </c>
      <c r="D174" s="26" t="str">
        <f>Commodities!$D$167</f>
        <v>RSDBIOLOG</v>
      </c>
      <c r="E174" s="26" t="str">
        <f>E173</f>
        <v>RSD_DTA3_SH</v>
      </c>
      <c r="F174" s="84">
        <f t="shared" si="40"/>
        <v>2018</v>
      </c>
      <c r="G174" s="57">
        <f>BASE_YEAR+1</f>
        <v>2018</v>
      </c>
      <c r="H174" s="72">
        <v>0.65</v>
      </c>
      <c r="I174" s="72"/>
      <c r="J174" s="72"/>
      <c r="K174" s="72"/>
      <c r="L174" s="72"/>
      <c r="M174" s="72"/>
      <c r="N174" s="72">
        <v>285</v>
      </c>
      <c r="O174" s="72">
        <f t="shared" ref="O174:O176" si="41">N174*2%</f>
        <v>5.7</v>
      </c>
      <c r="P174" s="72">
        <v>0</v>
      </c>
      <c r="Q174" s="72">
        <v>20</v>
      </c>
      <c r="R174" s="72">
        <v>31.536000000000001</v>
      </c>
      <c r="W174" s="26"/>
      <c r="X174" s="26"/>
      <c r="Y174" s="26" t="str">
        <f>Commodities!$AD$21&amp;"_"&amp;RIGHT(Commodities!$D$340,3)&amp;"_"&amp;$Y$3&amp;"_AD01"</f>
        <v>RSD_DTA4_SH_ELC_N_AD01</v>
      </c>
      <c r="Z174" s="26" t="str">
        <f>"Detached A4 SpHeat ASHP Advanced (N)|"&amp;AG178</f>
        <v>Detached A4 SpHeat ASHP Advanced (N)|</v>
      </c>
      <c r="AA174" s="57" t="str">
        <f>General!$B$2</f>
        <v>PJ</v>
      </c>
      <c r="AB174" s="57" t="str">
        <f>General!$B$5</f>
        <v>GW</v>
      </c>
      <c r="AC174" s="57" t="s">
        <v>723</v>
      </c>
      <c r="AD174" s="57"/>
      <c r="AE174" s="26"/>
      <c r="AF174" s="32"/>
      <c r="AG174" s="32"/>
    </row>
    <row r="175" spans="2:33" ht="12.75" customHeight="1" x14ac:dyDescent="0.25">
      <c r="B175" s="26" t="str">
        <f t="shared" si="39"/>
        <v>RSD_DTA3_SH_PLT_N_ST01</v>
      </c>
      <c r="C175" s="26" t="str">
        <f t="shared" si="39"/>
        <v>Detached A3 SpHeat Pellet Boiler Standard (N)|</v>
      </c>
      <c r="D175" s="26" t="str">
        <f>Commodities!$D$177</f>
        <v>RSDBIOPLT</v>
      </c>
      <c r="E175" s="26" t="str">
        <f>E174</f>
        <v>RSD_DTA3_SH</v>
      </c>
      <c r="F175" s="84">
        <f t="shared" si="40"/>
        <v>2018</v>
      </c>
      <c r="G175" s="57">
        <f>BASE_YEAR+1</f>
        <v>2018</v>
      </c>
      <c r="H175" s="72">
        <v>0.65</v>
      </c>
      <c r="I175" s="72"/>
      <c r="J175" s="72"/>
      <c r="K175" s="72"/>
      <c r="L175" s="72"/>
      <c r="M175" s="72"/>
      <c r="N175" s="72">
        <v>210</v>
      </c>
      <c r="O175" s="72">
        <f t="shared" si="41"/>
        <v>4.2</v>
      </c>
      <c r="P175" s="72">
        <v>0</v>
      </c>
      <c r="Q175" s="72">
        <v>15</v>
      </c>
      <c r="R175" s="72">
        <v>31.536000000000001</v>
      </c>
      <c r="W175" s="26"/>
      <c r="X175" s="26"/>
      <c r="Y175" s="26" t="str">
        <f>Commodities!$AD$21&amp;"_"&amp;RIGHT(Commodities!$D$340,3)&amp;"_"&amp;$Y$3&amp;"_AD02"</f>
        <v>RSD_DTA4_SH_ELC_N_AD02</v>
      </c>
      <c r="Z175" s="26" t="str">
        <f>"Detached A4 SpHeat &amp; SpCooling ASHP Advanced (N)|"&amp;AG179</f>
        <v>Detached A4 SpHeat &amp; SpCooling ASHP Advanced (N)|</v>
      </c>
      <c r="AA175" s="57" t="str">
        <f>General!$B$2</f>
        <v>PJ</v>
      </c>
      <c r="AB175" s="57" t="str">
        <f>General!$B$5</f>
        <v>GW</v>
      </c>
      <c r="AC175" s="57" t="s">
        <v>723</v>
      </c>
      <c r="AD175" s="57"/>
      <c r="AE175" s="26"/>
      <c r="AF175" s="32"/>
      <c r="AG175" s="32"/>
    </row>
    <row r="176" spans="2:33" ht="12.75" customHeight="1" x14ac:dyDescent="0.25">
      <c r="B176" s="26" t="str">
        <f t="shared" si="39"/>
        <v>RSD_DTA3_SH_PLT_N_IM01</v>
      </c>
      <c r="C176" s="26" t="str">
        <f t="shared" si="39"/>
        <v>Detached A3 SpHeat Pellet Boiler Improved (N)|</v>
      </c>
      <c r="D176" s="26" t="str">
        <f>Commodities!$D$177</f>
        <v>RSDBIOPLT</v>
      </c>
      <c r="E176" s="26" t="str">
        <f>E175</f>
        <v>RSD_DTA3_SH</v>
      </c>
      <c r="F176" s="84">
        <f t="shared" si="40"/>
        <v>2020</v>
      </c>
      <c r="G176" s="57">
        <f>BASE_YEAR+3</f>
        <v>2020</v>
      </c>
      <c r="H176" s="72">
        <v>0.7</v>
      </c>
      <c r="I176" s="72"/>
      <c r="J176" s="72"/>
      <c r="K176" s="72"/>
      <c r="L176" s="72"/>
      <c r="M176" s="72"/>
      <c r="N176" s="72">
        <v>230</v>
      </c>
      <c r="O176" s="72">
        <f t="shared" si="41"/>
        <v>4.6000000000000005</v>
      </c>
      <c r="P176" s="72">
        <v>0</v>
      </c>
      <c r="Q176" s="72">
        <v>15</v>
      </c>
      <c r="R176" s="72">
        <v>31.536000000000001</v>
      </c>
      <c r="W176" s="26"/>
      <c r="X176" s="26"/>
      <c r="Y176" s="26" t="str">
        <f>Commodities!$AD$21&amp;"_"&amp;RIGHT(Commodities!$D$182,3)&amp;"_"&amp;$Y$3&amp;"_ST01"</f>
        <v>RSD_DTA4_SH_GEO_N_ST01</v>
      </c>
      <c r="Z176" s="26" t="str">
        <f>"Detached A4 SpHeat GSHP Standard (N)|"&amp;AG180</f>
        <v>Detached A4 SpHeat GSHP Standard (N)|</v>
      </c>
      <c r="AA176" s="57" t="str">
        <f>General!$B$2</f>
        <v>PJ</v>
      </c>
      <c r="AB176" s="57" t="str">
        <f>General!$B$5</f>
        <v>GW</v>
      </c>
      <c r="AC176" s="57" t="s">
        <v>723</v>
      </c>
      <c r="AD176" s="57"/>
      <c r="AE176" s="26"/>
      <c r="AF176" s="32"/>
      <c r="AG176" s="32"/>
    </row>
    <row r="177" spans="2:33" ht="12.75" customHeight="1" x14ac:dyDescent="0.25">
      <c r="B177" s="26" t="str">
        <f t="shared" si="39"/>
        <v>RSD_DTA3_SH_GAS_N_ST01</v>
      </c>
      <c r="C177" s="26" t="str">
        <f t="shared" si="39"/>
        <v>Detached A3 SpHeat Gas Boiler Condensing (N)|</v>
      </c>
      <c r="D177" s="26" t="str">
        <f>Commodities!$D$166</f>
        <v>RSDGASNAT</v>
      </c>
      <c r="E177" s="26" t="str">
        <f t="shared" ref="E177:E178" si="42">E176</f>
        <v>RSD_DTA3_SH</v>
      </c>
      <c r="F177" s="84">
        <f t="shared" si="40"/>
        <v>2018</v>
      </c>
      <c r="G177" s="57">
        <f>BASE_YEAR+1</f>
        <v>2018</v>
      </c>
      <c r="H177" s="72">
        <v>0.85</v>
      </c>
      <c r="I177" s="72"/>
      <c r="J177" s="72"/>
      <c r="K177" s="72"/>
      <c r="L177" s="72"/>
      <c r="M177" s="72"/>
      <c r="N177" s="72">
        <f>ROUNDUP(114.94542626643*1.5,0)</f>
        <v>173</v>
      </c>
      <c r="O177" s="72">
        <f>ROUNDDOWN(4.49036663406935,0)</f>
        <v>4</v>
      </c>
      <c r="P177" s="72">
        <v>0</v>
      </c>
      <c r="Q177" s="72">
        <v>20</v>
      </c>
      <c r="R177" s="72">
        <v>31.536000000000001</v>
      </c>
      <c r="W177" s="26"/>
      <c r="X177" s="26"/>
      <c r="Y177" s="26" t="str">
        <f>Commodities!$AD$21&amp;"_"&amp;RIGHT(Commodities!$D$182,3)&amp;"_"&amp;$Y$3&amp;"_ST02"</f>
        <v>RSD_DTA4_SH_GEO_N_ST02</v>
      </c>
      <c r="Z177" s="26" t="str">
        <f>"Detached A4 SpHeat &amp; SpCooling GSHP Standard (N)|"&amp;AG181</f>
        <v>Detached A4 SpHeat &amp; SpCooling GSHP Standard (N)|</v>
      </c>
      <c r="AA177" s="57" t="str">
        <f>General!$B$2</f>
        <v>PJ</v>
      </c>
      <c r="AB177" s="57" t="str">
        <f>General!$B$5</f>
        <v>GW</v>
      </c>
      <c r="AC177" s="57" t="s">
        <v>723</v>
      </c>
      <c r="AD177" s="57"/>
      <c r="AE177" s="26"/>
      <c r="AF177" s="32"/>
      <c r="AG177" s="32"/>
    </row>
    <row r="178" spans="2:33" ht="12.75" customHeight="1" x14ac:dyDescent="0.25">
      <c r="B178" s="26" t="str">
        <f t="shared" si="39"/>
        <v>RSD_DTA3_SH_GAS_N_ST02</v>
      </c>
      <c r="C178" s="26" t="str">
        <f t="shared" si="39"/>
        <v>Detached A3 Combi Gas Boiler Condensing (N)|</v>
      </c>
      <c r="D178" s="26" t="str">
        <f>Commodities!$D$166</f>
        <v>RSDGASNAT</v>
      </c>
      <c r="E178" s="26" t="str">
        <f t="shared" si="42"/>
        <v>RSD_DTA3_SH</v>
      </c>
      <c r="F178" s="84">
        <f t="shared" si="40"/>
        <v>2018</v>
      </c>
      <c r="G178" s="57">
        <f>BASE_YEAR+1</f>
        <v>2018</v>
      </c>
      <c r="H178" s="72">
        <v>0.85</v>
      </c>
      <c r="I178" s="72"/>
      <c r="J178" s="72"/>
      <c r="K178" s="72"/>
      <c r="L178" s="72"/>
      <c r="M178" s="72"/>
      <c r="N178" s="72">
        <f>ROUNDUP(114.94542626643*1.5,0)</f>
        <v>173</v>
      </c>
      <c r="O178" s="72">
        <f>ROUNDDOWN(4.49036663406935,0)</f>
        <v>4</v>
      </c>
      <c r="P178" s="72">
        <v>0</v>
      </c>
      <c r="Q178" s="72">
        <v>20</v>
      </c>
      <c r="R178" s="72">
        <v>31.536000000000001</v>
      </c>
      <c r="W178" s="26"/>
      <c r="X178" s="26"/>
      <c r="Y178" s="26" t="str">
        <f>Commodities!$AD$21&amp;"_"&amp;RIGHT(Commodities!$D$182,3)&amp;"_"&amp;$Y$3&amp;"_IM01"</f>
        <v>RSD_DTA4_SH_GEO_N_IM01</v>
      </c>
      <c r="Z178" s="26" t="str">
        <f>"Detached A4 SpHeat GSHP Improved (N)|"&amp;AG182</f>
        <v>Detached A4 SpHeat GSHP Improved (N)|</v>
      </c>
      <c r="AA178" s="57" t="str">
        <f>General!$B$2</f>
        <v>PJ</v>
      </c>
      <c r="AB178" s="57" t="str">
        <f>General!$B$5</f>
        <v>GW</v>
      </c>
      <c r="AC178" s="57" t="s">
        <v>723</v>
      </c>
      <c r="AD178" s="57"/>
      <c r="AE178" s="26"/>
      <c r="AF178" s="32"/>
      <c r="AG178" s="32"/>
    </row>
    <row r="179" spans="2:33" ht="12.75" customHeight="1" x14ac:dyDescent="0.25">
      <c r="D179" s="10"/>
      <c r="E179" s="26" t="str">
        <f>Commodities!$AD$27</f>
        <v>RSD_DTA3_WH</v>
      </c>
      <c r="F179" s="84">
        <f>F178</f>
        <v>2018</v>
      </c>
      <c r="G179" s="10"/>
      <c r="H179" s="72" t="s">
        <v>848</v>
      </c>
      <c r="I179" s="72">
        <v>0.9</v>
      </c>
      <c r="J179" s="72" t="s">
        <v>848</v>
      </c>
      <c r="K179" s="72"/>
      <c r="L179" s="72"/>
      <c r="M179" s="72">
        <v>0.2</v>
      </c>
      <c r="N179" s="72" t="s">
        <v>848</v>
      </c>
      <c r="O179" s="72" t="s">
        <v>848</v>
      </c>
      <c r="P179" s="72" t="s">
        <v>848</v>
      </c>
      <c r="Q179" s="72" t="s">
        <v>848</v>
      </c>
      <c r="R179" s="72"/>
      <c r="W179" s="26"/>
      <c r="X179" s="26"/>
      <c r="Y179" s="26" t="str">
        <f>Commodities!$AD$21&amp;"_"&amp;RIGHT(Commodities!$D$182,3)&amp;"_"&amp;$Y$3&amp;"_IM02"</f>
        <v>RSD_DTA4_SH_GEO_N_IM02</v>
      </c>
      <c r="Z179" s="26" t="str">
        <f>"Detached A4 SpHeat &amp; SpCooling GSHP Improved (N)|"&amp;AG183</f>
        <v>Detached A4 SpHeat &amp; SpCooling GSHP Improved (N)|</v>
      </c>
      <c r="AA179" s="57" t="str">
        <f>General!$B$2</f>
        <v>PJ</v>
      </c>
      <c r="AB179" s="57" t="str">
        <f>General!$B$5</f>
        <v>GW</v>
      </c>
      <c r="AC179" s="57" t="s">
        <v>723</v>
      </c>
      <c r="AD179" s="57"/>
      <c r="AE179" s="26"/>
      <c r="AF179" s="32"/>
      <c r="AG179" s="32"/>
    </row>
    <row r="180" spans="2:33" ht="12.75" customHeight="1" x14ac:dyDescent="0.25">
      <c r="B180" s="26" t="str">
        <f>Y114</f>
        <v>RSD_DTA3_SH_GAS_N_AD01</v>
      </c>
      <c r="C180" s="26" t="str">
        <f>Z114</f>
        <v>Detached A3 SpHeat Gas Boiler Condensing Improved (N)|</v>
      </c>
      <c r="D180" s="26" t="str">
        <f>Commodities!$D$166</f>
        <v>RSDGASNAT</v>
      </c>
      <c r="E180" s="26" t="str">
        <f>E178</f>
        <v>RSD_DTA3_SH</v>
      </c>
      <c r="F180" s="84">
        <f t="shared" ref="F180:F181" si="43">G180</f>
        <v>2025</v>
      </c>
      <c r="G180" s="57">
        <f>BASE_YEAR+8</f>
        <v>2025</v>
      </c>
      <c r="H180" s="72">
        <v>0.94500000000000006</v>
      </c>
      <c r="I180" s="72"/>
      <c r="J180" s="72"/>
      <c r="K180" s="72"/>
      <c r="L180" s="72"/>
      <c r="M180" s="72"/>
      <c r="N180" s="72">
        <f>ROUNDUP(122.99160610508*1.9,0)</f>
        <v>234</v>
      </c>
      <c r="O180" s="72">
        <f>ROUNDDOWN(4.17604096968449,0)</f>
        <v>4</v>
      </c>
      <c r="P180" s="72">
        <v>0</v>
      </c>
      <c r="Q180" s="72">
        <v>20</v>
      </c>
      <c r="R180" s="72">
        <v>31.536000000000001</v>
      </c>
      <c r="W180" s="26"/>
      <c r="X180" s="26"/>
      <c r="Y180" s="26" t="str">
        <f>Commodities!$AD$21&amp;"_"&amp;LEFT(RIGHT(Commodities!$D$159,3),3)&amp;"_"&amp;$Y$3&amp;"_AD02"</f>
        <v>RSD_DTA4_SH_DSL_N_AD02</v>
      </c>
      <c r="Z180" s="26" t="str">
        <f>"Detached A4 SpHeat DieselOil Boiler Advanced (N)|"&amp;AG180</f>
        <v>Detached A4 SpHeat DieselOil Boiler Advanced (N)|</v>
      </c>
      <c r="AA180" s="57" t="str">
        <f>General!$B$2</f>
        <v>PJ</v>
      </c>
      <c r="AB180" s="57" t="str">
        <f>General!$B$5</f>
        <v>GW</v>
      </c>
      <c r="AC180" s="57" t="s">
        <v>723</v>
      </c>
      <c r="AD180" s="57"/>
      <c r="AE180" s="26"/>
      <c r="AF180" s="32"/>
      <c r="AG180" s="32"/>
    </row>
    <row r="181" spans="2:33" ht="12.75" customHeight="1" x14ac:dyDescent="0.25">
      <c r="B181" s="26" t="str">
        <f>Y115</f>
        <v>RSD_DTA3_SH_GAS_N_AD02</v>
      </c>
      <c r="C181" s="26" t="str">
        <f>Z115</f>
        <v>Detached A3 Combi Gas Boiler Condensing (N)|</v>
      </c>
      <c r="D181" s="26" t="str">
        <f>Commodities!$D$166</f>
        <v>RSDGASNAT</v>
      </c>
      <c r="E181" s="26" t="str">
        <f>E180</f>
        <v>RSD_DTA3_SH</v>
      </c>
      <c r="F181" s="84">
        <f t="shared" si="43"/>
        <v>2030</v>
      </c>
      <c r="G181" s="57">
        <f>BASE_YEAR+13</f>
        <v>2030</v>
      </c>
      <c r="H181" s="72">
        <v>0.94500000000000006</v>
      </c>
      <c r="I181" s="72"/>
      <c r="J181" s="72"/>
      <c r="K181" s="72"/>
      <c r="L181" s="72"/>
      <c r="M181" s="72"/>
      <c r="N181" s="72">
        <f>ROUNDUP(122.99160610508*1.9,0)</f>
        <v>234</v>
      </c>
      <c r="O181" s="72">
        <f>ROUNDDOWN(4.17604096968449,0)</f>
        <v>4</v>
      </c>
      <c r="P181" s="72">
        <v>0</v>
      </c>
      <c r="Q181" s="72">
        <v>20</v>
      </c>
      <c r="R181" s="72">
        <v>31.536000000000001</v>
      </c>
      <c r="W181" s="26"/>
      <c r="X181" s="26"/>
      <c r="Y181" s="26" t="str">
        <f>Commodities!$AD$21&amp;"_"&amp;LEFT(RIGHT(Commodities!$D$161,3),3)&amp;"_"&amp;$Y$3&amp;"_AD02"</f>
        <v>RSD_DTA4_SH_LPG_N_AD02</v>
      </c>
      <c r="Z181" s="26" t="str">
        <f>"Detached A4 SpHeat LPG Boiler Advanced (N)|"&amp;AG181</f>
        <v>Detached A4 SpHeat LPG Boiler Advanced (N)|</v>
      </c>
      <c r="AA181" s="57" t="str">
        <f>General!$B$2</f>
        <v>PJ</v>
      </c>
      <c r="AB181" s="57" t="str">
        <f>General!$B$5</f>
        <v>GW</v>
      </c>
      <c r="AC181" s="57" t="s">
        <v>723</v>
      </c>
      <c r="AD181" s="57"/>
      <c r="AE181" s="26"/>
      <c r="AF181" s="32"/>
      <c r="AG181" s="32"/>
    </row>
    <row r="182" spans="2:33" ht="12.75" customHeight="1" x14ac:dyDescent="0.25">
      <c r="D182" s="10"/>
      <c r="E182" s="26" t="str">
        <f>E179</f>
        <v>RSD_DTA3_WH</v>
      </c>
      <c r="F182" s="84">
        <f>F181</f>
        <v>2030</v>
      </c>
      <c r="G182" s="10"/>
      <c r="H182" s="72" t="s">
        <v>848</v>
      </c>
      <c r="I182" s="72">
        <v>0.94500000000000006</v>
      </c>
      <c r="J182" s="72"/>
      <c r="K182" s="72"/>
      <c r="L182" s="72"/>
      <c r="M182" s="72">
        <v>0.2</v>
      </c>
      <c r="N182" s="72" t="s">
        <v>848</v>
      </c>
      <c r="O182" s="72" t="s">
        <v>848</v>
      </c>
      <c r="P182" s="72" t="s">
        <v>848</v>
      </c>
      <c r="Q182" s="72" t="s">
        <v>848</v>
      </c>
      <c r="R182" s="72"/>
      <c r="W182" s="26"/>
      <c r="X182" s="26"/>
      <c r="Y182" s="26" t="str">
        <f>Commodities!$AD$22&amp;"_"&amp;RIGHT(Commodities!$D$153,3)&amp;"_"&amp;$Y$3&amp;"_ST"</f>
        <v>RSD_APA4_SH_BIC_N_ST</v>
      </c>
      <c r="Z182" s="26" t="str">
        <f>"Apartment A4 SpHeat Coal Boiler Standard (N)|"&amp;AG185</f>
        <v>Apartment A4 SpHeat Coal Boiler Standard (N)|</v>
      </c>
      <c r="AA182" s="57" t="str">
        <f>General!$B$2</f>
        <v>PJ</v>
      </c>
      <c r="AB182" s="57" t="str">
        <f>General!$B$5</f>
        <v>GW</v>
      </c>
      <c r="AC182" s="57" t="s">
        <v>723</v>
      </c>
      <c r="AD182" s="57"/>
      <c r="AE182" s="26"/>
      <c r="AF182" s="32"/>
      <c r="AG182" s="32"/>
    </row>
    <row r="183" spans="2:33" ht="12.75" customHeight="1" x14ac:dyDescent="0.25">
      <c r="B183" s="26" t="str">
        <f t="shared" ref="B183:C188" si="44">Y116</f>
        <v>RSD_DTA3_SH_LTH_N_ST01</v>
      </c>
      <c r="C183" s="26" t="str">
        <f t="shared" si="44"/>
        <v>Detached A3 SpHeat Dist. Heat Standard (N)|</v>
      </c>
      <c r="D183" s="26" t="str">
        <f>Commodities!$D$352</f>
        <v>RSDLTHA3</v>
      </c>
      <c r="E183" s="26" t="str">
        <f>E181</f>
        <v>RSD_DTA3_SH</v>
      </c>
      <c r="F183" s="84">
        <f t="shared" ref="F183:F185" si="45">G183</f>
        <v>2018</v>
      </c>
      <c r="G183" s="57">
        <f>BASE_YEAR+1</f>
        <v>2018</v>
      </c>
      <c r="H183" s="72">
        <v>0.9</v>
      </c>
      <c r="I183" s="72"/>
      <c r="J183" s="72"/>
      <c r="K183" s="72"/>
      <c r="L183" s="72"/>
      <c r="M183" s="72"/>
      <c r="N183" s="72">
        <f>ROUNDUP(90.3,0)</f>
        <v>91</v>
      </c>
      <c r="O183" s="72">
        <f>ROUNDUP(9.72,0)</f>
        <v>10</v>
      </c>
      <c r="P183" s="72">
        <v>0</v>
      </c>
      <c r="Q183" s="72">
        <v>20</v>
      </c>
      <c r="R183" s="72">
        <v>31.536000000000001</v>
      </c>
      <c r="W183" s="26"/>
      <c r="X183" s="26"/>
      <c r="Y183" s="26" t="str">
        <f>Commodities!$AD$22&amp;"_"&amp;RIGHT(Commodities!$D$167,3)&amp;"_"&amp;$Y$3&amp;"_ST01"</f>
        <v>RSD_APA4_SH_LOG_N_ST01</v>
      </c>
      <c r="Z183" s="26" t="str">
        <f>"Apartment A4 SpHeat Wood Stove Standard (N)|"&amp;AG187</f>
        <v>Apartment A4 SpHeat Wood Stove Standard (N)|</v>
      </c>
      <c r="AA183" s="57" t="str">
        <f>General!$B$2</f>
        <v>PJ</v>
      </c>
      <c r="AB183" s="57" t="str">
        <f>General!$B$5</f>
        <v>GW</v>
      </c>
      <c r="AC183" s="57" t="s">
        <v>723</v>
      </c>
      <c r="AD183" s="57"/>
      <c r="AE183" s="26"/>
      <c r="AF183" s="32"/>
      <c r="AG183" s="32"/>
    </row>
    <row r="184" spans="2:33" ht="12.75" customHeight="1" x14ac:dyDescent="0.25">
      <c r="B184" s="26" t="str">
        <f t="shared" si="44"/>
        <v>RSD_DTA3_SH_LTH_N_IM01</v>
      </c>
      <c r="C184" s="26" t="str">
        <f t="shared" si="44"/>
        <v>Detached A3 SpHeat Dist. Heat Improved (N)|</v>
      </c>
      <c r="D184" s="26" t="str">
        <f>D183</f>
        <v>RSDLTHA3</v>
      </c>
      <c r="E184" s="26" t="str">
        <f>E183</f>
        <v>RSD_DTA3_SH</v>
      </c>
      <c r="F184" s="84">
        <f t="shared" si="45"/>
        <v>2025</v>
      </c>
      <c r="G184" s="57">
        <f>BASE_YEAR+8</f>
        <v>2025</v>
      </c>
      <c r="H184" s="72">
        <f>H183*1.03</f>
        <v>0.92700000000000005</v>
      </c>
      <c r="I184" s="72"/>
      <c r="J184" s="72"/>
      <c r="K184" s="72"/>
      <c r="L184" s="72"/>
      <c r="M184" s="72"/>
      <c r="N184" s="72">
        <f>ROUNDUP(94.815*1.1,0)</f>
        <v>105</v>
      </c>
      <c r="O184" s="72">
        <f>ROUNDUP(9.234,0)</f>
        <v>10</v>
      </c>
      <c r="P184" s="72">
        <v>0</v>
      </c>
      <c r="Q184" s="72">
        <v>20</v>
      </c>
      <c r="R184" s="72">
        <v>31.536000000000001</v>
      </c>
      <c r="W184" s="26"/>
      <c r="X184" s="26"/>
      <c r="Y184" s="26" t="str">
        <f>Commodities!$AD$22&amp;"_"&amp;RIGHT(Commodities!$D$167,3)&amp;"_"&amp;$Y$3&amp;"_ST02"</f>
        <v>RSD_APA4_SH_LOG_N_ST02</v>
      </c>
      <c r="Z184" s="26" t="str">
        <f>"Apartment A4 SpHeat Wood Boiler Standard (N)|"&amp;AG188</f>
        <v>Apartment A4 SpHeat Wood Boiler Standard (N)|</v>
      </c>
      <c r="AA184" s="57" t="str">
        <f>General!$B$2</f>
        <v>PJ</v>
      </c>
      <c r="AB184" s="57" t="str">
        <f>General!$B$5</f>
        <v>GW</v>
      </c>
      <c r="AC184" s="57" t="s">
        <v>723</v>
      </c>
      <c r="AD184" s="57"/>
      <c r="AE184" s="26"/>
      <c r="AF184" s="32"/>
      <c r="AG184" s="32"/>
    </row>
    <row r="185" spans="2:33" ht="12.75" customHeight="1" x14ac:dyDescent="0.25">
      <c r="B185" s="26" t="str">
        <f t="shared" si="44"/>
        <v>RSD_DTA3_SH_LTH_N_AD01</v>
      </c>
      <c r="C185" s="26" t="str">
        <f t="shared" si="44"/>
        <v>Detached A3 SpHeat Dist. Heat Advanced (N)|</v>
      </c>
      <c r="D185" s="26" t="str">
        <f>D184</f>
        <v>RSDLTHA3</v>
      </c>
      <c r="E185" s="26" t="str">
        <f>E184</f>
        <v>RSD_DTA3_SH</v>
      </c>
      <c r="F185" s="84">
        <f t="shared" si="45"/>
        <v>2035</v>
      </c>
      <c r="G185" s="57">
        <f>BASE_YEAR+18</f>
        <v>2035</v>
      </c>
      <c r="H185" s="72">
        <f>H183*1.05</f>
        <v>0.94500000000000006</v>
      </c>
      <c r="I185" s="72"/>
      <c r="J185" s="72"/>
      <c r="K185" s="72"/>
      <c r="L185" s="72"/>
      <c r="M185" s="72"/>
      <c r="N185" s="72">
        <f>ROUNDUP(99.55575*1.2,0)</f>
        <v>120</v>
      </c>
      <c r="O185" s="72">
        <f>ROUNDUP(8.7723,0)</f>
        <v>9</v>
      </c>
      <c r="P185" s="72">
        <v>0</v>
      </c>
      <c r="Q185" s="72">
        <v>20</v>
      </c>
      <c r="R185" s="72">
        <v>31.536000000000001</v>
      </c>
      <c r="W185" s="26"/>
      <c r="X185" s="26"/>
      <c r="Y185" s="26" t="str">
        <f>Commodities!$AD$22&amp;"_"&amp;RIGHT(Commodities!$D$177,3)&amp;"_"&amp;$Y$3&amp;"_ST01"</f>
        <v>RSD_APA4_SH_PLT_N_ST01</v>
      </c>
      <c r="Z185" s="26" t="str">
        <f>"Apartment A4 SpHeat Pellet Boiler Standard (N)|"&amp;AG188</f>
        <v>Apartment A4 SpHeat Pellet Boiler Standard (N)|</v>
      </c>
      <c r="AA185" s="57" t="str">
        <f>General!$B$2</f>
        <v>PJ</v>
      </c>
      <c r="AB185" s="57" t="str">
        <f>General!$B$5</f>
        <v>GW</v>
      </c>
      <c r="AC185" s="57" t="s">
        <v>723</v>
      </c>
      <c r="AD185" s="57"/>
      <c r="AE185" s="26"/>
      <c r="AF185" s="32"/>
      <c r="AG185" s="32"/>
    </row>
    <row r="186" spans="2:33" ht="12.75" customHeight="1" x14ac:dyDescent="0.3">
      <c r="B186" s="26" t="str">
        <f t="shared" si="44"/>
        <v>RSD_DTA3_SH_ELC_N_ST01</v>
      </c>
      <c r="C186" s="26" t="str">
        <f t="shared" si="44"/>
        <v>Detached A3 SpHeat Electric Heater Standard (N)|</v>
      </c>
      <c r="D186" s="26" t="str">
        <f>Commodities!$D$341</f>
        <v>RSDELC</v>
      </c>
      <c r="E186" s="26" t="str">
        <f t="shared" ref="E186:E188" si="46">E185</f>
        <v>RSD_DTA3_SH</v>
      </c>
      <c r="F186" s="84">
        <f>G186</f>
        <v>2100</v>
      </c>
      <c r="G186" s="135">
        <v>2100</v>
      </c>
      <c r="H186" s="72">
        <v>0.95</v>
      </c>
      <c r="I186" s="72"/>
      <c r="J186" s="72"/>
      <c r="K186" s="72"/>
      <c r="L186" s="72"/>
      <c r="M186" s="72"/>
      <c r="N186" s="72">
        <f>ROUNDUP(320.85*0.35,0)</f>
        <v>113</v>
      </c>
      <c r="O186" s="72">
        <f>N186*0.01</f>
        <v>1.1300000000000001</v>
      </c>
      <c r="P186" s="72">
        <v>0</v>
      </c>
      <c r="Q186" s="72">
        <v>15</v>
      </c>
      <c r="R186" s="72">
        <f>31.536/5</f>
        <v>6.3071999999999999</v>
      </c>
      <c r="W186" s="26"/>
      <c r="X186" s="26"/>
      <c r="Y186" s="26" t="str">
        <f>Commodities!$AD$22&amp;"_"&amp;RIGHT(Commodities!$D$177,3)&amp;"_"&amp;$Y$3&amp;"_IM01"</f>
        <v>RSD_APA4_SH_PLT_N_IM01</v>
      </c>
      <c r="Z186" s="26" t="str">
        <f>"Apartment A4 SpHeat Pellet Boiler Improved (N)|"&amp;AG189</f>
        <v>Apartment A4 SpHeat Pellet Boiler Improved (N)|</v>
      </c>
      <c r="AA186" s="57" t="str">
        <f>General!$B$2</f>
        <v>PJ</v>
      </c>
      <c r="AB186" s="57" t="str">
        <f>General!$B$5</f>
        <v>GW</v>
      </c>
      <c r="AC186" s="57" t="s">
        <v>723</v>
      </c>
      <c r="AD186" s="57"/>
      <c r="AE186" s="26"/>
      <c r="AF186" s="32"/>
      <c r="AG186" s="32"/>
    </row>
    <row r="187" spans="2:33" ht="12.75" customHeight="1" x14ac:dyDescent="0.25">
      <c r="B187" s="26" t="str">
        <f t="shared" si="44"/>
        <v>RSD_DTA3_SH_ELC_N_ST02</v>
      </c>
      <c r="C187" s="26" t="str">
        <f t="shared" si="44"/>
        <v>Detached A3 SpHeat ASHP Standard (N)|</v>
      </c>
      <c r="D187" s="26" t="str">
        <f>Commodities!$D$341</f>
        <v>RSDELC</v>
      </c>
      <c r="E187" s="26" t="str">
        <f t="shared" si="46"/>
        <v>RSD_DTA3_SH</v>
      </c>
      <c r="F187" s="84">
        <f>G187</f>
        <v>2018</v>
      </c>
      <c r="G187" s="57">
        <f>BASE_YEAR+1</f>
        <v>2018</v>
      </c>
      <c r="H187" s="72">
        <v>2</v>
      </c>
      <c r="I187" s="72"/>
      <c r="J187" s="72"/>
      <c r="K187" s="72"/>
      <c r="L187" s="72"/>
      <c r="M187" s="72"/>
      <c r="N187" s="72">
        <f>ROUNDUP(612.593487394958*0.8,0)</f>
        <v>491</v>
      </c>
      <c r="O187" s="72">
        <v>1</v>
      </c>
      <c r="P187" s="72">
        <v>0</v>
      </c>
      <c r="Q187" s="72">
        <v>15</v>
      </c>
      <c r="R187" s="72">
        <v>31.536000000000001</v>
      </c>
      <c r="W187" s="26"/>
      <c r="X187" s="26"/>
      <c r="Y187" s="26" t="str">
        <f>Commodities!$AD$22&amp;"_"&amp;LEFT(RIGHT(Commodities!$D$166,6),3)&amp;"_"&amp;$Y$3&amp;"_ST01"</f>
        <v>RSD_APA4_SH_GAS_N_ST01</v>
      </c>
      <c r="Z187" s="26" t="str">
        <f>"Apartment A4 SpHeat Gas Boiler Condensing (N)|"&amp;AG190</f>
        <v>Apartment A4 SpHeat Gas Boiler Condensing (N)|</v>
      </c>
      <c r="AA187" s="57" t="str">
        <f>General!$B$2</f>
        <v>PJ</v>
      </c>
      <c r="AB187" s="57" t="str">
        <f>General!$B$5</f>
        <v>GW</v>
      </c>
      <c r="AC187" s="57" t="s">
        <v>723</v>
      </c>
      <c r="AD187" s="57"/>
      <c r="AE187" s="26"/>
      <c r="AF187" s="32"/>
      <c r="AG187" s="32"/>
    </row>
    <row r="188" spans="2:33" ht="12.75" customHeight="1" x14ac:dyDescent="0.25">
      <c r="B188" s="26" t="str">
        <f t="shared" si="44"/>
        <v>RSD_DTA3_SH_ELC_N_ST03</v>
      </c>
      <c r="C188" s="26" t="str">
        <f t="shared" si="44"/>
        <v>Detached A3 SpHeat &amp; SpCooling ASHP Standard (N)|</v>
      </c>
      <c r="D188" s="26" t="str">
        <f>Commodities!$D$341</f>
        <v>RSDELC</v>
      </c>
      <c r="E188" s="26" t="str">
        <f t="shared" si="46"/>
        <v>RSD_DTA3_SH</v>
      </c>
      <c r="F188" s="84">
        <f>G188</f>
        <v>2018</v>
      </c>
      <c r="G188" s="57">
        <f>BASE_YEAR+1</f>
        <v>2018</v>
      </c>
      <c r="H188" s="72">
        <v>2</v>
      </c>
      <c r="I188" s="72"/>
      <c r="J188" s="72"/>
      <c r="K188" s="72"/>
      <c r="L188" s="72"/>
      <c r="M188" s="72"/>
      <c r="N188" s="72">
        <f>ROUNDUP(612.593487394958*0.8,0)</f>
        <v>491</v>
      </c>
      <c r="O188" s="72">
        <v>1</v>
      </c>
      <c r="P188" s="72">
        <v>0</v>
      </c>
      <c r="Q188" s="72">
        <v>15</v>
      </c>
      <c r="R188" s="72">
        <v>31.536000000000001</v>
      </c>
      <c r="W188" s="26"/>
      <c r="X188" s="26"/>
      <c r="Y188" s="26" t="str">
        <f>Commodities!$AD$22&amp;"_"&amp;LEFT(RIGHT(Commodities!$D$166,6),3)&amp;"_"&amp;$Y$3&amp;"_ST02"</f>
        <v>RSD_APA4_SH_GAS_N_ST02</v>
      </c>
      <c r="Z188" s="26" t="str">
        <f>"Apartment A4 Combi Gas Boiler Condensing (N)|"&amp;AG174</f>
        <v>Apartment A4 Combi Gas Boiler Condensing (N)|</v>
      </c>
      <c r="AA188" s="57" t="str">
        <f>General!$B$2</f>
        <v>PJ</v>
      </c>
      <c r="AB188" s="57" t="str">
        <f>General!$B$5</f>
        <v>GW</v>
      </c>
      <c r="AC188" s="57" t="s">
        <v>723</v>
      </c>
      <c r="AD188" s="57"/>
      <c r="AE188" s="26"/>
      <c r="AF188" s="32"/>
      <c r="AG188" s="32"/>
    </row>
    <row r="189" spans="2:33" ht="12.75" customHeight="1" x14ac:dyDescent="0.25">
      <c r="B189" s="26"/>
      <c r="C189" s="26"/>
      <c r="D189" s="10"/>
      <c r="E189" s="26" t="str">
        <f>Commodities!$AD$35</f>
        <v>RSD_DTA3_SC</v>
      </c>
      <c r="F189" s="84">
        <f>F188</f>
        <v>2018</v>
      </c>
      <c r="G189" s="10"/>
      <c r="H189" s="72" t="s">
        <v>848</v>
      </c>
      <c r="I189" s="72"/>
      <c r="J189" s="72">
        <f>H188*1.5</f>
        <v>3</v>
      </c>
      <c r="K189" s="72"/>
      <c r="L189" s="72"/>
      <c r="M189" s="72"/>
      <c r="N189" s="72" t="s">
        <v>848</v>
      </c>
      <c r="O189" s="72" t="s">
        <v>848</v>
      </c>
      <c r="P189" s="72" t="s">
        <v>848</v>
      </c>
      <c r="Q189" s="72" t="s">
        <v>848</v>
      </c>
      <c r="R189" s="72"/>
      <c r="W189" s="26"/>
      <c r="X189" s="26"/>
      <c r="Y189" s="26" t="str">
        <f>Commodities!$AD$22&amp;"_"&amp;LEFT(RIGHT(Commodities!$D$166,6),3)&amp;"_"&amp;$Y$3&amp;"_AD01"</f>
        <v>RSD_APA4_SH_GAS_N_AD01</v>
      </c>
      <c r="Z189" s="26" t="str">
        <f>"Apartment A4 SpHeat Gas Boiler Condensing Improved (N)|"&amp;AG191</f>
        <v>Apartment A4 SpHeat Gas Boiler Condensing Improved (N)|</v>
      </c>
      <c r="AA189" s="57" t="str">
        <f>General!$B$2</f>
        <v>PJ</v>
      </c>
      <c r="AB189" s="57" t="str">
        <f>General!$B$5</f>
        <v>GW</v>
      </c>
      <c r="AC189" s="57" t="s">
        <v>723</v>
      </c>
      <c r="AD189" s="57"/>
      <c r="AE189" s="26"/>
      <c r="AF189" s="32"/>
      <c r="AG189" s="32"/>
    </row>
    <row r="190" spans="2:33" ht="12.75" customHeight="1" x14ac:dyDescent="0.25">
      <c r="B190" s="26" t="str">
        <f>Y122</f>
        <v>RSD_DTA3_SH_ELC_N_IM01</v>
      </c>
      <c r="C190" s="26" t="str">
        <f>Z122</f>
        <v>Detached A3 SpHeat ASHP Improved (N)|</v>
      </c>
      <c r="D190" s="26" t="str">
        <f>Commodities!$D$341</f>
        <v>RSDELC</v>
      </c>
      <c r="E190" s="26" t="str">
        <f>E188</f>
        <v>RSD_DTA3_SH</v>
      </c>
      <c r="F190" s="84">
        <f>G190</f>
        <v>2025</v>
      </c>
      <c r="G190" s="57">
        <f>BASE_YEAR+8</f>
        <v>2025</v>
      </c>
      <c r="H190" s="72">
        <v>2.5</v>
      </c>
      <c r="I190" s="72"/>
      <c r="J190" s="72"/>
      <c r="K190" s="72"/>
      <c r="L190" s="72"/>
      <c r="M190" s="72"/>
      <c r="N190" s="72">
        <f>ROUNDUP(655.475031512605*0.9,0)</f>
        <v>590</v>
      </c>
      <c r="O190" s="72">
        <v>1</v>
      </c>
      <c r="P190" s="72">
        <v>0</v>
      </c>
      <c r="Q190" s="72">
        <v>15</v>
      </c>
      <c r="R190" s="72">
        <v>31.536000000000001</v>
      </c>
      <c r="S190" s="26"/>
      <c r="W190" s="26"/>
      <c r="X190" s="26"/>
      <c r="Y190" s="26" t="str">
        <f>Commodities!$AD$22&amp;"_"&amp;LEFT(RIGHT(Commodities!$D$166,6),3)&amp;"_"&amp;$Y$3&amp;"_AD02"</f>
        <v>RSD_APA4_SH_GAS_N_AD02</v>
      </c>
      <c r="Z190" s="26" t="str">
        <f>"Apartment A4 Combi Gas Boiler Condensing (N)|"&amp;AG192</f>
        <v>Apartment A4 Combi Gas Boiler Condensing (N)|</v>
      </c>
      <c r="AA190" s="57" t="str">
        <f>General!$B$2</f>
        <v>PJ</v>
      </c>
      <c r="AB190" s="57" t="str">
        <f>General!$B$5</f>
        <v>GW</v>
      </c>
      <c r="AC190" s="57" t="s">
        <v>723</v>
      </c>
      <c r="AD190" s="57"/>
      <c r="AE190" s="26"/>
      <c r="AF190" s="32"/>
      <c r="AG190" s="32"/>
    </row>
    <row r="191" spans="2:33" ht="12.75" customHeight="1" x14ac:dyDescent="0.25">
      <c r="B191" s="26" t="str">
        <f>Y123</f>
        <v>RSD_DTA3_SH_ELC_N_IM02</v>
      </c>
      <c r="C191" s="26" t="str">
        <f>Z123</f>
        <v>Detached A3 SpHeat &amp; SpCooling  ASHP Improved (N)|</v>
      </c>
      <c r="D191" s="26" t="str">
        <f>Commodities!$D$341</f>
        <v>RSDELC</v>
      </c>
      <c r="E191" s="26" t="str">
        <f>E190</f>
        <v>RSD_DTA3_SH</v>
      </c>
      <c r="F191" s="84">
        <f>G191</f>
        <v>2025</v>
      </c>
      <c r="G191" s="57">
        <f>BASE_YEAR+8</f>
        <v>2025</v>
      </c>
      <c r="H191" s="72">
        <v>2.5</v>
      </c>
      <c r="I191" s="72"/>
      <c r="J191" s="72"/>
      <c r="K191" s="72"/>
      <c r="L191" s="72"/>
      <c r="M191" s="72"/>
      <c r="N191" s="72">
        <f>ROUNDUP(655.475031512605*0.9,0)</f>
        <v>590</v>
      </c>
      <c r="O191" s="72">
        <v>1</v>
      </c>
      <c r="P191" s="72">
        <v>0</v>
      </c>
      <c r="Q191" s="72">
        <v>15</v>
      </c>
      <c r="R191" s="72">
        <v>31.536000000000001</v>
      </c>
      <c r="S191" s="26"/>
      <c r="U191" s="123"/>
      <c r="W191" s="26"/>
      <c r="X191" s="26"/>
      <c r="Y191" s="26" t="str">
        <f>Commodities!$AD$22&amp;"_"&amp;RIGHT(Commodities!$D$347,3)&amp;"_"&amp;$Y$3&amp;"_ST01"</f>
        <v>RSD_APA4_SH_LTH_N_ST01</v>
      </c>
      <c r="Z191" s="26" t="str">
        <f>"Apartment A4 SpHeat Dist. Heat Standard (N)|"&amp;AG193</f>
        <v>Apartment A4 SpHeat Dist. Heat Standard (N)|</v>
      </c>
      <c r="AA191" s="57" t="str">
        <f>General!$B$2</f>
        <v>PJ</v>
      </c>
      <c r="AB191" s="57" t="str">
        <f>General!$B$5</f>
        <v>GW</v>
      </c>
      <c r="AC191" s="57" t="s">
        <v>723</v>
      </c>
      <c r="AD191" s="57"/>
      <c r="AE191" s="26"/>
      <c r="AF191" s="32"/>
      <c r="AG191" s="32"/>
    </row>
    <row r="192" spans="2:33" ht="12.75" customHeight="1" x14ac:dyDescent="0.25">
      <c r="B192" s="26"/>
      <c r="C192" s="26"/>
      <c r="D192" s="10"/>
      <c r="E192" s="26" t="str">
        <f>E189</f>
        <v>RSD_DTA3_SC</v>
      </c>
      <c r="F192" s="84">
        <f>F191</f>
        <v>2025</v>
      </c>
      <c r="G192" s="10"/>
      <c r="H192" s="72" t="s">
        <v>848</v>
      </c>
      <c r="I192" s="72"/>
      <c r="J192" s="72">
        <f>H191*1.5</f>
        <v>3.75</v>
      </c>
      <c r="K192" s="72"/>
      <c r="L192" s="72"/>
      <c r="M192" s="72"/>
      <c r="N192" s="72" t="s">
        <v>848</v>
      </c>
      <c r="O192" s="72" t="s">
        <v>848</v>
      </c>
      <c r="P192" s="72" t="s">
        <v>848</v>
      </c>
      <c r="Q192" s="72" t="s">
        <v>848</v>
      </c>
      <c r="R192" s="72"/>
      <c r="S192" s="26"/>
      <c r="T192" s="123"/>
      <c r="W192" s="26"/>
      <c r="X192" s="26"/>
      <c r="Y192" s="26" t="str">
        <f>Commodities!$AD$22&amp;"_"&amp;RIGHT(Commodities!$D$347,3)&amp;"_"&amp;$Y$3&amp;"_IM01"</f>
        <v>RSD_APA4_SH_LTH_N_IM01</v>
      </c>
      <c r="Z192" s="26" t="str">
        <f>"Apartment A4 SpHeat Dist. Heat Improved (N)|"&amp;AG194</f>
        <v>Apartment A4 SpHeat Dist. Heat Improved (N)|</v>
      </c>
      <c r="AA192" s="57" t="str">
        <f>General!$B$2</f>
        <v>PJ</v>
      </c>
      <c r="AB192" s="57" t="str">
        <f>General!$B$5</f>
        <v>GW</v>
      </c>
      <c r="AC192" s="57" t="s">
        <v>723</v>
      </c>
      <c r="AD192" s="57"/>
      <c r="AE192" s="26"/>
      <c r="AF192" s="32"/>
      <c r="AG192" s="32"/>
    </row>
    <row r="193" spans="2:33" ht="12.75" customHeight="1" x14ac:dyDescent="0.25">
      <c r="B193" s="26" t="str">
        <f>Y124</f>
        <v>RSD_DTA3_SH_ELC_N_AD01</v>
      </c>
      <c r="C193" s="26" t="str">
        <f>Z124</f>
        <v>Detached A3 SpHeat ASHP Advanced (N)|</v>
      </c>
      <c r="D193" s="26" t="str">
        <f>Commodities!$D$341</f>
        <v>RSDELC</v>
      </c>
      <c r="E193" s="26" t="str">
        <f>E191</f>
        <v>RSD_DTA3_SH</v>
      </c>
      <c r="F193" s="84">
        <f>G193</f>
        <v>2035</v>
      </c>
      <c r="G193" s="57">
        <f>BASE_YEAR+18</f>
        <v>2035</v>
      </c>
      <c r="H193" s="72">
        <v>3</v>
      </c>
      <c r="I193" s="72"/>
      <c r="J193" s="72"/>
      <c r="K193" s="72"/>
      <c r="L193" s="72"/>
      <c r="M193" s="72"/>
      <c r="N193" s="72">
        <f>ROUNDUP(688.248783088235,0)</f>
        <v>689</v>
      </c>
      <c r="O193" s="72">
        <v>1</v>
      </c>
      <c r="P193" s="72">
        <v>0</v>
      </c>
      <c r="Q193" s="72">
        <v>15</v>
      </c>
      <c r="R193" s="72">
        <v>31.536000000000001</v>
      </c>
      <c r="S193" s="26"/>
      <c r="W193" s="26"/>
      <c r="X193" s="26"/>
      <c r="Y193" s="26" t="str">
        <f>Commodities!$AD$22&amp;"_"&amp;RIGHT(Commodities!$D$347,3)&amp;"_"&amp;$Y$3&amp;"_AD01"</f>
        <v>RSD_APA4_SH_LTH_N_AD01</v>
      </c>
      <c r="Z193" s="26" t="str">
        <f>"Apartment A4 SpHeat Dist. Heat Advanced (N)|"&amp;AG195</f>
        <v>Apartment A4 SpHeat Dist. Heat Advanced (N)|</v>
      </c>
      <c r="AA193" s="57" t="str">
        <f>General!$B$2</f>
        <v>PJ</v>
      </c>
      <c r="AB193" s="57" t="str">
        <f>General!$B$5</f>
        <v>GW</v>
      </c>
      <c r="AC193" s="57" t="s">
        <v>723</v>
      </c>
      <c r="AD193" s="57"/>
      <c r="AE193" s="26"/>
      <c r="AF193" s="32"/>
      <c r="AG193" s="32"/>
    </row>
    <row r="194" spans="2:33" ht="12.75" customHeight="1" x14ac:dyDescent="0.25">
      <c r="B194" s="26" t="str">
        <f>Y125</f>
        <v>RSD_DTA3_SH_ELC_N_AD02</v>
      </c>
      <c r="C194" s="26" t="str">
        <f>Z125</f>
        <v>Detached A3 SpHeat &amp; SpCooling ASHP Advanced (N)|</v>
      </c>
      <c r="D194" s="26" t="str">
        <f>Commodities!$D$341</f>
        <v>RSDELC</v>
      </c>
      <c r="E194" s="26" t="str">
        <f>E193</f>
        <v>RSD_DTA3_SH</v>
      </c>
      <c r="F194" s="84">
        <f>G194</f>
        <v>2035</v>
      </c>
      <c r="G194" s="57">
        <f>BASE_YEAR+18</f>
        <v>2035</v>
      </c>
      <c r="H194" s="72">
        <v>3</v>
      </c>
      <c r="I194" s="72"/>
      <c r="J194" s="72"/>
      <c r="K194" s="72"/>
      <c r="L194" s="72"/>
      <c r="M194" s="72"/>
      <c r="N194" s="72">
        <f>ROUNDUP(688.248783088235,0)</f>
        <v>689</v>
      </c>
      <c r="O194" s="72">
        <v>1</v>
      </c>
      <c r="P194" s="72">
        <v>0</v>
      </c>
      <c r="Q194" s="72">
        <v>15</v>
      </c>
      <c r="R194" s="72">
        <v>31.536000000000001</v>
      </c>
      <c r="S194" s="26"/>
      <c r="U194" s="26"/>
      <c r="W194" s="26"/>
      <c r="X194" s="26"/>
      <c r="Y194" s="26" t="str">
        <f>Commodities!$AD$22&amp;"_"&amp;RIGHT(Commodities!$D$340,3)&amp;"_"&amp;$Y$3&amp;"_ST01"</f>
        <v>RSD_APA4_SH_ELC_N_ST01</v>
      </c>
      <c r="Z194" s="26" t="str">
        <f>"Apartment A4 SpHeat Electric Heater Standard (N)|"&amp;AG196</f>
        <v>Apartment A4 SpHeat Electric Heater Standard (N)|</v>
      </c>
      <c r="AA194" s="57" t="str">
        <f>General!$B$2</f>
        <v>PJ</v>
      </c>
      <c r="AB194" s="57" t="str">
        <f>General!$B$5</f>
        <v>GW</v>
      </c>
      <c r="AC194" s="57" t="s">
        <v>723</v>
      </c>
      <c r="AD194" s="57"/>
      <c r="AE194" s="26"/>
      <c r="AF194" s="32"/>
      <c r="AG194" s="32"/>
    </row>
    <row r="195" spans="2:33" ht="12.75" customHeight="1" x14ac:dyDescent="0.25">
      <c r="B195" s="26"/>
      <c r="C195" s="26"/>
      <c r="D195" s="10"/>
      <c r="E195" s="26" t="str">
        <f>E192</f>
        <v>RSD_DTA3_SC</v>
      </c>
      <c r="F195" s="84">
        <f>F194</f>
        <v>2035</v>
      </c>
      <c r="G195" s="10"/>
      <c r="H195" s="72" t="s">
        <v>848</v>
      </c>
      <c r="I195" s="72"/>
      <c r="J195" s="72">
        <f>H194*1.5</f>
        <v>4.5</v>
      </c>
      <c r="K195" s="72"/>
      <c r="L195" s="72"/>
      <c r="M195" s="72"/>
      <c r="N195" s="72" t="s">
        <v>848</v>
      </c>
      <c r="O195" s="72" t="s">
        <v>848</v>
      </c>
      <c r="P195" s="72" t="s">
        <v>848</v>
      </c>
      <c r="Q195" s="72" t="s">
        <v>848</v>
      </c>
      <c r="R195" s="72"/>
      <c r="S195" s="26"/>
      <c r="T195" s="26"/>
      <c r="U195" s="26"/>
      <c r="W195" s="26"/>
      <c r="X195" s="26"/>
      <c r="Y195" s="26" t="str">
        <f>Commodities!$AD$22&amp;"_"&amp;RIGHT(Commodities!$D$340,3)&amp;"_"&amp;$Y$3&amp;"_ST02"</f>
        <v>RSD_APA4_SH_ELC_N_ST02</v>
      </c>
      <c r="Z195" s="26" t="str">
        <f>"Apartment A4 SpHeat ASHP Standard (N)|"&amp;AG197</f>
        <v>Apartment A4 SpHeat ASHP Standard (N)|</v>
      </c>
      <c r="AA195" s="57" t="str">
        <f>General!$B$2</f>
        <v>PJ</v>
      </c>
      <c r="AB195" s="57" t="str">
        <f>General!$B$5</f>
        <v>GW</v>
      </c>
      <c r="AC195" s="57" t="s">
        <v>723</v>
      </c>
      <c r="AD195" s="57"/>
      <c r="AE195" s="26"/>
      <c r="AF195" s="32"/>
      <c r="AG195" s="32"/>
    </row>
    <row r="196" spans="2:33" ht="12.75" customHeight="1" x14ac:dyDescent="0.25">
      <c r="B196" s="26" t="str">
        <f>Y126</f>
        <v>RSD_DTA3_SH_GEO_N_ST01</v>
      </c>
      <c r="C196" s="26" t="str">
        <f>Z126</f>
        <v>Detached A3 SpHeat GSHP Standard (N)|</v>
      </c>
      <c r="D196" s="26" t="str">
        <f>Commodities!$D$341</f>
        <v>RSDELC</v>
      </c>
      <c r="E196" s="26" t="str">
        <f>E194</f>
        <v>RSD_DTA3_SH</v>
      </c>
      <c r="F196" s="84">
        <f>G196</f>
        <v>2020</v>
      </c>
      <c r="G196" s="57">
        <f>BASE_YEAR+3</f>
        <v>2020</v>
      </c>
      <c r="H196" s="72">
        <v>4</v>
      </c>
      <c r="I196" s="72"/>
      <c r="J196" s="72"/>
      <c r="K196" s="72"/>
      <c r="L196" s="72"/>
      <c r="M196" s="72"/>
      <c r="N196" s="72">
        <v>859.22430830039525</v>
      </c>
      <c r="O196" s="72">
        <v>1.7085427135678393</v>
      </c>
      <c r="P196" s="72">
        <v>0</v>
      </c>
      <c r="Q196" s="72">
        <v>15</v>
      </c>
      <c r="R196" s="72">
        <v>31.536000000000001</v>
      </c>
      <c r="S196" s="32"/>
      <c r="T196" s="26"/>
      <c r="W196" s="26"/>
      <c r="X196" s="26"/>
      <c r="Y196" s="26" t="str">
        <f>Commodities!$AD$22&amp;"_"&amp;RIGHT(Commodities!$D$340,3)&amp;"_"&amp;$Y$3&amp;"_ST03"</f>
        <v>RSD_APA4_SH_ELC_N_ST03</v>
      </c>
      <c r="Z196" s="26" t="str">
        <f>"Apartment A4 SpHeat &amp; SpCooling ASHP Standard (N)|"&amp;AG198</f>
        <v>Apartment A4 SpHeat &amp; SpCooling ASHP Standard (N)|</v>
      </c>
      <c r="AA196" s="57" t="str">
        <f>General!$B$2</f>
        <v>PJ</v>
      </c>
      <c r="AB196" s="57" t="str">
        <f>General!$B$5</f>
        <v>GW</v>
      </c>
      <c r="AC196" s="57" t="s">
        <v>723</v>
      </c>
      <c r="AD196" s="57"/>
      <c r="AE196" s="26"/>
      <c r="AF196" s="32"/>
      <c r="AG196" s="32"/>
    </row>
    <row r="197" spans="2:33" ht="12.75" customHeight="1" x14ac:dyDescent="0.25">
      <c r="B197" s="26"/>
      <c r="C197" s="26"/>
      <c r="D197" s="26" t="str">
        <f>Commodities!$D$182</f>
        <v>RSDRESGEO</v>
      </c>
      <c r="E197" s="10"/>
      <c r="F197" s="84">
        <f>F196</f>
        <v>2020</v>
      </c>
      <c r="G197" s="10"/>
      <c r="H197" s="72" t="s">
        <v>848</v>
      </c>
      <c r="I197" s="72"/>
      <c r="J197" s="72" t="s">
        <v>848</v>
      </c>
      <c r="K197" s="72"/>
      <c r="L197" s="72">
        <v>0.2</v>
      </c>
      <c r="M197" s="72"/>
      <c r="N197" s="72" t="s">
        <v>848</v>
      </c>
      <c r="O197" s="72" t="s">
        <v>848</v>
      </c>
      <c r="P197" s="72" t="s">
        <v>848</v>
      </c>
      <c r="Q197" s="72" t="s">
        <v>848</v>
      </c>
      <c r="R197" s="72">
        <v>31.536000000000001</v>
      </c>
      <c r="S197" s="32"/>
      <c r="U197" s="26"/>
      <c r="W197" s="26"/>
      <c r="X197" s="26"/>
      <c r="Y197" s="26" t="str">
        <f>Commodities!$AD$22&amp;"_"&amp;RIGHT(Commodities!$D$340,3)&amp;"_"&amp;$Y$3&amp;"_IM01"</f>
        <v>RSD_APA4_SH_ELC_N_IM01</v>
      </c>
      <c r="Z197" s="26" t="str">
        <f>"Apartment A4 SpHeat ASHP Improved (N)|"&amp;AG199</f>
        <v>Apartment A4 SpHeat ASHP Improved (N)|</v>
      </c>
      <c r="AA197" s="57" t="str">
        <f>General!$B$2</f>
        <v>PJ</v>
      </c>
      <c r="AB197" s="57" t="str">
        <f>General!$B$5</f>
        <v>GW</v>
      </c>
      <c r="AC197" s="57" t="s">
        <v>723</v>
      </c>
      <c r="AD197" s="57"/>
      <c r="AE197" s="26"/>
      <c r="AF197" s="32"/>
      <c r="AG197" s="32"/>
    </row>
    <row r="198" spans="2:33" ht="12.75" customHeight="1" x14ac:dyDescent="0.25">
      <c r="B198" s="26" t="str">
        <f>Y127</f>
        <v>RSD_DTA3_SH_GEO_N_ST02</v>
      </c>
      <c r="C198" s="26" t="str">
        <f>Z127</f>
        <v>Detached A3 SpHeat &amp; SpCooling GSHP Standard (N)|</v>
      </c>
      <c r="D198" s="26" t="str">
        <f>Commodities!$D$341</f>
        <v>RSDELC</v>
      </c>
      <c r="E198" s="26" t="str">
        <f>E194</f>
        <v>RSD_DTA3_SH</v>
      </c>
      <c r="F198" s="84">
        <f>G198</f>
        <v>2018</v>
      </c>
      <c r="G198" s="57">
        <f>BASE_YEAR+1</f>
        <v>2018</v>
      </c>
      <c r="H198" s="72">
        <v>4</v>
      </c>
      <c r="I198" s="72"/>
      <c r="J198" s="72"/>
      <c r="K198" s="72"/>
      <c r="L198" s="72"/>
      <c r="M198" s="72"/>
      <c r="N198" s="72">
        <v>859.22430830039525</v>
      </c>
      <c r="O198" s="72">
        <v>1.7085427135678393</v>
      </c>
      <c r="P198" s="72">
        <v>0</v>
      </c>
      <c r="Q198" s="72">
        <v>15</v>
      </c>
      <c r="R198" s="72">
        <v>31.536000000000001</v>
      </c>
      <c r="S198" s="32"/>
      <c r="T198" s="26"/>
      <c r="U198" s="26"/>
      <c r="W198" s="26"/>
      <c r="X198" s="26"/>
      <c r="Y198" s="26" t="str">
        <f>Commodities!$AD$22&amp;"_"&amp;RIGHT(Commodities!$D$340,3)&amp;"_"&amp;$Y$3&amp;"_IM02"</f>
        <v>RSD_APA4_SH_ELC_N_IM02</v>
      </c>
      <c r="Z198" s="26" t="str">
        <f>"Apartment A4 SpHeat &amp; SpCooling  ASHP Improved (N)|"&amp;AG200</f>
        <v>Apartment A4 SpHeat &amp; SpCooling  ASHP Improved (N)|</v>
      </c>
      <c r="AA198" s="57" t="str">
        <f>General!$B$2</f>
        <v>PJ</v>
      </c>
      <c r="AB198" s="57" t="str">
        <f>General!$B$5</f>
        <v>GW</v>
      </c>
      <c r="AC198" s="57" t="s">
        <v>723</v>
      </c>
      <c r="AD198" s="57"/>
      <c r="AE198" s="26"/>
      <c r="AF198" s="32"/>
      <c r="AG198" s="32"/>
    </row>
    <row r="199" spans="2:33" ht="12.75" customHeight="1" x14ac:dyDescent="0.25">
      <c r="B199" s="26"/>
      <c r="C199" s="26"/>
      <c r="D199" s="26" t="str">
        <f>Commodities!$D$182</f>
        <v>RSDRESGEO</v>
      </c>
      <c r="E199" s="26" t="str">
        <f>E195</f>
        <v>RSD_DTA3_SC</v>
      </c>
      <c r="F199" s="84">
        <f>F198</f>
        <v>2018</v>
      </c>
      <c r="G199" s="10"/>
      <c r="H199" s="72" t="s">
        <v>848</v>
      </c>
      <c r="I199" s="72"/>
      <c r="J199" s="72"/>
      <c r="K199" s="72"/>
      <c r="L199" s="72">
        <v>0.2</v>
      </c>
      <c r="M199" s="72"/>
      <c r="N199" s="72" t="s">
        <v>848</v>
      </c>
      <c r="O199" s="72" t="s">
        <v>848</v>
      </c>
      <c r="P199" s="72" t="s">
        <v>848</v>
      </c>
      <c r="Q199" s="72" t="s">
        <v>848</v>
      </c>
      <c r="R199" s="72">
        <v>31.536000000000001</v>
      </c>
      <c r="S199" s="32"/>
      <c r="T199" s="26"/>
      <c r="W199" s="26"/>
      <c r="X199" s="26"/>
      <c r="Y199" s="26" t="str">
        <f>Commodities!$AD$22&amp;"_"&amp;RIGHT(Commodities!$D$340,3)&amp;"_"&amp;$Y$3&amp;"_AD01"</f>
        <v>RSD_APA4_SH_ELC_N_AD01</v>
      </c>
      <c r="Z199" s="26" t="str">
        <f>"Apartment A4 SpHeat ASHP Advanced (N)|"&amp;AG201</f>
        <v>Apartment A4 SpHeat ASHP Advanced (N)|</v>
      </c>
      <c r="AA199" s="57" t="str">
        <f>General!$B$2</f>
        <v>PJ</v>
      </c>
      <c r="AB199" s="57" t="str">
        <f>General!$B$5</f>
        <v>GW</v>
      </c>
      <c r="AC199" s="57" t="s">
        <v>723</v>
      </c>
      <c r="AD199" s="57"/>
      <c r="AE199" s="26"/>
      <c r="AF199" s="32"/>
      <c r="AG199" s="32"/>
    </row>
    <row r="200" spans="2:33" ht="12.75" customHeight="1" x14ac:dyDescent="0.25">
      <c r="B200" s="26" t="str">
        <f>Y128</f>
        <v>RSD_DTA3_SH_GEO_N_IM01</v>
      </c>
      <c r="C200" s="26" t="str">
        <f>Z128</f>
        <v>Detached A3 SpHeat GSHP Improved (N)|</v>
      </c>
      <c r="D200" s="26" t="str">
        <f>Commodities!$D$341</f>
        <v>RSDELC</v>
      </c>
      <c r="E200" s="26" t="str">
        <f>E198</f>
        <v>RSD_DTA3_SH</v>
      </c>
      <c r="F200" s="84">
        <f>G200</f>
        <v>2025</v>
      </c>
      <c r="G200" s="57">
        <f>BASE_YEAR+8</f>
        <v>2025</v>
      </c>
      <c r="H200" s="72">
        <v>4.3</v>
      </c>
      <c r="I200" s="72"/>
      <c r="J200" s="72"/>
      <c r="K200" s="72"/>
      <c r="L200" s="72"/>
      <c r="M200" s="72"/>
      <c r="N200" s="72">
        <v>919.37000988142302</v>
      </c>
      <c r="O200" s="72">
        <v>1.5889447236180905</v>
      </c>
      <c r="P200" s="72">
        <v>0</v>
      </c>
      <c r="Q200" s="72">
        <v>15</v>
      </c>
      <c r="R200" s="72">
        <v>31.536000000000001</v>
      </c>
      <c r="S200" s="32"/>
      <c r="W200" s="26"/>
      <c r="X200" s="26"/>
      <c r="Y200" s="26" t="str">
        <f>Commodities!$AD$22&amp;"_"&amp;RIGHT(Commodities!$D$340,3)&amp;"_"&amp;$Y$3&amp;"_AD02"</f>
        <v>RSD_APA4_SH_ELC_N_AD02</v>
      </c>
      <c r="Z200" s="26" t="str">
        <f>"Apartment A4 SpHeat &amp; SpCooling ASHP Advanced (N)|"&amp;AG202</f>
        <v>Apartment A4 SpHeat &amp; SpCooling ASHP Advanced (N)|</v>
      </c>
      <c r="AA200" s="57" t="str">
        <f>General!$B$2</f>
        <v>PJ</v>
      </c>
      <c r="AB200" s="57" t="str">
        <f>General!$B$5</f>
        <v>GW</v>
      </c>
      <c r="AC200" s="57" t="s">
        <v>723</v>
      </c>
      <c r="AD200" s="57"/>
      <c r="AE200" s="26"/>
      <c r="AF200" s="32"/>
      <c r="AG200" s="32"/>
    </row>
    <row r="201" spans="2:33" ht="12.75" customHeight="1" x14ac:dyDescent="0.25">
      <c r="B201" s="26"/>
      <c r="C201" s="26"/>
      <c r="D201" s="26" t="str">
        <f>Commodities!$D$182</f>
        <v>RSDRESGEO</v>
      </c>
      <c r="E201" s="10"/>
      <c r="F201" s="84">
        <f>F200</f>
        <v>2025</v>
      </c>
      <c r="G201" s="10"/>
      <c r="H201" s="72" t="s">
        <v>848</v>
      </c>
      <c r="I201" s="72"/>
      <c r="J201" s="72"/>
      <c r="K201" s="72"/>
      <c r="L201" s="72">
        <v>0.2</v>
      </c>
      <c r="M201" s="72"/>
      <c r="N201" s="72" t="s">
        <v>848</v>
      </c>
      <c r="O201" s="72" t="s">
        <v>848</v>
      </c>
      <c r="P201" s="72" t="s">
        <v>848</v>
      </c>
      <c r="Q201" s="72" t="s">
        <v>848</v>
      </c>
      <c r="R201" s="72">
        <v>31.536000000000001</v>
      </c>
      <c r="S201" s="32"/>
      <c r="W201" s="26"/>
      <c r="X201" s="26"/>
      <c r="Y201" s="26" t="str">
        <f>Commodities!$AD$22&amp;"_"&amp;RIGHT(Commodities!$D$182,3)&amp;"_"&amp;$Y$3&amp;"_ST01"</f>
        <v>RSD_APA4_SH_GEO_N_ST01</v>
      </c>
      <c r="Z201" s="26" t="str">
        <f>"Apartment A4 SpHeat GSHP Standard (N)|"&amp;AG203</f>
        <v>Apartment A4 SpHeat GSHP Standard (N)|</v>
      </c>
      <c r="AA201" s="57" t="str">
        <f>General!$B$2</f>
        <v>PJ</v>
      </c>
      <c r="AB201" s="57" t="str">
        <f>General!$B$5</f>
        <v>GW</v>
      </c>
      <c r="AC201" s="57" t="s">
        <v>723</v>
      </c>
      <c r="AD201" s="57"/>
      <c r="AE201" s="26"/>
      <c r="AF201" s="32"/>
      <c r="AG201" s="32"/>
    </row>
    <row r="202" spans="2:33" ht="12.75" customHeight="1" x14ac:dyDescent="0.25">
      <c r="B202" s="26" t="str">
        <f>Y129</f>
        <v>RSD_DTA3_SH_GEO_N_IM02</v>
      </c>
      <c r="C202" s="26" t="str">
        <f>Z129</f>
        <v>Detached A3 SpHeat &amp; SpCooling GSHP Improved (N)|</v>
      </c>
      <c r="D202" s="26" t="str">
        <f>Commodities!$D$341</f>
        <v>RSDELC</v>
      </c>
      <c r="E202" s="26" t="str">
        <f>E198</f>
        <v>RSD_DTA3_SH</v>
      </c>
      <c r="F202" s="84">
        <f>G202</f>
        <v>2025</v>
      </c>
      <c r="G202" s="57">
        <f>BASE_YEAR+8</f>
        <v>2025</v>
      </c>
      <c r="H202" s="72">
        <v>4.5</v>
      </c>
      <c r="I202" s="72"/>
      <c r="J202" s="72"/>
      <c r="K202" s="72"/>
      <c r="L202" s="72"/>
      <c r="M202" s="72"/>
      <c r="N202" s="72">
        <v>983.72591057312263</v>
      </c>
      <c r="O202" s="72">
        <v>1.477718592964824</v>
      </c>
      <c r="P202" s="72">
        <v>0</v>
      </c>
      <c r="Q202" s="72">
        <v>15</v>
      </c>
      <c r="R202" s="72">
        <v>31.536000000000001</v>
      </c>
      <c r="S202" s="32"/>
      <c r="W202" s="26"/>
      <c r="X202" s="26"/>
      <c r="Y202" s="26" t="str">
        <f>Commodities!$AD$22&amp;"_"&amp;RIGHT(Commodities!$D$182,3)&amp;"_"&amp;$Y$3&amp;"_ST02"</f>
        <v>RSD_APA4_SH_GEO_N_ST02</v>
      </c>
      <c r="Z202" s="26" t="str">
        <f>"Apartment A4 SpHeat &amp; SpCooling GSHP Standard (N)|"&amp;AG204</f>
        <v>Apartment A4 SpHeat &amp; SpCooling GSHP Standard (N)|</v>
      </c>
      <c r="AA202" s="57" t="str">
        <f>General!$B$2</f>
        <v>PJ</v>
      </c>
      <c r="AB202" s="57" t="str">
        <f>General!$B$5</f>
        <v>GW</v>
      </c>
      <c r="AC202" s="57" t="s">
        <v>723</v>
      </c>
      <c r="AD202" s="57"/>
      <c r="AE202" s="26"/>
      <c r="AF202" s="32"/>
      <c r="AG202" s="32"/>
    </row>
    <row r="203" spans="2:33" ht="12.75" customHeight="1" x14ac:dyDescent="0.25">
      <c r="B203" s="26"/>
      <c r="C203" s="26"/>
      <c r="D203" s="26" t="str">
        <f>Commodities!$D$182</f>
        <v>RSDRESGEO</v>
      </c>
      <c r="E203" s="26" t="str">
        <f>E199</f>
        <v>RSD_DTA3_SC</v>
      </c>
      <c r="F203" s="84">
        <f>F202</f>
        <v>2025</v>
      </c>
      <c r="G203" s="10"/>
      <c r="H203" s="72" t="s">
        <v>848</v>
      </c>
      <c r="I203" s="72"/>
      <c r="J203" s="72" t="s">
        <v>848</v>
      </c>
      <c r="K203" s="72"/>
      <c r="L203" s="72">
        <v>0.2</v>
      </c>
      <c r="M203" s="72"/>
      <c r="N203" s="72" t="s">
        <v>848</v>
      </c>
      <c r="O203" s="72" t="s">
        <v>848</v>
      </c>
      <c r="P203" s="72" t="s">
        <v>848</v>
      </c>
      <c r="Q203" s="72" t="s">
        <v>848</v>
      </c>
      <c r="R203" s="72">
        <v>31.536000000000001</v>
      </c>
      <c r="S203" s="32"/>
      <c r="W203" s="26"/>
      <c r="X203" s="26"/>
      <c r="Y203" s="26" t="str">
        <f>Commodities!$AD$22&amp;"_"&amp;RIGHT(Commodities!$D$182,3)&amp;"_"&amp;$Y$3&amp;"_IM01"</f>
        <v>RSD_APA4_SH_GEO_N_IM01</v>
      </c>
      <c r="Z203" s="26" t="str">
        <f>"Apartment A4 SpHeat GSHP Improved (N)|"&amp;AG205</f>
        <v>Apartment A4 SpHeat GSHP Improved (N)|</v>
      </c>
      <c r="AA203" s="57" t="str">
        <f>General!$B$2</f>
        <v>PJ</v>
      </c>
      <c r="AB203" s="57" t="str">
        <f>General!$B$5</f>
        <v>GW</v>
      </c>
      <c r="AC203" s="57" t="s">
        <v>723</v>
      </c>
      <c r="AD203" s="57"/>
      <c r="AE203" s="26"/>
      <c r="AF203" s="32"/>
      <c r="AG203" s="32"/>
    </row>
    <row r="204" spans="2:33" ht="12.75" customHeight="1" x14ac:dyDescent="0.25">
      <c r="B204" s="26" t="str">
        <f>Y130</f>
        <v>RSD_DTA3_SH_DSL_N_AD02</v>
      </c>
      <c r="C204" s="26" t="str">
        <f>Z130</f>
        <v>Detached A3 SpHeat Diesel Oil Advanced (N)|</v>
      </c>
      <c r="D204" s="26" t="str">
        <f>D163</f>
        <v>RSDOILDSL</v>
      </c>
      <c r="E204" s="26" t="str">
        <f>E178</f>
        <v>RSD_DTA3_SH</v>
      </c>
      <c r="F204" s="84">
        <v>2020</v>
      </c>
      <c r="G204" s="57">
        <f>F204</f>
        <v>2020</v>
      </c>
      <c r="H204" s="72">
        <f>H181</f>
        <v>0.94500000000000006</v>
      </c>
      <c r="I204" s="72"/>
      <c r="J204" s="72"/>
      <c r="K204" s="72"/>
      <c r="L204" s="72"/>
      <c r="M204" s="72"/>
      <c r="N204" s="72">
        <f>N181</f>
        <v>234</v>
      </c>
      <c r="O204" s="72">
        <f>O181</f>
        <v>4</v>
      </c>
      <c r="P204" s="72">
        <f>P181</f>
        <v>0</v>
      </c>
      <c r="Q204" s="72">
        <f>Q181</f>
        <v>20</v>
      </c>
      <c r="R204" s="72">
        <f>R181</f>
        <v>31.536000000000001</v>
      </c>
      <c r="S204" s="32"/>
      <c r="W204" s="26"/>
      <c r="X204" s="26"/>
      <c r="Y204" s="26" t="str">
        <f>Commodities!$AD$22&amp;"_"&amp;RIGHT(Commodities!$D$182,3)&amp;"_"&amp;$Y$3&amp;"_IM02"</f>
        <v>RSD_APA4_SH_GEO_N_IM02</v>
      </c>
      <c r="Z204" s="26" t="str">
        <f>"Apartment A4 SpHeat &amp; SpCooling GSHP Improved (N)|"&amp;AG206</f>
        <v>Apartment A4 SpHeat &amp; SpCooling GSHP Improved (N)|</v>
      </c>
      <c r="AA204" s="57" t="str">
        <f>General!$B$2</f>
        <v>PJ</v>
      </c>
      <c r="AB204" s="57" t="str">
        <f>General!$B$5</f>
        <v>GW</v>
      </c>
      <c r="AC204" s="57" t="s">
        <v>723</v>
      </c>
      <c r="AD204" s="57"/>
      <c r="AE204" s="26"/>
      <c r="AF204" s="32"/>
      <c r="AG204" s="32"/>
    </row>
    <row r="205" spans="2:33" ht="12.75" customHeight="1" x14ac:dyDescent="0.25">
      <c r="B205" s="26"/>
      <c r="C205" s="26"/>
      <c r="D205" s="26"/>
      <c r="E205" s="26" t="str">
        <f>E179</f>
        <v>RSD_DTA3_WH</v>
      </c>
      <c r="F205" s="84">
        <v>2020</v>
      </c>
      <c r="G205" s="10"/>
      <c r="H205" s="72"/>
      <c r="I205" s="72">
        <f>I182</f>
        <v>0.94500000000000006</v>
      </c>
      <c r="J205" s="72"/>
      <c r="K205" s="72"/>
      <c r="L205" s="72"/>
      <c r="M205" s="72"/>
      <c r="N205" s="72"/>
      <c r="O205" s="72"/>
      <c r="P205" s="72"/>
      <c r="Q205" s="72"/>
      <c r="R205" s="72"/>
      <c r="S205" s="32"/>
      <c r="W205" s="26"/>
      <c r="X205" s="26"/>
      <c r="Y205" s="26" t="str">
        <f>Commodities!$AD$22&amp;"_"&amp;LEFT(RIGHT(Commodities!$D$159,3),3)&amp;"_"&amp;$Y$3&amp;"_AD02"</f>
        <v>RSD_APA4_SH_DSL_N_AD02</v>
      </c>
      <c r="Z205" s="26" t="str">
        <f>"Apartment A4 SpHeat DieselOil Boiler Avdanced (N)|"&amp;AG207</f>
        <v>Apartment A4 SpHeat DieselOil Boiler Avdanced (N)|</v>
      </c>
      <c r="AA205" s="57" t="str">
        <f>General!$B$2</f>
        <v>PJ</v>
      </c>
      <c r="AB205" s="57" t="str">
        <f>General!$B$5</f>
        <v>GW</v>
      </c>
      <c r="AC205" s="57" t="s">
        <v>723</v>
      </c>
      <c r="AD205" s="57"/>
      <c r="AE205" s="26"/>
      <c r="AF205" s="32"/>
      <c r="AG205" s="32"/>
    </row>
    <row r="206" spans="2:33" ht="12.75" customHeight="1" x14ac:dyDescent="0.25">
      <c r="B206" s="26" t="str">
        <f>Y131</f>
        <v>RSD_DTA3_SH_LPG_N_AD02</v>
      </c>
      <c r="C206" s="26" t="str">
        <f>Z131</f>
        <v>Detached A3 SpHeat LPG Boiler Advanced (N)|</v>
      </c>
      <c r="D206" s="26" t="str">
        <f>D165</f>
        <v>RSDOILLPG</v>
      </c>
      <c r="E206" s="26" t="str">
        <f>E204</f>
        <v>RSD_DTA3_SH</v>
      </c>
      <c r="F206" s="84">
        <v>2020</v>
      </c>
      <c r="G206" s="57">
        <f>F206</f>
        <v>2020</v>
      </c>
      <c r="H206" s="72">
        <f>H204</f>
        <v>0.94500000000000006</v>
      </c>
      <c r="I206" s="72"/>
      <c r="J206" s="72"/>
      <c r="K206" s="72"/>
      <c r="L206" s="72"/>
      <c r="M206" s="72"/>
      <c r="N206" s="72">
        <f>N204</f>
        <v>234</v>
      </c>
      <c r="O206" s="72">
        <f>O204</f>
        <v>4</v>
      </c>
      <c r="P206" s="72">
        <f>P204</f>
        <v>0</v>
      </c>
      <c r="Q206" s="72">
        <f>Q204</f>
        <v>20</v>
      </c>
      <c r="R206" s="72">
        <f>R204</f>
        <v>31.536000000000001</v>
      </c>
      <c r="S206" s="32"/>
      <c r="W206" s="26"/>
      <c r="X206" s="26"/>
      <c r="Y206" s="26" t="str">
        <f>Commodities!$AD$22&amp;"_"&amp;LEFT(RIGHT(Commodities!$D$161,3),3)&amp;"_"&amp;$Y$3&amp;"_AD02"</f>
        <v>RSD_APA4_SH_LPG_N_AD02</v>
      </c>
      <c r="Z206" s="26" t="str">
        <f>"Apartment A4 SpHeat LPG Boiler Advanced (N)|"&amp;AG208</f>
        <v>Apartment A4 SpHeat LPG Boiler Advanced (N)|</v>
      </c>
      <c r="AA206" s="57" t="str">
        <f>General!$B$2</f>
        <v>PJ</v>
      </c>
      <c r="AB206" s="57" t="str">
        <f>General!$B$5</f>
        <v>GW</v>
      </c>
      <c r="AC206" s="57" t="s">
        <v>723</v>
      </c>
      <c r="AD206" s="57"/>
      <c r="AE206" s="26"/>
      <c r="AF206" s="32"/>
      <c r="AG206" s="32"/>
    </row>
    <row r="207" spans="2:33" ht="12.75" customHeight="1" x14ac:dyDescent="0.25">
      <c r="B207" s="28"/>
      <c r="C207" s="10"/>
      <c r="D207" s="26"/>
      <c r="E207" s="26" t="str">
        <f>E205</f>
        <v>RSD_DTA3_WH</v>
      </c>
      <c r="F207" s="84">
        <v>2020</v>
      </c>
      <c r="G207" s="10"/>
      <c r="H207" s="72"/>
      <c r="I207" s="72">
        <f>I205</f>
        <v>0.94500000000000006</v>
      </c>
      <c r="J207" s="72"/>
      <c r="K207" s="72"/>
      <c r="L207" s="72"/>
      <c r="M207" s="72"/>
      <c r="N207" s="72"/>
      <c r="O207" s="72"/>
      <c r="P207" s="72"/>
      <c r="Q207" s="72"/>
      <c r="R207" s="72"/>
      <c r="S207" s="32"/>
      <c r="W207" s="26"/>
      <c r="X207" s="26"/>
      <c r="Y207" s="32"/>
      <c r="Z207" s="32"/>
      <c r="AA207" s="32"/>
      <c r="AB207" s="32"/>
      <c r="AC207" s="138"/>
      <c r="AD207" s="57"/>
      <c r="AE207" s="26"/>
      <c r="AF207" s="32"/>
      <c r="AG207" s="32"/>
    </row>
    <row r="208" spans="2:33" ht="12.75" customHeight="1" x14ac:dyDescent="0.25">
      <c r="B208" s="28"/>
      <c r="C208" s="10"/>
      <c r="D208" s="26"/>
      <c r="E208" s="26"/>
      <c r="F208" s="57"/>
      <c r="G208" s="57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32"/>
      <c r="W208" s="26"/>
      <c r="X208" s="26"/>
      <c r="Y208" s="32"/>
      <c r="Z208" s="32"/>
      <c r="AA208" s="32"/>
      <c r="AB208" s="32"/>
      <c r="AC208" s="138"/>
      <c r="AD208" s="57"/>
      <c r="AE208" s="26"/>
      <c r="AF208" s="32"/>
      <c r="AG208" s="32"/>
    </row>
    <row r="209" spans="2:33" ht="12.75" customHeight="1" x14ac:dyDescent="0.25">
      <c r="B209" s="10"/>
      <c r="C209" s="10"/>
      <c r="D209" s="10"/>
      <c r="E209" s="30"/>
      <c r="F209" s="31" t="s">
        <v>0</v>
      </c>
      <c r="G209" s="31"/>
      <c r="H209" s="74"/>
      <c r="I209" s="74"/>
      <c r="J209" s="74"/>
      <c r="K209" s="10"/>
      <c r="L209" s="10"/>
      <c r="M209" s="10"/>
      <c r="N209" s="10"/>
      <c r="O209" s="10"/>
      <c r="P209" s="10"/>
      <c r="Q209" s="10"/>
      <c r="R209" s="10"/>
      <c r="S209" s="32"/>
      <c r="W209" s="26"/>
      <c r="X209" s="26"/>
      <c r="Y209" s="32"/>
      <c r="Z209" s="32"/>
      <c r="AA209" s="32"/>
      <c r="AB209" s="32"/>
      <c r="AC209" s="138"/>
      <c r="AD209" s="57"/>
      <c r="AE209" s="26"/>
      <c r="AF209" s="32"/>
      <c r="AG209" s="32"/>
    </row>
    <row r="210" spans="2:33" ht="12.75" customHeight="1" x14ac:dyDescent="0.25">
      <c r="B210" s="33" t="s">
        <v>1</v>
      </c>
      <c r="C210" s="33" t="s">
        <v>794</v>
      </c>
      <c r="D210" s="33" t="s">
        <v>3</v>
      </c>
      <c r="E210" s="33" t="s">
        <v>4</v>
      </c>
      <c r="F210" s="34" t="s">
        <v>803</v>
      </c>
      <c r="G210" s="35" t="s">
        <v>14</v>
      </c>
      <c r="H210" s="36" t="s">
        <v>16</v>
      </c>
      <c r="I210" s="36" t="str">
        <f>"CEFF~"&amp;E220</f>
        <v>CEFF~RSD_APA3_WH</v>
      </c>
      <c r="J210" s="36" t="str">
        <f>"CEFF~"&amp;E230</f>
        <v>CEFF~RSD_APA3_SC</v>
      </c>
      <c r="K210" s="36" t="s">
        <v>789</v>
      </c>
      <c r="L210" s="36" t="str">
        <f>"SHARE~"&amp;Commodities!$D$182</f>
        <v>SHARE~RSDRESGEO</v>
      </c>
      <c r="M210" s="36" t="str">
        <f>"SHARE~UP~"&amp;E220</f>
        <v>SHARE~UP~RSD_APA3_WH</v>
      </c>
      <c r="N210" s="36" t="s">
        <v>36</v>
      </c>
      <c r="O210" s="36" t="s">
        <v>5</v>
      </c>
      <c r="P210" s="36" t="s">
        <v>34</v>
      </c>
      <c r="Q210" s="36" t="s">
        <v>780</v>
      </c>
      <c r="R210" s="36" t="s">
        <v>773</v>
      </c>
      <c r="S210" s="32"/>
      <c r="W210" s="26"/>
      <c r="X210" s="26"/>
      <c r="Y210" s="32"/>
      <c r="Z210" s="32"/>
      <c r="AA210" s="32"/>
      <c r="AB210" s="32"/>
      <c r="AC210" s="138"/>
      <c r="AD210" s="57"/>
      <c r="AE210" s="26"/>
      <c r="AF210" s="32"/>
      <c r="AG210" s="32"/>
    </row>
    <row r="211" spans="2:33" ht="12.75" customHeight="1" thickBot="1" x14ac:dyDescent="0.3">
      <c r="B211" s="41" t="s">
        <v>795</v>
      </c>
      <c r="C211" s="41" t="s">
        <v>28</v>
      </c>
      <c r="D211" s="41" t="s">
        <v>32</v>
      </c>
      <c r="E211" s="41" t="s">
        <v>33</v>
      </c>
      <c r="F211" s="42"/>
      <c r="G211" s="43" t="s">
        <v>35</v>
      </c>
      <c r="H211" s="41" t="s">
        <v>813</v>
      </c>
      <c r="I211" s="41" t="s">
        <v>812</v>
      </c>
      <c r="J211" s="41" t="s">
        <v>811</v>
      </c>
      <c r="K211" s="41" t="s">
        <v>805</v>
      </c>
      <c r="L211" s="41" t="s">
        <v>814</v>
      </c>
      <c r="M211" s="41" t="s">
        <v>810</v>
      </c>
      <c r="N211" s="43" t="s">
        <v>806</v>
      </c>
      <c r="O211" s="41" t="s">
        <v>37</v>
      </c>
      <c r="P211" s="41" t="s">
        <v>38</v>
      </c>
      <c r="Q211" s="41" t="s">
        <v>781</v>
      </c>
      <c r="R211" s="41" t="s">
        <v>807</v>
      </c>
      <c r="S211" s="32"/>
      <c r="W211" s="26"/>
      <c r="X211" s="26"/>
      <c r="Y211" s="32"/>
      <c r="Z211" s="32"/>
      <c r="AA211" s="32"/>
      <c r="AB211" s="32"/>
      <c r="AC211" s="138"/>
      <c r="AD211" s="32"/>
      <c r="AE211" s="26"/>
      <c r="AF211" s="32"/>
      <c r="AG211" s="32"/>
    </row>
    <row r="212" spans="2:33" ht="12.75" customHeight="1" x14ac:dyDescent="0.25">
      <c r="B212" s="47"/>
      <c r="C212" s="48"/>
      <c r="D212" s="48"/>
      <c r="E212" s="48" t="s">
        <v>799</v>
      </c>
      <c r="F212" s="49"/>
      <c r="G212" s="48"/>
      <c r="H212" s="48" t="s">
        <v>808</v>
      </c>
      <c r="I212" s="48" t="s">
        <v>808</v>
      </c>
      <c r="J212" s="48" t="s">
        <v>808</v>
      </c>
      <c r="K212" s="48" t="s">
        <v>808</v>
      </c>
      <c r="L212" s="48" t="s">
        <v>808</v>
      </c>
      <c r="M212" s="48" t="s">
        <v>808</v>
      </c>
      <c r="N212" s="48" t="str">
        <f>General!$D$14</f>
        <v>$/kW</v>
      </c>
      <c r="O212" s="48" t="str">
        <f>General!$D$14</f>
        <v>$/kW</v>
      </c>
      <c r="P212" s="48" t="str">
        <f>General!$D$15</f>
        <v>$/GJ</v>
      </c>
      <c r="Q212" s="48" t="str">
        <f>General!$D$21</f>
        <v>Years</v>
      </c>
      <c r="R212" s="48" t="str">
        <f>General!$E$16</f>
        <v>PJ/GW</v>
      </c>
      <c r="S212" s="32"/>
      <c r="W212" s="26"/>
      <c r="X212" s="26"/>
      <c r="Y212" s="32"/>
      <c r="Z212" s="32"/>
      <c r="AA212" s="32"/>
      <c r="AB212" s="32"/>
      <c r="AC212" s="138"/>
      <c r="AD212" s="32"/>
      <c r="AE212" s="26"/>
      <c r="AF212" s="32"/>
      <c r="AG212" s="32"/>
    </row>
    <row r="213" spans="2:33" ht="14.4" x14ac:dyDescent="0.3">
      <c r="B213" s="26" t="str">
        <f t="shared" ref="B213:C219" si="47">Y132</f>
        <v>RSD_APA3_SH_BIC_N_ST</v>
      </c>
      <c r="C213" s="26" t="str">
        <f t="shared" si="47"/>
        <v>Apartment A3 SpHeat Coal Boiler Standard (N)|</v>
      </c>
      <c r="D213" s="26" t="str">
        <f>Commodities!$D$153</f>
        <v>RSDCOABIC</v>
      </c>
      <c r="E213" s="26" t="str">
        <f>Commodities!$AD$20</f>
        <v>RSD_APA3_SH</v>
      </c>
      <c r="F213" s="84">
        <f t="shared" ref="F213:F219" si="48">G213</f>
        <v>2100</v>
      </c>
      <c r="G213" s="135">
        <f>BASE_YEAR+83</f>
        <v>2100</v>
      </c>
      <c r="H213" s="72">
        <v>0.65</v>
      </c>
      <c r="I213" s="72"/>
      <c r="J213" s="72"/>
      <c r="K213" s="72"/>
      <c r="L213" s="72"/>
      <c r="M213" s="72"/>
      <c r="N213" s="72">
        <v>250</v>
      </c>
      <c r="O213" s="72">
        <f>N213*2%</f>
        <v>5</v>
      </c>
      <c r="P213" s="72">
        <v>0</v>
      </c>
      <c r="Q213" s="72">
        <v>15</v>
      </c>
      <c r="R213" s="72">
        <v>31.536000000000001</v>
      </c>
      <c r="S213" s="32"/>
      <c r="W213" s="32"/>
      <c r="X213" s="32"/>
      <c r="Y213" s="32"/>
      <c r="Z213" s="32"/>
      <c r="AA213" s="32"/>
      <c r="AB213" s="32"/>
      <c r="AC213" s="138"/>
      <c r="AD213" s="32"/>
      <c r="AE213" s="32"/>
      <c r="AF213" s="32"/>
      <c r="AG213" s="32"/>
    </row>
    <row r="214" spans="2:33" ht="14.4" x14ac:dyDescent="0.3">
      <c r="B214" s="26" t="str">
        <f t="shared" si="47"/>
        <v>RSD_APA3_SH_LOG_N_ST01</v>
      </c>
      <c r="C214" s="26" t="str">
        <f t="shared" si="47"/>
        <v>Apartment A3 SpHeat Wood Stove Standard (N)|</v>
      </c>
      <c r="D214" s="26" t="str">
        <f>Commodities!$D$167</f>
        <v>RSDBIOLOG</v>
      </c>
      <c r="E214" s="26" t="str">
        <f>E213</f>
        <v>RSD_APA3_SH</v>
      </c>
      <c r="F214" s="84">
        <f t="shared" si="48"/>
        <v>2100</v>
      </c>
      <c r="G214" s="135">
        <f>BASE_YEAR+83</f>
        <v>2100</v>
      </c>
      <c r="H214" s="72">
        <v>0.5</v>
      </c>
      <c r="I214" s="72"/>
      <c r="J214" s="72"/>
      <c r="K214" s="72"/>
      <c r="L214" s="72"/>
      <c r="M214" s="72"/>
      <c r="N214" s="72">
        <v>30</v>
      </c>
      <c r="O214" s="72">
        <f>N214*2%</f>
        <v>0.6</v>
      </c>
      <c r="P214" s="72">
        <v>0</v>
      </c>
      <c r="Q214" s="72">
        <v>15</v>
      </c>
      <c r="R214" s="72">
        <v>31.536000000000001</v>
      </c>
      <c r="S214" s="32"/>
      <c r="W214" s="32"/>
      <c r="X214" s="32"/>
      <c r="AC214" s="60"/>
      <c r="AD214" s="32"/>
      <c r="AE214" s="32"/>
      <c r="AF214" s="32"/>
      <c r="AG214" s="32"/>
    </row>
    <row r="215" spans="2:33" ht="13.8" x14ac:dyDescent="0.25">
      <c r="B215" s="26" t="str">
        <f t="shared" si="47"/>
        <v>RSD_APA3_SH_LOG_N_ST02</v>
      </c>
      <c r="C215" s="26" t="str">
        <f t="shared" si="47"/>
        <v>Apartment A3 SpHeat Wood Boiler Standard (N)|</v>
      </c>
      <c r="D215" s="26" t="str">
        <f>Commodities!$D$167</f>
        <v>RSDBIOLOG</v>
      </c>
      <c r="E215" s="26" t="str">
        <f>E214</f>
        <v>RSD_APA3_SH</v>
      </c>
      <c r="F215" s="84">
        <f t="shared" si="48"/>
        <v>2018</v>
      </c>
      <c r="G215" s="57">
        <f>BASE_YEAR+1</f>
        <v>2018</v>
      </c>
      <c r="H215" s="72">
        <v>0.65</v>
      </c>
      <c r="I215" s="72"/>
      <c r="J215" s="72"/>
      <c r="K215" s="72"/>
      <c r="L215" s="72"/>
      <c r="M215" s="72"/>
      <c r="N215" s="72">
        <v>285</v>
      </c>
      <c r="O215" s="72">
        <f t="shared" ref="O215:O217" si="49">N215*2%</f>
        <v>5.7</v>
      </c>
      <c r="P215" s="72">
        <v>0</v>
      </c>
      <c r="Q215" s="72">
        <v>20</v>
      </c>
      <c r="R215" s="72">
        <v>31.536000000000001</v>
      </c>
      <c r="W215" s="32"/>
      <c r="X215" s="32"/>
      <c r="AC215" s="60"/>
      <c r="AE215" s="32"/>
      <c r="AF215" s="32"/>
      <c r="AG215" s="32"/>
    </row>
    <row r="216" spans="2:33" ht="13.8" x14ac:dyDescent="0.25">
      <c r="B216" s="26" t="str">
        <f t="shared" si="47"/>
        <v>RSD_APA3_SH_PLT_N_ST01</v>
      </c>
      <c r="C216" s="26" t="str">
        <f t="shared" si="47"/>
        <v>Apartment A3 SpHeat Pellet Boiler Standard (N)|</v>
      </c>
      <c r="D216" s="26" t="str">
        <f>Commodities!$D$177</f>
        <v>RSDBIOPLT</v>
      </c>
      <c r="E216" s="26" t="str">
        <f>E215</f>
        <v>RSD_APA3_SH</v>
      </c>
      <c r="F216" s="84">
        <f t="shared" si="48"/>
        <v>2018</v>
      </c>
      <c r="G216" s="57">
        <f>BASE_YEAR+1</f>
        <v>2018</v>
      </c>
      <c r="H216" s="72">
        <v>0.65</v>
      </c>
      <c r="I216" s="72"/>
      <c r="J216" s="72"/>
      <c r="K216" s="72"/>
      <c r="L216" s="72"/>
      <c r="M216" s="72"/>
      <c r="N216" s="72">
        <v>210</v>
      </c>
      <c r="O216" s="72">
        <f t="shared" si="49"/>
        <v>4.2</v>
      </c>
      <c r="P216" s="72">
        <v>0</v>
      </c>
      <c r="Q216" s="72">
        <v>15</v>
      </c>
      <c r="R216" s="72">
        <v>31.536000000000001</v>
      </c>
      <c r="W216" s="32"/>
      <c r="X216" s="32"/>
      <c r="AC216" s="60"/>
      <c r="AE216" s="32"/>
      <c r="AF216" s="32"/>
      <c r="AG216" s="32"/>
    </row>
    <row r="217" spans="2:33" ht="13.8" x14ac:dyDescent="0.25">
      <c r="B217" s="26" t="str">
        <f t="shared" si="47"/>
        <v>RSD_APA3_SH_PLT_N_IM01</v>
      </c>
      <c r="C217" s="26" t="str">
        <f t="shared" si="47"/>
        <v>Apartment A3 SpHeat Pellet Boiler Improved (N)|</v>
      </c>
      <c r="D217" s="26" t="str">
        <f>Commodities!$D$177</f>
        <v>RSDBIOPLT</v>
      </c>
      <c r="E217" s="26" t="str">
        <f>E216</f>
        <v>RSD_APA3_SH</v>
      </c>
      <c r="F217" s="84">
        <f t="shared" si="48"/>
        <v>2020</v>
      </c>
      <c r="G217" s="57">
        <f>BASE_YEAR+3</f>
        <v>2020</v>
      </c>
      <c r="H217" s="72">
        <v>0.7</v>
      </c>
      <c r="I217" s="72"/>
      <c r="J217" s="72"/>
      <c r="K217" s="72"/>
      <c r="L217" s="72"/>
      <c r="M217" s="72"/>
      <c r="N217" s="72">
        <v>230</v>
      </c>
      <c r="O217" s="72">
        <f t="shared" si="49"/>
        <v>4.6000000000000005</v>
      </c>
      <c r="P217" s="72">
        <v>0</v>
      </c>
      <c r="Q217" s="72">
        <v>15</v>
      </c>
      <c r="R217" s="72">
        <v>31.536000000000001</v>
      </c>
      <c r="W217" s="32"/>
      <c r="X217" s="32"/>
      <c r="AC217" s="60"/>
      <c r="AD217" s="32"/>
      <c r="AE217" s="32"/>
      <c r="AF217" s="32"/>
      <c r="AG217" s="32"/>
    </row>
    <row r="218" spans="2:33" ht="13.8" x14ac:dyDescent="0.25">
      <c r="B218" s="26" t="str">
        <f t="shared" si="47"/>
        <v>RSD_APA3_SH_GAS_N_ST01</v>
      </c>
      <c r="C218" s="26" t="str">
        <f t="shared" si="47"/>
        <v>Apartment A3 SpHeat Gas Boiler Condensing (N)|</v>
      </c>
      <c r="D218" s="26" t="str">
        <f>Commodities!$D$166</f>
        <v>RSDGASNAT</v>
      </c>
      <c r="E218" s="26" t="str">
        <f t="shared" ref="E218:E219" si="50">E217</f>
        <v>RSD_APA3_SH</v>
      </c>
      <c r="F218" s="84">
        <f t="shared" si="48"/>
        <v>2018</v>
      </c>
      <c r="G218" s="57">
        <f>BASE_YEAR+1</f>
        <v>2018</v>
      </c>
      <c r="H218" s="72">
        <v>0.85</v>
      </c>
      <c r="I218" s="72"/>
      <c r="J218" s="72"/>
      <c r="K218" s="72"/>
      <c r="L218" s="72"/>
      <c r="M218" s="72"/>
      <c r="N218" s="72">
        <f>ROUNDUP(114.94542626643*1.5,0)</f>
        <v>173</v>
      </c>
      <c r="O218" s="72">
        <f>ROUNDDOWN(4.49036663406935,0)</f>
        <v>4</v>
      </c>
      <c r="P218" s="72">
        <v>0</v>
      </c>
      <c r="Q218" s="72">
        <v>20</v>
      </c>
      <c r="R218" s="72">
        <v>31.536000000000001</v>
      </c>
      <c r="W218" s="32"/>
      <c r="X218" s="32"/>
      <c r="AC218" s="60"/>
      <c r="AD218" s="32"/>
      <c r="AE218" s="32"/>
      <c r="AF218" s="32"/>
      <c r="AG218" s="32"/>
    </row>
    <row r="219" spans="2:33" ht="13.8" x14ac:dyDescent="0.25">
      <c r="B219" s="26" t="str">
        <f t="shared" si="47"/>
        <v>RSD_APA3_SH_GAS_N_ST02</v>
      </c>
      <c r="C219" s="26" t="str">
        <f t="shared" si="47"/>
        <v>Apartment A3 Combi Gas Boiler Condensing (N)|</v>
      </c>
      <c r="D219" s="26" t="str">
        <f>Commodities!$D$166</f>
        <v>RSDGASNAT</v>
      </c>
      <c r="E219" s="26" t="str">
        <f t="shared" si="50"/>
        <v>RSD_APA3_SH</v>
      </c>
      <c r="F219" s="84">
        <f t="shared" si="48"/>
        <v>2018</v>
      </c>
      <c r="G219" s="57">
        <f>BASE_YEAR+1</f>
        <v>2018</v>
      </c>
      <c r="H219" s="72">
        <v>0.85</v>
      </c>
      <c r="I219" s="72"/>
      <c r="J219" s="72"/>
      <c r="K219" s="72"/>
      <c r="L219" s="72"/>
      <c r="M219" s="72"/>
      <c r="N219" s="72">
        <f>ROUNDUP(114.94542626643*1.5,0)</f>
        <v>173</v>
      </c>
      <c r="O219" s="72">
        <f>ROUNDDOWN(4.49036663406935,0)</f>
        <v>4</v>
      </c>
      <c r="P219" s="72">
        <v>0</v>
      </c>
      <c r="Q219" s="72">
        <v>20</v>
      </c>
      <c r="R219" s="72">
        <v>31.536000000000001</v>
      </c>
      <c r="W219" s="32"/>
      <c r="X219" s="32"/>
      <c r="AC219" s="60"/>
      <c r="AD219" s="32"/>
      <c r="AE219" s="32"/>
      <c r="AF219" s="32"/>
      <c r="AG219" s="32"/>
    </row>
    <row r="220" spans="2:33" ht="13.8" x14ac:dyDescent="0.25">
      <c r="D220" s="10"/>
      <c r="E220" s="26" t="str">
        <f>Commodities!$AD$28</f>
        <v>RSD_APA3_WH</v>
      </c>
      <c r="F220" s="84">
        <f>F219</f>
        <v>2018</v>
      </c>
      <c r="G220" s="10"/>
      <c r="H220" s="72" t="s">
        <v>848</v>
      </c>
      <c r="I220" s="72">
        <v>0.9</v>
      </c>
      <c r="J220" s="72" t="s">
        <v>848</v>
      </c>
      <c r="K220" s="72"/>
      <c r="L220" s="72"/>
      <c r="M220" s="72">
        <v>0.2</v>
      </c>
      <c r="N220" s="72" t="s">
        <v>848</v>
      </c>
      <c r="O220" s="72" t="s">
        <v>848</v>
      </c>
      <c r="P220" s="72" t="s">
        <v>848</v>
      </c>
      <c r="Q220" s="72" t="s">
        <v>848</v>
      </c>
      <c r="R220" s="72"/>
      <c r="W220" s="32"/>
      <c r="X220" s="32"/>
      <c r="AC220" s="60"/>
      <c r="AD220" s="32"/>
      <c r="AE220" s="32"/>
      <c r="AF220" s="32"/>
      <c r="AG220" s="32"/>
    </row>
    <row r="221" spans="2:33" ht="13.8" x14ac:dyDescent="0.25">
      <c r="B221" s="26" t="str">
        <f>Y139</f>
        <v>RSD_APA3_SH_GAS_N_AD01</v>
      </c>
      <c r="C221" s="26" t="str">
        <f>Z139</f>
        <v>Apartment A3 SpHeat Gas Boiler Condensing Improved (N)|</v>
      </c>
      <c r="D221" s="26" t="str">
        <f>Commodities!$D$166</f>
        <v>RSDGASNAT</v>
      </c>
      <c r="E221" s="26" t="str">
        <f>E219</f>
        <v>RSD_APA3_SH</v>
      </c>
      <c r="F221" s="84">
        <f t="shared" ref="F221:F222" si="51">G221</f>
        <v>2025</v>
      </c>
      <c r="G221" s="57">
        <f>BASE_YEAR+8</f>
        <v>2025</v>
      </c>
      <c r="H221" s="72">
        <v>0.94500000000000006</v>
      </c>
      <c r="I221" s="72"/>
      <c r="J221" s="72"/>
      <c r="K221" s="72"/>
      <c r="L221" s="72"/>
      <c r="M221" s="72"/>
      <c r="N221" s="72">
        <f>ROUNDUP(122.99160610508*1.9,0)</f>
        <v>234</v>
      </c>
      <c r="O221" s="72">
        <f>ROUNDDOWN(4.17604096968449,0)</f>
        <v>4</v>
      </c>
      <c r="P221" s="72">
        <v>0</v>
      </c>
      <c r="Q221" s="72">
        <v>20</v>
      </c>
      <c r="R221" s="72">
        <v>31.536000000000001</v>
      </c>
      <c r="W221" s="32"/>
      <c r="X221" s="32"/>
      <c r="AC221" s="60"/>
      <c r="AD221" s="32"/>
      <c r="AE221" s="32"/>
      <c r="AF221" s="32"/>
      <c r="AG221" s="32"/>
    </row>
    <row r="222" spans="2:33" ht="13.8" x14ac:dyDescent="0.25">
      <c r="B222" s="26" t="str">
        <f>Y140</f>
        <v>RSD_APA3_SH_GAS_N_AD02</v>
      </c>
      <c r="C222" s="26" t="str">
        <f>Z140</f>
        <v>Apartment A3 Combi Gas Boiler Condensing (N)|</v>
      </c>
      <c r="D222" s="26" t="str">
        <f>Commodities!$D$166</f>
        <v>RSDGASNAT</v>
      </c>
      <c r="E222" s="26" t="str">
        <f>E221</f>
        <v>RSD_APA3_SH</v>
      </c>
      <c r="F222" s="84">
        <f t="shared" si="51"/>
        <v>2030</v>
      </c>
      <c r="G222" s="57">
        <f>BASE_YEAR+13</f>
        <v>2030</v>
      </c>
      <c r="H222" s="72">
        <v>0.94500000000000006</v>
      </c>
      <c r="I222" s="72"/>
      <c r="J222" s="72"/>
      <c r="K222" s="72"/>
      <c r="L222" s="72"/>
      <c r="M222" s="72"/>
      <c r="N222" s="72">
        <f>ROUNDUP(122.99160610508*1.9,0)</f>
        <v>234</v>
      </c>
      <c r="O222" s="72">
        <f>ROUNDDOWN(4.17604096968449,0)</f>
        <v>4</v>
      </c>
      <c r="P222" s="72">
        <v>0</v>
      </c>
      <c r="Q222" s="72">
        <v>20</v>
      </c>
      <c r="R222" s="72">
        <v>31.536000000000001</v>
      </c>
      <c r="W222" s="32"/>
      <c r="X222" s="32"/>
      <c r="Y222" s="32"/>
      <c r="Z222" s="32"/>
      <c r="AA222" s="32"/>
      <c r="AB222" s="32"/>
      <c r="AC222" s="138"/>
      <c r="AD222" s="32"/>
      <c r="AE222" s="32"/>
      <c r="AF222" s="32"/>
      <c r="AG222" s="32"/>
    </row>
    <row r="223" spans="2:33" ht="13.8" x14ac:dyDescent="0.25">
      <c r="D223" s="10"/>
      <c r="E223" s="26" t="str">
        <f>E220</f>
        <v>RSD_APA3_WH</v>
      </c>
      <c r="F223" s="84">
        <f>F222</f>
        <v>2030</v>
      </c>
      <c r="G223" s="10"/>
      <c r="H223" s="72" t="s">
        <v>848</v>
      </c>
      <c r="I223" s="72">
        <v>0.94500000000000006</v>
      </c>
      <c r="J223" s="72"/>
      <c r="K223" s="72"/>
      <c r="L223" s="72"/>
      <c r="M223" s="72">
        <v>0.2</v>
      </c>
      <c r="N223" s="72" t="s">
        <v>848</v>
      </c>
      <c r="O223" s="72" t="s">
        <v>848</v>
      </c>
      <c r="P223" s="72" t="s">
        <v>848</v>
      </c>
      <c r="Q223" s="72" t="s">
        <v>848</v>
      </c>
      <c r="R223" s="72"/>
      <c r="W223" s="32"/>
      <c r="X223" s="32"/>
      <c r="Y223" s="32"/>
      <c r="Z223" s="32"/>
      <c r="AA223" s="32"/>
      <c r="AB223" s="32"/>
      <c r="AC223" s="138"/>
      <c r="AD223" s="32"/>
      <c r="AE223" s="32"/>
      <c r="AF223" s="32"/>
      <c r="AG223" s="32"/>
    </row>
    <row r="224" spans="2:33" ht="13.8" x14ac:dyDescent="0.25">
      <c r="B224" s="26" t="str">
        <f t="shared" ref="B224:C229" si="52">Y141</f>
        <v>RSD_APA3_SH_LTH_N_ST01</v>
      </c>
      <c r="C224" s="26" t="str">
        <f t="shared" si="52"/>
        <v>Apartment A3 SpHeat Dist. Heat Standard (N)|</v>
      </c>
      <c r="D224" s="26" t="str">
        <f>Commodities!$D$352</f>
        <v>RSDLTHA3</v>
      </c>
      <c r="E224" s="26" t="str">
        <f>E222</f>
        <v>RSD_APA3_SH</v>
      </c>
      <c r="F224" s="84">
        <f t="shared" ref="F224:F226" si="53">G224</f>
        <v>2018</v>
      </c>
      <c r="G224" s="57">
        <f>BASE_YEAR+1</f>
        <v>2018</v>
      </c>
      <c r="H224" s="72">
        <v>0.9</v>
      </c>
      <c r="I224" s="72"/>
      <c r="J224" s="72"/>
      <c r="K224" s="72"/>
      <c r="L224" s="72"/>
      <c r="M224" s="72"/>
      <c r="N224" s="72">
        <f>ROUNDUP(90.3,0)</f>
        <v>91</v>
      </c>
      <c r="O224" s="72">
        <f>ROUNDUP(9.72,0)</f>
        <v>10</v>
      </c>
      <c r="P224" s="72">
        <v>0</v>
      </c>
      <c r="Q224" s="72">
        <v>20</v>
      </c>
      <c r="R224" s="72">
        <v>31.536000000000001</v>
      </c>
      <c r="W224" s="32"/>
      <c r="X224" s="32"/>
      <c r="Y224" s="32"/>
      <c r="Z224" s="32"/>
      <c r="AA224" s="32"/>
      <c r="AB224" s="32"/>
      <c r="AC224" s="138"/>
      <c r="AD224" s="32"/>
      <c r="AE224" s="32"/>
      <c r="AF224" s="32"/>
      <c r="AG224" s="32"/>
    </row>
    <row r="225" spans="2:33" ht="13.8" x14ac:dyDescent="0.25">
      <c r="B225" s="26" t="str">
        <f t="shared" si="52"/>
        <v>RSD_APA3_SH_LTH_N_IM01</v>
      </c>
      <c r="C225" s="26" t="str">
        <f t="shared" si="52"/>
        <v>Apartment A3 SpHeat Dist. Heat Improved (N)|</v>
      </c>
      <c r="D225" s="26" t="str">
        <f>D224</f>
        <v>RSDLTHA3</v>
      </c>
      <c r="E225" s="26" t="str">
        <f>E224</f>
        <v>RSD_APA3_SH</v>
      </c>
      <c r="F225" s="84">
        <f t="shared" si="53"/>
        <v>2025</v>
      </c>
      <c r="G225" s="57">
        <f>BASE_YEAR+8</f>
        <v>2025</v>
      </c>
      <c r="H225" s="72">
        <f>H224*1.03</f>
        <v>0.92700000000000005</v>
      </c>
      <c r="I225" s="72"/>
      <c r="J225" s="72"/>
      <c r="K225" s="72"/>
      <c r="L225" s="72"/>
      <c r="M225" s="72"/>
      <c r="N225" s="72">
        <f>ROUNDUP(94.815*1.1,0)</f>
        <v>105</v>
      </c>
      <c r="O225" s="72">
        <f>ROUNDUP(9.234,0)</f>
        <v>10</v>
      </c>
      <c r="P225" s="72">
        <v>0</v>
      </c>
      <c r="Q225" s="72">
        <v>20</v>
      </c>
      <c r="R225" s="72">
        <v>31.536000000000001</v>
      </c>
      <c r="W225" s="32"/>
      <c r="X225" s="32"/>
      <c r="Y225" s="32"/>
      <c r="Z225" s="32"/>
      <c r="AA225" s="32"/>
      <c r="AB225" s="32"/>
      <c r="AC225" s="138"/>
      <c r="AD225" s="32"/>
      <c r="AE225" s="32"/>
      <c r="AF225" s="32"/>
      <c r="AG225" s="32"/>
    </row>
    <row r="226" spans="2:33" ht="13.8" x14ac:dyDescent="0.25">
      <c r="B226" s="26" t="str">
        <f t="shared" si="52"/>
        <v>RSD_APA3_SH_LTH_N_AD01</v>
      </c>
      <c r="C226" s="26" t="str">
        <f t="shared" si="52"/>
        <v>Apartment A3 SpHeat Dist. Heat Advanced (N)|</v>
      </c>
      <c r="D226" s="26" t="str">
        <f>D225</f>
        <v>RSDLTHA3</v>
      </c>
      <c r="E226" s="26" t="str">
        <f>E225</f>
        <v>RSD_APA3_SH</v>
      </c>
      <c r="F226" s="84">
        <f t="shared" si="53"/>
        <v>2035</v>
      </c>
      <c r="G226" s="57">
        <f>BASE_YEAR+18</f>
        <v>2035</v>
      </c>
      <c r="H226" s="72">
        <f>H224*1.05</f>
        <v>0.94500000000000006</v>
      </c>
      <c r="I226" s="72"/>
      <c r="J226" s="72"/>
      <c r="K226" s="72"/>
      <c r="L226" s="72"/>
      <c r="M226" s="72"/>
      <c r="N226" s="72">
        <f>ROUNDUP(99.55575*1.2,0)</f>
        <v>120</v>
      </c>
      <c r="O226" s="72">
        <f>ROUNDUP(8.7723,0)</f>
        <v>9</v>
      </c>
      <c r="P226" s="72">
        <v>0</v>
      </c>
      <c r="Q226" s="72">
        <v>20</v>
      </c>
      <c r="R226" s="72">
        <v>31.536000000000001</v>
      </c>
      <c r="W226" s="32"/>
      <c r="X226" s="32"/>
      <c r="Y226" s="32"/>
      <c r="Z226" s="32"/>
      <c r="AA226" s="32"/>
      <c r="AB226" s="32"/>
      <c r="AC226" s="138"/>
      <c r="AD226" s="32"/>
      <c r="AE226" s="32"/>
      <c r="AF226" s="32"/>
      <c r="AG226" s="32"/>
    </row>
    <row r="227" spans="2:33" ht="14.4" x14ac:dyDescent="0.3">
      <c r="B227" s="26" t="str">
        <f t="shared" si="52"/>
        <v>RSD_APA3_SH_ELC_N_ST01</v>
      </c>
      <c r="C227" s="26" t="str">
        <f t="shared" si="52"/>
        <v>Apartment A3 SpHeat Electric Heater Standard (N)|</v>
      </c>
      <c r="D227" s="26" t="str">
        <f>Commodities!$D$341</f>
        <v>RSDELC</v>
      </c>
      <c r="E227" s="26" t="str">
        <f t="shared" ref="E227:E229" si="54">E226</f>
        <v>RSD_APA3_SH</v>
      </c>
      <c r="F227" s="84">
        <f>G227</f>
        <v>2100</v>
      </c>
      <c r="G227" s="135">
        <v>2100</v>
      </c>
      <c r="H227" s="72">
        <v>0.95</v>
      </c>
      <c r="I227" s="72"/>
      <c r="J227" s="72"/>
      <c r="K227" s="72"/>
      <c r="L227" s="72"/>
      <c r="M227" s="72"/>
      <c r="N227" s="72">
        <f>ROUNDUP(320.85*0.35,0)</f>
        <v>113</v>
      </c>
      <c r="O227" s="72">
        <f>N227*0.01</f>
        <v>1.1300000000000001</v>
      </c>
      <c r="P227" s="72">
        <v>0</v>
      </c>
      <c r="Q227" s="72">
        <v>15</v>
      </c>
      <c r="R227" s="72">
        <f>31.536/5</f>
        <v>6.3071999999999999</v>
      </c>
      <c r="W227" s="32"/>
      <c r="X227" s="32"/>
      <c r="Y227" s="32"/>
      <c r="Z227" s="32"/>
      <c r="AA227" s="32"/>
      <c r="AB227" s="32"/>
      <c r="AC227" s="138"/>
      <c r="AD227" s="32"/>
      <c r="AE227" s="32"/>
      <c r="AF227" s="32"/>
      <c r="AG227" s="32"/>
    </row>
    <row r="228" spans="2:33" ht="13.8" x14ac:dyDescent="0.25">
      <c r="B228" s="26" t="str">
        <f t="shared" si="52"/>
        <v>RSD_APA3_SH_ELC_N_ST02</v>
      </c>
      <c r="C228" s="26" t="str">
        <f t="shared" si="52"/>
        <v>Apartment A3 SpHeat ASHP Standard (N)|</v>
      </c>
      <c r="D228" s="26" t="str">
        <f>Commodities!$D$341</f>
        <v>RSDELC</v>
      </c>
      <c r="E228" s="26" t="str">
        <f t="shared" si="54"/>
        <v>RSD_APA3_SH</v>
      </c>
      <c r="F228" s="84">
        <f>G228</f>
        <v>2018</v>
      </c>
      <c r="G228" s="57">
        <f>BASE_YEAR+1</f>
        <v>2018</v>
      </c>
      <c r="H228" s="72">
        <v>2</v>
      </c>
      <c r="I228" s="72"/>
      <c r="J228" s="72"/>
      <c r="K228" s="72"/>
      <c r="L228" s="72"/>
      <c r="M228" s="72"/>
      <c r="N228" s="72">
        <f>ROUNDUP(612.593487394958*0.8,0)</f>
        <v>491</v>
      </c>
      <c r="O228" s="72">
        <v>1</v>
      </c>
      <c r="P228" s="72">
        <v>0</v>
      </c>
      <c r="Q228" s="72">
        <v>15</v>
      </c>
      <c r="R228" s="72">
        <v>31.536000000000001</v>
      </c>
      <c r="W228" s="32"/>
      <c r="X228" s="32"/>
      <c r="Y228" s="32"/>
      <c r="Z228" s="32"/>
      <c r="AA228" s="32"/>
      <c r="AB228" s="32"/>
      <c r="AC228" s="138"/>
      <c r="AD228" s="32"/>
      <c r="AE228" s="32"/>
      <c r="AF228" s="32"/>
      <c r="AG228" s="32"/>
    </row>
    <row r="229" spans="2:33" ht="13.8" x14ac:dyDescent="0.25">
      <c r="B229" s="26" t="str">
        <f t="shared" si="52"/>
        <v>RSD_APA3_SH_ELC_N_ST03</v>
      </c>
      <c r="C229" s="26" t="str">
        <f t="shared" si="52"/>
        <v>Apartment A3 SpHeat &amp; SpCooling ASHP Standard (N)|</v>
      </c>
      <c r="D229" s="26" t="str">
        <f>Commodities!$D$341</f>
        <v>RSDELC</v>
      </c>
      <c r="E229" s="26" t="str">
        <f t="shared" si="54"/>
        <v>RSD_APA3_SH</v>
      </c>
      <c r="F229" s="84">
        <f>G229</f>
        <v>2018</v>
      </c>
      <c r="G229" s="57">
        <f>BASE_YEAR+1</f>
        <v>2018</v>
      </c>
      <c r="H229" s="72">
        <v>2</v>
      </c>
      <c r="I229" s="72"/>
      <c r="J229" s="72"/>
      <c r="K229" s="72"/>
      <c r="L229" s="72"/>
      <c r="M229" s="72"/>
      <c r="N229" s="72">
        <f>ROUNDUP(612.593487394958*0.8,0)</f>
        <v>491</v>
      </c>
      <c r="O229" s="72">
        <v>1</v>
      </c>
      <c r="P229" s="72">
        <v>0</v>
      </c>
      <c r="Q229" s="72">
        <v>15</v>
      </c>
      <c r="R229" s="72">
        <v>31.536000000000001</v>
      </c>
      <c r="W229" s="32"/>
      <c r="X229" s="32"/>
      <c r="Y229" s="32"/>
      <c r="Z229" s="32"/>
      <c r="AA229" s="32"/>
      <c r="AB229" s="32"/>
      <c r="AC229" s="138"/>
      <c r="AD229" s="32"/>
      <c r="AE229" s="32"/>
      <c r="AF229" s="32"/>
      <c r="AG229" s="32"/>
    </row>
    <row r="230" spans="2:33" ht="13.8" x14ac:dyDescent="0.25">
      <c r="D230" s="10"/>
      <c r="E230" s="26" t="str">
        <f>Commodities!$AD$36</f>
        <v>RSD_APA3_SC</v>
      </c>
      <c r="F230" s="84">
        <f>F229</f>
        <v>2018</v>
      </c>
      <c r="G230" s="10"/>
      <c r="H230" s="72" t="s">
        <v>848</v>
      </c>
      <c r="I230" s="72"/>
      <c r="J230" s="72">
        <f>H229*1.5</f>
        <v>3</v>
      </c>
      <c r="K230" s="72"/>
      <c r="L230" s="72"/>
      <c r="M230" s="72"/>
      <c r="N230" s="72" t="s">
        <v>848</v>
      </c>
      <c r="O230" s="72" t="s">
        <v>848</v>
      </c>
      <c r="P230" s="72" t="s">
        <v>848</v>
      </c>
      <c r="Q230" s="72" t="s">
        <v>848</v>
      </c>
      <c r="R230" s="72"/>
      <c r="W230" s="32"/>
      <c r="X230" s="32"/>
      <c r="Y230" s="32"/>
      <c r="Z230" s="32"/>
      <c r="AA230" s="32"/>
      <c r="AB230" s="32"/>
      <c r="AC230" s="138"/>
      <c r="AD230" s="32"/>
      <c r="AE230" s="32"/>
      <c r="AF230" s="32"/>
      <c r="AG230" s="32"/>
    </row>
    <row r="231" spans="2:33" ht="13.8" x14ac:dyDescent="0.25">
      <c r="B231" s="26" t="str">
        <f>Y147</f>
        <v>RSD_APA3_SH_ELC_N_IM01</v>
      </c>
      <c r="C231" s="26" t="str">
        <f>Z147</f>
        <v>Apartment A3 SpHeat ASHP Improved (N)|</v>
      </c>
      <c r="D231" s="26" t="str">
        <f>Commodities!$D$341</f>
        <v>RSDELC</v>
      </c>
      <c r="E231" s="26" t="str">
        <f>E229</f>
        <v>RSD_APA3_SH</v>
      </c>
      <c r="F231" s="84">
        <f>G231</f>
        <v>2025</v>
      </c>
      <c r="G231" s="57">
        <f>BASE_YEAR+8</f>
        <v>2025</v>
      </c>
      <c r="H231" s="72">
        <v>2.5</v>
      </c>
      <c r="I231" s="72"/>
      <c r="J231" s="72"/>
      <c r="K231" s="72"/>
      <c r="L231" s="72"/>
      <c r="M231" s="72"/>
      <c r="N231" s="72">
        <f>ROUNDUP(655.475031512605*0.9,0)</f>
        <v>590</v>
      </c>
      <c r="O231" s="72">
        <v>1</v>
      </c>
      <c r="P231" s="72">
        <v>0</v>
      </c>
      <c r="Q231" s="72">
        <v>15</v>
      </c>
      <c r="R231" s="72">
        <v>31.536000000000001</v>
      </c>
      <c r="W231" s="32"/>
      <c r="X231" s="32"/>
      <c r="Y231" s="32"/>
      <c r="Z231" s="32"/>
      <c r="AA231" s="32"/>
      <c r="AB231" s="32"/>
      <c r="AC231" s="138"/>
      <c r="AD231" s="32"/>
      <c r="AE231" s="32"/>
      <c r="AF231" s="32"/>
      <c r="AG231" s="32"/>
    </row>
    <row r="232" spans="2:33" ht="13.8" x14ac:dyDescent="0.25">
      <c r="B232" s="26" t="str">
        <f>Y148</f>
        <v>RSD_APA3_SH_ELC_N_IM02</v>
      </c>
      <c r="C232" s="26" t="str">
        <f>Z148</f>
        <v>Apartment A3 SpHeat &amp; SpCooling  ASHP Improved (N)|</v>
      </c>
      <c r="D232" s="26" t="str">
        <f>Commodities!$D$341</f>
        <v>RSDELC</v>
      </c>
      <c r="E232" s="26" t="str">
        <f>E231</f>
        <v>RSD_APA3_SH</v>
      </c>
      <c r="F232" s="84">
        <f>G232</f>
        <v>2025</v>
      </c>
      <c r="G232" s="57">
        <f>BASE_YEAR+8</f>
        <v>2025</v>
      </c>
      <c r="H232" s="72">
        <v>2.5</v>
      </c>
      <c r="I232" s="72"/>
      <c r="J232" s="72"/>
      <c r="K232" s="72"/>
      <c r="L232" s="72"/>
      <c r="M232" s="72"/>
      <c r="N232" s="72">
        <f>ROUNDUP(655.475031512605*0.9,0)</f>
        <v>590</v>
      </c>
      <c r="O232" s="72">
        <v>1</v>
      </c>
      <c r="P232" s="72">
        <v>0</v>
      </c>
      <c r="Q232" s="72">
        <v>15</v>
      </c>
      <c r="R232" s="72">
        <v>31.536000000000001</v>
      </c>
      <c r="W232" s="32"/>
      <c r="X232" s="32"/>
      <c r="Y232" s="32"/>
      <c r="Z232" s="32"/>
      <c r="AA232" s="32"/>
      <c r="AB232" s="32"/>
      <c r="AC232" s="138"/>
      <c r="AD232" s="32"/>
      <c r="AE232" s="32"/>
      <c r="AF232" s="32"/>
      <c r="AG232" s="32"/>
    </row>
    <row r="233" spans="2:33" ht="13.8" x14ac:dyDescent="0.25">
      <c r="D233" s="10"/>
      <c r="E233" s="26" t="str">
        <f>E230</f>
        <v>RSD_APA3_SC</v>
      </c>
      <c r="F233" s="84">
        <f>F232</f>
        <v>2025</v>
      </c>
      <c r="G233" s="10"/>
      <c r="H233" s="72" t="s">
        <v>848</v>
      </c>
      <c r="I233" s="72"/>
      <c r="J233" s="72">
        <f>H232*1.5</f>
        <v>3.75</v>
      </c>
      <c r="K233" s="72"/>
      <c r="L233" s="72"/>
      <c r="M233" s="72"/>
      <c r="N233" s="72" t="s">
        <v>848</v>
      </c>
      <c r="O233" s="72" t="s">
        <v>848</v>
      </c>
      <c r="P233" s="72" t="s">
        <v>848</v>
      </c>
      <c r="Q233" s="72" t="s">
        <v>848</v>
      </c>
      <c r="R233" s="72"/>
      <c r="W233" s="32"/>
      <c r="X233" s="32"/>
      <c r="Y233" s="32"/>
      <c r="Z233" s="32"/>
      <c r="AA233" s="32"/>
      <c r="AB233" s="32"/>
      <c r="AC233" s="138"/>
      <c r="AD233" s="32"/>
      <c r="AE233" s="32"/>
      <c r="AF233" s="32"/>
      <c r="AG233" s="32"/>
    </row>
    <row r="234" spans="2:33" ht="13.8" x14ac:dyDescent="0.25">
      <c r="B234" s="26" t="str">
        <f>Y149</f>
        <v>RSD_APA3_SH_ELC_N_AD01</v>
      </c>
      <c r="C234" s="26" t="str">
        <f>Z149</f>
        <v>Apartment A3 SpHeat ASHP Advanced (N)|</v>
      </c>
      <c r="D234" s="26" t="str">
        <f>Commodities!$D$341</f>
        <v>RSDELC</v>
      </c>
      <c r="E234" s="26" t="str">
        <f>E232</f>
        <v>RSD_APA3_SH</v>
      </c>
      <c r="F234" s="84">
        <f>G234</f>
        <v>2035</v>
      </c>
      <c r="G234" s="57">
        <f>BASE_YEAR+18</f>
        <v>2035</v>
      </c>
      <c r="H234" s="72">
        <v>3</v>
      </c>
      <c r="I234" s="72"/>
      <c r="J234" s="72"/>
      <c r="K234" s="72"/>
      <c r="L234" s="72"/>
      <c r="M234" s="72"/>
      <c r="N234" s="72">
        <f>ROUNDUP(688.248783088235,0)</f>
        <v>689</v>
      </c>
      <c r="O234" s="72">
        <v>1</v>
      </c>
      <c r="P234" s="72">
        <v>0</v>
      </c>
      <c r="Q234" s="72">
        <v>15</v>
      </c>
      <c r="R234" s="72">
        <v>31.536000000000001</v>
      </c>
      <c r="W234" s="32"/>
      <c r="X234" s="32"/>
      <c r="Y234" s="32"/>
      <c r="Z234" s="32"/>
      <c r="AA234" s="32"/>
      <c r="AB234" s="32"/>
      <c r="AC234" s="138"/>
      <c r="AD234" s="32"/>
      <c r="AE234" s="32"/>
      <c r="AF234" s="32"/>
      <c r="AG234" s="32"/>
    </row>
    <row r="235" spans="2:33" ht="13.8" x14ac:dyDescent="0.25">
      <c r="B235" s="26" t="str">
        <f>Y150</f>
        <v>RSD_APA3_SH_ELC_N_AD02</v>
      </c>
      <c r="C235" s="26" t="str">
        <f>Z150</f>
        <v>Apartment A3 SpHeat &amp; SpCooling ASHP Advanced (N)|</v>
      </c>
      <c r="D235" s="26" t="str">
        <f>Commodities!$D$341</f>
        <v>RSDELC</v>
      </c>
      <c r="E235" s="26" t="str">
        <f>E234</f>
        <v>RSD_APA3_SH</v>
      </c>
      <c r="F235" s="84">
        <f>G235</f>
        <v>2035</v>
      </c>
      <c r="G235" s="57">
        <f>BASE_YEAR+18</f>
        <v>2035</v>
      </c>
      <c r="H235" s="72">
        <v>3</v>
      </c>
      <c r="I235" s="72"/>
      <c r="J235" s="72"/>
      <c r="K235" s="72"/>
      <c r="L235" s="72"/>
      <c r="M235" s="72"/>
      <c r="N235" s="72">
        <f>ROUNDUP(688.248783088235,0)</f>
        <v>689</v>
      </c>
      <c r="O235" s="72">
        <v>1</v>
      </c>
      <c r="P235" s="72">
        <v>0</v>
      </c>
      <c r="Q235" s="72">
        <v>15</v>
      </c>
      <c r="R235" s="72">
        <v>31.536000000000001</v>
      </c>
      <c r="W235" s="32"/>
      <c r="X235" s="32"/>
      <c r="Y235" s="32"/>
      <c r="Z235" s="32"/>
      <c r="AA235" s="32"/>
      <c r="AB235" s="32"/>
      <c r="AC235" s="138"/>
      <c r="AD235" s="32"/>
      <c r="AE235" s="32"/>
      <c r="AF235" s="32"/>
      <c r="AG235" s="32"/>
    </row>
    <row r="236" spans="2:33" ht="13.8" x14ac:dyDescent="0.25">
      <c r="D236" s="10"/>
      <c r="E236" s="26" t="str">
        <f>E233</f>
        <v>RSD_APA3_SC</v>
      </c>
      <c r="F236" s="84">
        <f>F235</f>
        <v>2035</v>
      </c>
      <c r="G236" s="10"/>
      <c r="H236" s="72" t="s">
        <v>848</v>
      </c>
      <c r="I236" s="72"/>
      <c r="J236" s="72">
        <f>H235*1.5</f>
        <v>4.5</v>
      </c>
      <c r="K236" s="72"/>
      <c r="L236" s="72"/>
      <c r="M236" s="72"/>
      <c r="N236" s="72" t="s">
        <v>848</v>
      </c>
      <c r="O236" s="72" t="s">
        <v>848</v>
      </c>
      <c r="P236" s="72" t="s">
        <v>848</v>
      </c>
      <c r="Q236" s="72" t="s">
        <v>848</v>
      </c>
      <c r="R236" s="72"/>
      <c r="W236" s="32"/>
      <c r="X236" s="32"/>
      <c r="Y236" s="32"/>
      <c r="Z236" s="32"/>
      <c r="AA236" s="32"/>
      <c r="AB236" s="32"/>
      <c r="AC236" s="138"/>
      <c r="AD236" s="32"/>
      <c r="AE236" s="32"/>
      <c r="AF236" s="32"/>
      <c r="AG236" s="32"/>
    </row>
    <row r="237" spans="2:33" ht="13.8" x14ac:dyDescent="0.25">
      <c r="B237" s="26" t="str">
        <f>Y151</f>
        <v>RSD_APA3_SH_GEO_N_ST01</v>
      </c>
      <c r="C237" s="26" t="str">
        <f>Z151</f>
        <v>Apartment A3 SpHeat GSHP Standard (N)|</v>
      </c>
      <c r="D237" s="26" t="str">
        <f>Commodities!$D$341</f>
        <v>RSDELC</v>
      </c>
      <c r="E237" s="26" t="str">
        <f>E235</f>
        <v>RSD_APA3_SH</v>
      </c>
      <c r="F237" s="84">
        <f>G237</f>
        <v>2020</v>
      </c>
      <c r="G237" s="57">
        <f>BASE_YEAR+3</f>
        <v>2020</v>
      </c>
      <c r="H237" s="72">
        <v>4</v>
      </c>
      <c r="I237" s="72"/>
      <c r="J237" s="72"/>
      <c r="K237" s="72"/>
      <c r="L237" s="72"/>
      <c r="M237" s="72"/>
      <c r="N237" s="72">
        <v>859.22430830039525</v>
      </c>
      <c r="O237" s="72">
        <v>1.7085427135678393</v>
      </c>
      <c r="P237" s="72">
        <v>0</v>
      </c>
      <c r="Q237" s="72">
        <v>15</v>
      </c>
      <c r="R237" s="72">
        <v>31.536000000000001</v>
      </c>
      <c r="W237" s="32"/>
      <c r="X237" s="32"/>
      <c r="Y237" s="32"/>
      <c r="Z237" s="32"/>
      <c r="AA237" s="32"/>
      <c r="AB237" s="32"/>
      <c r="AC237" s="138"/>
      <c r="AD237" s="32"/>
      <c r="AE237" s="32"/>
      <c r="AF237" s="32"/>
      <c r="AG237" s="32"/>
    </row>
    <row r="238" spans="2:33" ht="13.8" x14ac:dyDescent="0.25">
      <c r="D238" s="26" t="str">
        <f>Commodities!$D$182</f>
        <v>RSDRESGEO</v>
      </c>
      <c r="E238" s="10"/>
      <c r="F238" s="84">
        <f>F237</f>
        <v>2020</v>
      </c>
      <c r="G238" s="10"/>
      <c r="H238" s="72" t="s">
        <v>848</v>
      </c>
      <c r="I238" s="72"/>
      <c r="J238" s="72" t="s">
        <v>848</v>
      </c>
      <c r="K238" s="72"/>
      <c r="L238" s="72">
        <v>0.2</v>
      </c>
      <c r="M238" s="72"/>
      <c r="N238" s="72" t="s">
        <v>848</v>
      </c>
      <c r="O238" s="72" t="s">
        <v>848</v>
      </c>
      <c r="P238" s="72" t="s">
        <v>848</v>
      </c>
      <c r="Q238" s="72" t="s">
        <v>848</v>
      </c>
      <c r="R238" s="72">
        <v>31.536000000000001</v>
      </c>
      <c r="S238" s="26"/>
      <c r="U238" s="123"/>
      <c r="W238" s="32"/>
      <c r="X238" s="32"/>
      <c r="Y238" s="32"/>
      <c r="Z238" s="32"/>
      <c r="AA238" s="32"/>
      <c r="AB238" s="32"/>
      <c r="AC238" s="138"/>
      <c r="AD238" s="32"/>
      <c r="AE238" s="32"/>
      <c r="AF238" s="32"/>
      <c r="AG238" s="32"/>
    </row>
    <row r="239" spans="2:33" ht="13.8" x14ac:dyDescent="0.25">
      <c r="B239" s="26" t="str">
        <f>Y152</f>
        <v>RSD_APA3_SH_GEO_N_ST02</v>
      </c>
      <c r="C239" s="26" t="str">
        <f>Z152</f>
        <v>Apartment A3 SpHeat &amp; SpCooling GSHP Standard (N)|</v>
      </c>
      <c r="D239" s="26" t="str">
        <f>Commodities!$D$341</f>
        <v>RSDELC</v>
      </c>
      <c r="E239" s="26" t="str">
        <f>E235</f>
        <v>RSD_APA3_SH</v>
      </c>
      <c r="F239" s="84">
        <f>G239</f>
        <v>2018</v>
      </c>
      <c r="G239" s="57">
        <f>BASE_YEAR+1</f>
        <v>2018</v>
      </c>
      <c r="H239" s="72">
        <v>4</v>
      </c>
      <c r="I239" s="72"/>
      <c r="J239" s="72"/>
      <c r="K239" s="72"/>
      <c r="L239" s="72"/>
      <c r="M239" s="72"/>
      <c r="N239" s="72">
        <v>859.22430830039525</v>
      </c>
      <c r="O239" s="72">
        <v>1.7085427135678393</v>
      </c>
      <c r="P239" s="72">
        <v>0</v>
      </c>
      <c r="Q239" s="72">
        <v>15</v>
      </c>
      <c r="R239" s="72">
        <v>31.536000000000001</v>
      </c>
      <c r="S239" s="26"/>
      <c r="T239" s="123"/>
      <c r="W239" s="32"/>
      <c r="X239" s="32"/>
      <c r="Y239" s="32"/>
      <c r="Z239" s="32"/>
      <c r="AA239" s="32"/>
      <c r="AB239" s="32"/>
      <c r="AC239" s="138"/>
      <c r="AD239" s="32"/>
      <c r="AE239" s="32"/>
      <c r="AF239" s="32"/>
      <c r="AG239" s="32"/>
    </row>
    <row r="240" spans="2:33" ht="13.8" x14ac:dyDescent="0.25">
      <c r="D240" s="26" t="str">
        <f>Commodities!$D$182</f>
        <v>RSDRESGEO</v>
      </c>
      <c r="E240" s="26" t="str">
        <f>E236</f>
        <v>RSD_APA3_SC</v>
      </c>
      <c r="F240" s="84">
        <f>F239</f>
        <v>2018</v>
      </c>
      <c r="G240" s="10"/>
      <c r="H240" s="72" t="s">
        <v>848</v>
      </c>
      <c r="I240" s="72"/>
      <c r="J240" s="72"/>
      <c r="K240" s="72"/>
      <c r="L240" s="72">
        <v>0.2</v>
      </c>
      <c r="M240" s="72"/>
      <c r="N240" s="72" t="s">
        <v>848</v>
      </c>
      <c r="O240" s="72" t="s">
        <v>848</v>
      </c>
      <c r="P240" s="72" t="s">
        <v>848</v>
      </c>
      <c r="Q240" s="72" t="s">
        <v>848</v>
      </c>
      <c r="R240" s="72">
        <v>31.536000000000001</v>
      </c>
      <c r="S240" s="26"/>
      <c r="W240" s="32"/>
      <c r="X240" s="32"/>
      <c r="Y240" s="32"/>
      <c r="Z240" s="32"/>
      <c r="AA240" s="32"/>
      <c r="AB240" s="32"/>
      <c r="AC240" s="138"/>
      <c r="AD240" s="32"/>
      <c r="AE240" s="32"/>
      <c r="AF240" s="32"/>
      <c r="AG240" s="32"/>
    </row>
    <row r="241" spans="2:33" ht="13.8" x14ac:dyDescent="0.25">
      <c r="B241" s="26" t="str">
        <f>Y153</f>
        <v>RSD_APA3_SH_GEO_N_IM01</v>
      </c>
      <c r="C241" s="26" t="str">
        <f>Z153</f>
        <v>Apartment A3 SpHeat GSHP Improved (N)|</v>
      </c>
      <c r="D241" s="26" t="str">
        <f>Commodities!$D$341</f>
        <v>RSDELC</v>
      </c>
      <c r="E241" s="26" t="str">
        <f>E239</f>
        <v>RSD_APA3_SH</v>
      </c>
      <c r="F241" s="84">
        <f>G241</f>
        <v>2025</v>
      </c>
      <c r="G241" s="57">
        <f>BASE_YEAR+8</f>
        <v>2025</v>
      </c>
      <c r="H241" s="72">
        <v>4.3</v>
      </c>
      <c r="I241" s="72"/>
      <c r="J241" s="72"/>
      <c r="K241" s="72"/>
      <c r="L241" s="72"/>
      <c r="M241" s="72"/>
      <c r="N241" s="72">
        <v>919.37000988142302</v>
      </c>
      <c r="O241" s="72">
        <v>1.5889447236180905</v>
      </c>
      <c r="P241" s="72">
        <v>0</v>
      </c>
      <c r="Q241" s="72">
        <v>15</v>
      </c>
      <c r="R241" s="72">
        <v>31.536000000000001</v>
      </c>
      <c r="S241" s="26"/>
      <c r="U241" s="26"/>
      <c r="W241" s="32"/>
      <c r="X241" s="32"/>
      <c r="Y241" s="32"/>
      <c r="Z241" s="32"/>
      <c r="AA241" s="32"/>
      <c r="AB241" s="32"/>
      <c r="AC241" s="138"/>
      <c r="AD241" s="32"/>
      <c r="AE241" s="32"/>
      <c r="AF241" s="32"/>
      <c r="AG241" s="32"/>
    </row>
    <row r="242" spans="2:33" ht="13.8" x14ac:dyDescent="0.25">
      <c r="D242" s="26" t="str">
        <f>Commodities!$D$182</f>
        <v>RSDRESGEO</v>
      </c>
      <c r="E242" s="10"/>
      <c r="F242" s="84">
        <f>F241</f>
        <v>2025</v>
      </c>
      <c r="G242" s="10"/>
      <c r="H242" s="72" t="s">
        <v>848</v>
      </c>
      <c r="I242" s="72"/>
      <c r="J242" s="72"/>
      <c r="K242" s="72"/>
      <c r="L242" s="72">
        <v>0.2</v>
      </c>
      <c r="M242" s="72"/>
      <c r="N242" s="72" t="s">
        <v>848</v>
      </c>
      <c r="O242" s="72" t="s">
        <v>848</v>
      </c>
      <c r="P242" s="72" t="s">
        <v>848</v>
      </c>
      <c r="Q242" s="72" t="s">
        <v>848</v>
      </c>
      <c r="R242" s="72">
        <v>31.536000000000001</v>
      </c>
      <c r="S242" s="26"/>
      <c r="T242" s="26"/>
      <c r="U242" s="26"/>
      <c r="W242" s="32"/>
      <c r="X242" s="32"/>
      <c r="Y242" s="32"/>
      <c r="Z242" s="32"/>
      <c r="AA242" s="32"/>
      <c r="AB242" s="32"/>
      <c r="AC242" s="138"/>
      <c r="AD242" s="32"/>
      <c r="AE242" s="32"/>
      <c r="AF242" s="32"/>
      <c r="AG242" s="32"/>
    </row>
    <row r="243" spans="2:33" ht="13.8" x14ac:dyDescent="0.25">
      <c r="B243" s="26" t="str">
        <f>Y154</f>
        <v>RSD_APA3_SH_GEO_N_IM02</v>
      </c>
      <c r="C243" s="26" t="str">
        <f>Z154</f>
        <v>Apartment A3 SpHeat &amp; SpCooling GSHP Improved (N)|</v>
      </c>
      <c r="D243" s="26" t="str">
        <f>Commodities!$D$341</f>
        <v>RSDELC</v>
      </c>
      <c r="E243" s="26" t="str">
        <f>E239</f>
        <v>RSD_APA3_SH</v>
      </c>
      <c r="F243" s="84">
        <f>G243</f>
        <v>2025</v>
      </c>
      <c r="G243" s="57">
        <f>BASE_YEAR+8</f>
        <v>2025</v>
      </c>
      <c r="H243" s="72">
        <v>4.5</v>
      </c>
      <c r="I243" s="72"/>
      <c r="J243" s="72"/>
      <c r="K243" s="72"/>
      <c r="L243" s="72"/>
      <c r="M243" s="72"/>
      <c r="N243" s="72">
        <v>983.72591057312263</v>
      </c>
      <c r="O243" s="72">
        <v>1.477718592964824</v>
      </c>
      <c r="P243" s="72">
        <v>0</v>
      </c>
      <c r="Q243" s="72">
        <v>15</v>
      </c>
      <c r="R243" s="72">
        <v>31.536000000000001</v>
      </c>
      <c r="S243" s="26"/>
      <c r="T243" s="26"/>
      <c r="W243" s="32"/>
      <c r="X243" s="32"/>
      <c r="Y243" s="32"/>
      <c r="Z243" s="32"/>
      <c r="AA243" s="32"/>
      <c r="AB243" s="32"/>
      <c r="AC243" s="138"/>
      <c r="AD243" s="32"/>
      <c r="AE243" s="32"/>
      <c r="AF243" s="32"/>
      <c r="AG243" s="32"/>
    </row>
    <row r="244" spans="2:33" ht="13.8" x14ac:dyDescent="0.25">
      <c r="B244" s="26"/>
      <c r="C244" s="26"/>
      <c r="D244" s="26" t="str">
        <f>Commodities!$D$182</f>
        <v>RSDRESGEO</v>
      </c>
      <c r="E244" s="26" t="str">
        <f>E240</f>
        <v>RSD_APA3_SC</v>
      </c>
      <c r="F244" s="84">
        <f>F243</f>
        <v>2025</v>
      </c>
      <c r="G244" s="10"/>
      <c r="H244" s="72" t="s">
        <v>848</v>
      </c>
      <c r="I244" s="72"/>
      <c r="J244" s="72" t="s">
        <v>848</v>
      </c>
      <c r="K244" s="72"/>
      <c r="L244" s="72">
        <v>0.2</v>
      </c>
      <c r="M244" s="72"/>
      <c r="N244" s="72" t="s">
        <v>848</v>
      </c>
      <c r="O244" s="72" t="s">
        <v>848</v>
      </c>
      <c r="P244" s="72" t="s">
        <v>848</v>
      </c>
      <c r="Q244" s="72" t="s">
        <v>848</v>
      </c>
      <c r="R244" s="72">
        <v>31.536000000000001</v>
      </c>
      <c r="S244" s="32"/>
      <c r="U244" s="26"/>
      <c r="W244" s="32"/>
      <c r="X244" s="32"/>
      <c r="Y244" s="32"/>
      <c r="Z244" s="32"/>
      <c r="AA244" s="32"/>
      <c r="AB244" s="32"/>
      <c r="AC244" s="138"/>
      <c r="AD244" s="32"/>
      <c r="AE244" s="32"/>
      <c r="AF244" s="32"/>
      <c r="AG244" s="32"/>
    </row>
    <row r="245" spans="2:33" ht="13.8" x14ac:dyDescent="0.25">
      <c r="B245" s="26" t="str">
        <f>Y155</f>
        <v>RSD_APA3_SH_DSL_N_AD02</v>
      </c>
      <c r="C245" s="26" t="str">
        <f>Z155</f>
        <v>Apartment A3 SpHeat DieselOil Advanced (N)|</v>
      </c>
      <c r="D245" s="26" t="str">
        <f>D204</f>
        <v>RSDOILDSL</v>
      </c>
      <c r="E245" s="26" t="str">
        <f>E219</f>
        <v>RSD_APA3_SH</v>
      </c>
      <c r="F245" s="84">
        <v>2020</v>
      </c>
      <c r="G245" s="57">
        <f>F245</f>
        <v>2020</v>
      </c>
      <c r="H245" s="72">
        <f>H222</f>
        <v>0.94500000000000006</v>
      </c>
      <c r="I245" s="72"/>
      <c r="J245" s="72"/>
      <c r="K245" s="72"/>
      <c r="L245" s="72"/>
      <c r="M245" s="72"/>
      <c r="N245" s="72">
        <f>N222</f>
        <v>234</v>
      </c>
      <c r="O245" s="72">
        <f>O222</f>
        <v>4</v>
      </c>
      <c r="P245" s="72">
        <f>P222</f>
        <v>0</v>
      </c>
      <c r="Q245" s="72">
        <f>Q222</f>
        <v>20</v>
      </c>
      <c r="R245" s="72">
        <f>R222</f>
        <v>31.536000000000001</v>
      </c>
      <c r="S245" s="32"/>
      <c r="T245" s="26"/>
      <c r="U245" s="26"/>
      <c r="W245" s="32"/>
      <c r="X245" s="32"/>
      <c r="Y245" s="32"/>
      <c r="Z245" s="32"/>
      <c r="AA245" s="32"/>
      <c r="AB245" s="32"/>
      <c r="AC245" s="138"/>
      <c r="AD245" s="32"/>
      <c r="AE245" s="32"/>
      <c r="AF245" s="32"/>
      <c r="AG245" s="32"/>
    </row>
    <row r="246" spans="2:33" ht="13.8" x14ac:dyDescent="0.25">
      <c r="B246" s="26"/>
      <c r="C246" s="26"/>
      <c r="D246" s="26"/>
      <c r="E246" s="26" t="str">
        <f>E220</f>
        <v>RSD_APA3_WH</v>
      </c>
      <c r="F246" s="84">
        <v>2020</v>
      </c>
      <c r="G246" s="10"/>
      <c r="H246" s="72"/>
      <c r="I246" s="72">
        <f>I223</f>
        <v>0.94500000000000006</v>
      </c>
      <c r="J246" s="72"/>
      <c r="K246" s="72"/>
      <c r="L246" s="72"/>
      <c r="M246" s="72"/>
      <c r="N246" s="72"/>
      <c r="O246" s="72"/>
      <c r="P246" s="72"/>
      <c r="Q246" s="72"/>
      <c r="R246" s="72"/>
      <c r="S246" s="32"/>
      <c r="T246" s="26"/>
      <c r="W246" s="32"/>
      <c r="X246" s="32"/>
      <c r="Y246" s="32"/>
      <c r="Z246" s="32"/>
      <c r="AA246" s="32"/>
      <c r="AB246" s="32"/>
      <c r="AC246" s="138"/>
      <c r="AD246" s="32"/>
      <c r="AE246" s="32"/>
      <c r="AF246" s="32"/>
      <c r="AG246" s="32"/>
    </row>
    <row r="247" spans="2:33" ht="13.8" x14ac:dyDescent="0.25">
      <c r="B247" s="26" t="str">
        <f>Y156</f>
        <v>RSD_APA3_SH_LPG_N_AD02</v>
      </c>
      <c r="C247" s="26" t="str">
        <f>Z156</f>
        <v>Apartment A3 SpHeat LPG Boiler Advanced (N)|</v>
      </c>
      <c r="D247" s="26" t="str">
        <f>D206</f>
        <v>RSDOILLPG</v>
      </c>
      <c r="E247" s="26" t="str">
        <f>E245</f>
        <v>RSD_APA3_SH</v>
      </c>
      <c r="F247" s="84">
        <v>2020</v>
      </c>
      <c r="G247" s="57">
        <f>F247</f>
        <v>2020</v>
      </c>
      <c r="H247" s="72">
        <f>H245</f>
        <v>0.94500000000000006</v>
      </c>
      <c r="I247" s="72"/>
      <c r="J247" s="72"/>
      <c r="K247" s="72"/>
      <c r="L247" s="72"/>
      <c r="M247" s="72"/>
      <c r="N247" s="72">
        <f>N245</f>
        <v>234</v>
      </c>
      <c r="O247" s="72">
        <f>O245</f>
        <v>4</v>
      </c>
      <c r="P247" s="72">
        <f>P245</f>
        <v>0</v>
      </c>
      <c r="Q247" s="72">
        <f>Q245</f>
        <v>20</v>
      </c>
      <c r="R247" s="72">
        <f>R245</f>
        <v>31.536000000000001</v>
      </c>
      <c r="S247" s="32"/>
      <c r="W247" s="32"/>
      <c r="X247" s="32"/>
      <c r="Y247" s="32"/>
      <c r="Z247" s="32"/>
      <c r="AA247" s="32"/>
      <c r="AB247" s="32"/>
      <c r="AC247" s="138"/>
      <c r="AD247" s="32"/>
      <c r="AE247" s="32"/>
      <c r="AF247" s="32"/>
      <c r="AG247" s="32"/>
    </row>
    <row r="248" spans="2:33" ht="13.8" x14ac:dyDescent="0.25">
      <c r="B248" s="26"/>
      <c r="C248" s="26"/>
      <c r="D248" s="26"/>
      <c r="E248" s="26" t="str">
        <f>E246</f>
        <v>RSD_APA3_WH</v>
      </c>
      <c r="F248" s="84">
        <v>2020</v>
      </c>
      <c r="G248" s="10"/>
      <c r="H248" s="72"/>
      <c r="I248" s="72">
        <f>I246</f>
        <v>0.94500000000000006</v>
      </c>
      <c r="J248" s="72"/>
      <c r="K248" s="72"/>
      <c r="L248" s="72"/>
      <c r="M248" s="72"/>
      <c r="N248" s="72"/>
      <c r="O248" s="72"/>
      <c r="P248" s="72"/>
      <c r="Q248" s="72"/>
      <c r="R248" s="72"/>
      <c r="S248" s="32"/>
      <c r="W248" s="32"/>
      <c r="X248" s="32"/>
      <c r="Y248" s="32"/>
      <c r="Z248" s="32"/>
      <c r="AA248" s="32"/>
      <c r="AB248" s="32"/>
      <c r="AC248" s="138"/>
      <c r="AD248" s="32"/>
      <c r="AE248" s="32"/>
      <c r="AF248" s="32"/>
      <c r="AG248" s="32"/>
    </row>
    <row r="249" spans="2:33" ht="13.8" x14ac:dyDescent="0.25">
      <c r="B249" s="28"/>
      <c r="C249" s="10"/>
      <c r="D249" s="26"/>
      <c r="E249" s="26"/>
      <c r="F249" s="57"/>
      <c r="G249" s="57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32"/>
      <c r="W249" s="32"/>
      <c r="X249" s="32"/>
      <c r="Y249" s="32"/>
      <c r="Z249" s="32"/>
      <c r="AA249" s="32"/>
      <c r="AB249" s="32"/>
      <c r="AC249" s="138"/>
      <c r="AD249" s="32"/>
      <c r="AE249" s="32"/>
      <c r="AF249" s="32"/>
      <c r="AG249" s="32"/>
    </row>
    <row r="250" spans="2:33" ht="13.8" x14ac:dyDescent="0.25">
      <c r="B250" s="28"/>
      <c r="C250" s="10"/>
      <c r="D250" s="26"/>
      <c r="E250" s="26"/>
      <c r="F250" s="31" t="s">
        <v>0</v>
      </c>
      <c r="G250" s="57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32"/>
      <c r="W250" s="32"/>
      <c r="X250" s="32"/>
      <c r="Y250" s="32"/>
      <c r="Z250" s="32"/>
      <c r="AA250" s="32"/>
      <c r="AB250" s="32"/>
      <c r="AC250" s="138"/>
      <c r="AD250" s="32"/>
      <c r="AE250" s="32"/>
      <c r="AF250" s="32"/>
      <c r="AG250" s="32"/>
    </row>
    <row r="251" spans="2:33" ht="13.8" x14ac:dyDescent="0.25">
      <c r="B251" s="33" t="s">
        <v>1</v>
      </c>
      <c r="C251" s="33" t="s">
        <v>794</v>
      </c>
      <c r="D251" s="33" t="s">
        <v>3</v>
      </c>
      <c r="E251" s="33" t="s">
        <v>4</v>
      </c>
      <c r="F251" s="34" t="s">
        <v>803</v>
      </c>
      <c r="G251" s="35" t="s">
        <v>14</v>
      </c>
      <c r="H251" s="36" t="s">
        <v>16</v>
      </c>
      <c r="I251" s="36" t="str">
        <f>"CEFF~"&amp;E261</f>
        <v>CEFF~RSD_DTA4_WH</v>
      </c>
      <c r="J251" s="36" t="str">
        <f>"CEFF~"&amp;E271</f>
        <v>CEFF~RSD_DTA4_SC</v>
      </c>
      <c r="K251" s="36" t="s">
        <v>789</v>
      </c>
      <c r="L251" s="36" t="str">
        <f>"SHARE~"&amp;Commodities!$D$182</f>
        <v>SHARE~RSDRESGEO</v>
      </c>
      <c r="M251" s="36" t="str">
        <f>"SHARE~UP~"&amp;E261</f>
        <v>SHARE~UP~RSD_DTA4_WH</v>
      </c>
      <c r="N251" s="36" t="s">
        <v>36</v>
      </c>
      <c r="O251" s="36" t="s">
        <v>5</v>
      </c>
      <c r="P251" s="36" t="s">
        <v>34</v>
      </c>
      <c r="Q251" s="36" t="s">
        <v>780</v>
      </c>
      <c r="R251" s="36" t="s">
        <v>773</v>
      </c>
      <c r="S251" s="32"/>
      <c r="W251" s="32"/>
      <c r="X251" s="32"/>
      <c r="Y251" s="32"/>
      <c r="Z251" s="32"/>
      <c r="AA251" s="32"/>
      <c r="AB251" s="32"/>
      <c r="AC251" s="138"/>
      <c r="AD251" s="32"/>
      <c r="AE251" s="32"/>
      <c r="AF251" s="32"/>
      <c r="AG251" s="32"/>
    </row>
    <row r="252" spans="2:33" ht="14.4" thickBot="1" x14ac:dyDescent="0.3">
      <c r="B252" s="41" t="s">
        <v>795</v>
      </c>
      <c r="C252" s="41" t="s">
        <v>28</v>
      </c>
      <c r="D252" s="41" t="s">
        <v>32</v>
      </c>
      <c r="E252" s="41" t="s">
        <v>33</v>
      </c>
      <c r="F252" s="42"/>
      <c r="G252" s="43" t="s">
        <v>35</v>
      </c>
      <c r="H252" s="41" t="s">
        <v>813</v>
      </c>
      <c r="I252" s="41" t="s">
        <v>812</v>
      </c>
      <c r="J252" s="41" t="s">
        <v>811</v>
      </c>
      <c r="K252" s="41" t="s">
        <v>805</v>
      </c>
      <c r="L252" s="41" t="s">
        <v>814</v>
      </c>
      <c r="M252" s="41" t="s">
        <v>810</v>
      </c>
      <c r="N252" s="43" t="s">
        <v>806</v>
      </c>
      <c r="O252" s="41" t="s">
        <v>37</v>
      </c>
      <c r="P252" s="41" t="s">
        <v>38</v>
      </c>
      <c r="Q252" s="41" t="s">
        <v>781</v>
      </c>
      <c r="R252" s="41" t="s">
        <v>807</v>
      </c>
      <c r="S252" s="32"/>
      <c r="W252" s="32"/>
      <c r="X252" s="32"/>
      <c r="Y252" s="32"/>
      <c r="Z252" s="32"/>
      <c r="AA252" s="32"/>
      <c r="AB252" s="32"/>
      <c r="AC252" s="138"/>
      <c r="AD252" s="32"/>
      <c r="AE252" s="32"/>
      <c r="AF252" s="32"/>
      <c r="AG252" s="32"/>
    </row>
    <row r="253" spans="2:33" ht="13.8" x14ac:dyDescent="0.25">
      <c r="B253" s="47"/>
      <c r="C253" s="48"/>
      <c r="D253" s="48"/>
      <c r="E253" s="48" t="s">
        <v>799</v>
      </c>
      <c r="F253" s="49"/>
      <c r="G253" s="48"/>
      <c r="H253" s="48" t="s">
        <v>808</v>
      </c>
      <c r="I253" s="48" t="s">
        <v>808</v>
      </c>
      <c r="J253" s="48" t="s">
        <v>808</v>
      </c>
      <c r="K253" s="48" t="s">
        <v>808</v>
      </c>
      <c r="L253" s="48" t="s">
        <v>808</v>
      </c>
      <c r="M253" s="48" t="s">
        <v>808</v>
      </c>
      <c r="N253" s="48" t="str">
        <f>General!$D$14</f>
        <v>$/kW</v>
      </c>
      <c r="O253" s="48" t="str">
        <f>General!$D$14</f>
        <v>$/kW</v>
      </c>
      <c r="P253" s="48" t="str">
        <f>General!$D$15</f>
        <v>$/GJ</v>
      </c>
      <c r="Q253" s="48" t="str">
        <f>General!$D$21</f>
        <v>Years</v>
      </c>
      <c r="R253" s="48" t="str">
        <f>General!$E$16</f>
        <v>PJ/GW</v>
      </c>
      <c r="S253" s="32"/>
      <c r="W253" s="32"/>
      <c r="X253" s="32"/>
      <c r="Y253" s="32"/>
      <c r="Z253" s="32"/>
      <c r="AA253" s="32"/>
      <c r="AB253" s="32"/>
      <c r="AC253" s="138"/>
      <c r="AD253" s="32"/>
      <c r="AE253" s="32"/>
      <c r="AF253" s="32"/>
      <c r="AG253" s="32"/>
    </row>
    <row r="254" spans="2:33" ht="13.8" x14ac:dyDescent="0.25">
      <c r="B254" s="26" t="str">
        <f t="shared" ref="B254:C260" si="55">Y157</f>
        <v>RSD_DTA4_SH_BIC_N_ST</v>
      </c>
      <c r="C254" s="26" t="str">
        <f t="shared" si="55"/>
        <v>Detached A4 SpHeat Coal Boiler Standard (N)|</v>
      </c>
      <c r="D254" s="26" t="str">
        <f>Commodities!$D$153</f>
        <v>RSDCOABIC</v>
      </c>
      <c r="E254" s="26" t="str">
        <f>Commodities!$AD$21</f>
        <v>RSD_DTA4_SH</v>
      </c>
      <c r="F254" s="84">
        <f t="shared" ref="F254:F260" si="56">G254</f>
        <v>2018</v>
      </c>
      <c r="G254" s="57">
        <f>BASE_YEAR+1</f>
        <v>2018</v>
      </c>
      <c r="H254" s="72">
        <v>0.65</v>
      </c>
      <c r="I254" s="72"/>
      <c r="J254" s="72"/>
      <c r="K254" s="72"/>
      <c r="L254" s="72"/>
      <c r="M254" s="72"/>
      <c r="N254" s="72">
        <v>250</v>
      </c>
      <c r="O254" s="72">
        <f>N254*2%</f>
        <v>5</v>
      </c>
      <c r="P254" s="72">
        <v>0</v>
      </c>
      <c r="Q254" s="72">
        <v>15</v>
      </c>
      <c r="R254" s="72">
        <v>31.536000000000001</v>
      </c>
      <c r="S254" s="32"/>
      <c r="W254" s="32"/>
      <c r="X254" s="32"/>
      <c r="Y254" s="32"/>
      <c r="Z254" s="32"/>
      <c r="AA254" s="32"/>
      <c r="AB254" s="32"/>
      <c r="AC254" s="138"/>
      <c r="AD254" s="32"/>
      <c r="AE254" s="32"/>
      <c r="AF254" s="32"/>
      <c r="AG254" s="32"/>
    </row>
    <row r="255" spans="2:33" ht="13.8" x14ac:dyDescent="0.25">
      <c r="B255" s="26" t="str">
        <f t="shared" si="55"/>
        <v>RSD_DTA4_SH_LOG_N_ST01</v>
      </c>
      <c r="C255" s="26" t="str">
        <f t="shared" si="55"/>
        <v>Detached A4 SpHeat Wood Stove Standard (N)|</v>
      </c>
      <c r="D255" s="26" t="str">
        <f>Commodities!$D$167</f>
        <v>RSDBIOLOG</v>
      </c>
      <c r="E255" s="26" t="str">
        <f>E254</f>
        <v>RSD_DTA4_SH</v>
      </c>
      <c r="F255" s="84">
        <f t="shared" si="56"/>
        <v>2018</v>
      </c>
      <c r="G255" s="57">
        <f>BASE_YEAR+1</f>
        <v>2018</v>
      </c>
      <c r="H255" s="72">
        <v>0.5</v>
      </c>
      <c r="I255" s="72"/>
      <c r="J255" s="72"/>
      <c r="K255" s="72"/>
      <c r="L255" s="72"/>
      <c r="M255" s="72"/>
      <c r="N255" s="72">
        <v>30</v>
      </c>
      <c r="O255" s="72">
        <f>N255*2%</f>
        <v>0.6</v>
      </c>
      <c r="P255" s="72">
        <v>0</v>
      </c>
      <c r="Q255" s="72">
        <v>15</v>
      </c>
      <c r="R255" s="72">
        <v>31.536000000000001</v>
      </c>
      <c r="S255" s="32"/>
      <c r="W255" s="32"/>
      <c r="X255" s="32"/>
      <c r="Y255" s="32"/>
      <c r="Z255" s="32"/>
      <c r="AA255" s="32"/>
      <c r="AB255" s="32"/>
      <c r="AC255" s="138"/>
      <c r="AD255" s="32"/>
      <c r="AE255" s="32"/>
      <c r="AF255" s="32"/>
      <c r="AG255" s="32"/>
    </row>
    <row r="256" spans="2:33" ht="13.8" x14ac:dyDescent="0.25">
      <c r="B256" s="26" t="str">
        <f t="shared" si="55"/>
        <v>RSD_DTA4_SH_LOG_N_ST02</v>
      </c>
      <c r="C256" s="26" t="str">
        <f t="shared" si="55"/>
        <v>Detached A4 SpHeat Wood Boiler Standard (N)|</v>
      </c>
      <c r="D256" s="26" t="str">
        <f>Commodities!$D$167</f>
        <v>RSDBIOLOG</v>
      </c>
      <c r="E256" s="26" t="str">
        <f>E255</f>
        <v>RSD_DTA4_SH</v>
      </c>
      <c r="F256" s="84">
        <f t="shared" si="56"/>
        <v>2018</v>
      </c>
      <c r="G256" s="57">
        <f>BASE_YEAR+1</f>
        <v>2018</v>
      </c>
      <c r="H256" s="72">
        <v>0.65</v>
      </c>
      <c r="I256" s="72"/>
      <c r="J256" s="72"/>
      <c r="K256" s="72"/>
      <c r="L256" s="72"/>
      <c r="M256" s="72"/>
      <c r="N256" s="72">
        <v>285</v>
      </c>
      <c r="O256" s="72">
        <f t="shared" ref="O256:O258" si="57">N256*2%</f>
        <v>5.7</v>
      </c>
      <c r="P256" s="72">
        <v>0</v>
      </c>
      <c r="Q256" s="72">
        <v>20</v>
      </c>
      <c r="R256" s="72">
        <v>31.536000000000001</v>
      </c>
      <c r="S256" s="32"/>
      <c r="W256" s="32"/>
      <c r="X256" s="32"/>
      <c r="Y256" s="32"/>
      <c r="Z256" s="32"/>
      <c r="AA256" s="32"/>
      <c r="AB256" s="32"/>
      <c r="AC256" s="138"/>
      <c r="AD256" s="32"/>
      <c r="AE256" s="32"/>
      <c r="AF256" s="32"/>
      <c r="AG256" s="32"/>
    </row>
    <row r="257" spans="2:33" ht="13.8" x14ac:dyDescent="0.25">
      <c r="B257" s="26" t="str">
        <f t="shared" si="55"/>
        <v>RSD_DTA4_SH_PLT_N_ST01</v>
      </c>
      <c r="C257" s="26" t="str">
        <f t="shared" si="55"/>
        <v>Detached A4 SpHeat Pellet Boiler Standard (N)|</v>
      </c>
      <c r="D257" s="26" t="str">
        <f>Commodities!$D$177</f>
        <v>RSDBIOPLT</v>
      </c>
      <c r="E257" s="26" t="str">
        <f>E256</f>
        <v>RSD_DTA4_SH</v>
      </c>
      <c r="F257" s="84">
        <f t="shared" si="56"/>
        <v>2018</v>
      </c>
      <c r="G257" s="57">
        <f>BASE_YEAR+1</f>
        <v>2018</v>
      </c>
      <c r="H257" s="72">
        <v>0.65</v>
      </c>
      <c r="I257" s="72"/>
      <c r="J257" s="72"/>
      <c r="K257" s="72"/>
      <c r="L257" s="72"/>
      <c r="M257" s="72"/>
      <c r="N257" s="72">
        <v>210</v>
      </c>
      <c r="O257" s="72">
        <f t="shared" si="57"/>
        <v>4.2</v>
      </c>
      <c r="P257" s="72">
        <v>0</v>
      </c>
      <c r="Q257" s="72">
        <v>15</v>
      </c>
      <c r="R257" s="72">
        <v>31.536000000000001</v>
      </c>
      <c r="S257" s="32"/>
      <c r="W257" s="32"/>
      <c r="X257" s="32"/>
      <c r="Y257" s="32"/>
      <c r="Z257" s="32"/>
      <c r="AA257" s="32"/>
      <c r="AB257" s="32"/>
      <c r="AC257" s="138"/>
      <c r="AD257" s="32"/>
      <c r="AE257" s="32"/>
      <c r="AF257" s="32"/>
      <c r="AG257" s="32"/>
    </row>
    <row r="258" spans="2:33" ht="13.8" x14ac:dyDescent="0.25">
      <c r="B258" s="26" t="str">
        <f t="shared" si="55"/>
        <v>RSD_DTA4_SH_PLT_N_IM01</v>
      </c>
      <c r="C258" s="26" t="str">
        <f t="shared" si="55"/>
        <v>Detached A4 SpHeat Pellet Boiler Improved (N)|</v>
      </c>
      <c r="D258" s="26" t="str">
        <f>Commodities!$D$177</f>
        <v>RSDBIOPLT</v>
      </c>
      <c r="E258" s="26" t="str">
        <f>E257</f>
        <v>RSD_DTA4_SH</v>
      </c>
      <c r="F258" s="84">
        <f t="shared" si="56"/>
        <v>2020</v>
      </c>
      <c r="G258" s="57">
        <f>BASE_YEAR+3</f>
        <v>2020</v>
      </c>
      <c r="H258" s="72">
        <v>0.7</v>
      </c>
      <c r="I258" s="72"/>
      <c r="J258" s="72"/>
      <c r="K258" s="72"/>
      <c r="L258" s="72"/>
      <c r="M258" s="72"/>
      <c r="N258" s="72">
        <v>230</v>
      </c>
      <c r="O258" s="72">
        <f t="shared" si="57"/>
        <v>4.6000000000000005</v>
      </c>
      <c r="P258" s="72">
        <v>0</v>
      </c>
      <c r="Q258" s="72">
        <v>15</v>
      </c>
      <c r="R258" s="72">
        <v>31.536000000000001</v>
      </c>
      <c r="S258" s="32"/>
      <c r="W258" s="32"/>
      <c r="X258" s="32"/>
      <c r="Y258" s="32"/>
      <c r="Z258" s="32"/>
      <c r="AA258" s="32"/>
      <c r="AB258" s="32"/>
      <c r="AC258" s="138"/>
      <c r="AD258" s="32"/>
      <c r="AE258" s="32"/>
      <c r="AF258" s="32"/>
      <c r="AG258" s="32"/>
    </row>
    <row r="259" spans="2:33" ht="13.8" x14ac:dyDescent="0.25">
      <c r="B259" s="26" t="str">
        <f t="shared" si="55"/>
        <v>RSD_DTA4_SH_GAS_N_ST01</v>
      </c>
      <c r="C259" s="26" t="str">
        <f t="shared" si="55"/>
        <v>Detached A4 SpHeat Gas Boiler Condensing (N)|</v>
      </c>
      <c r="D259" s="26" t="str">
        <f>Commodities!$D$166</f>
        <v>RSDGASNAT</v>
      </c>
      <c r="E259" s="26" t="str">
        <f t="shared" ref="E259:E260" si="58">E258</f>
        <v>RSD_DTA4_SH</v>
      </c>
      <c r="F259" s="84">
        <f t="shared" si="56"/>
        <v>2018</v>
      </c>
      <c r="G259" s="57">
        <f>BASE_YEAR+1</f>
        <v>2018</v>
      </c>
      <c r="H259" s="72">
        <v>0.85</v>
      </c>
      <c r="I259" s="72"/>
      <c r="J259" s="72"/>
      <c r="K259" s="72"/>
      <c r="L259" s="72"/>
      <c r="M259" s="72"/>
      <c r="N259" s="72">
        <f>ROUNDUP(114.94542626643*1.5,0)</f>
        <v>173</v>
      </c>
      <c r="O259" s="72">
        <f>ROUNDDOWN(4.49036663406935,0)</f>
        <v>4</v>
      </c>
      <c r="P259" s="72">
        <v>0</v>
      </c>
      <c r="Q259" s="72">
        <v>20</v>
      </c>
      <c r="R259" s="72">
        <v>31.536000000000001</v>
      </c>
      <c r="S259" s="32"/>
      <c r="W259" s="32"/>
      <c r="X259" s="32"/>
      <c r="Y259" s="32"/>
      <c r="Z259" s="32"/>
      <c r="AA259" s="32"/>
      <c r="AB259" s="32"/>
      <c r="AC259" s="138"/>
      <c r="AD259" s="32"/>
      <c r="AE259" s="32"/>
      <c r="AF259" s="32"/>
      <c r="AG259" s="32"/>
    </row>
    <row r="260" spans="2:33" ht="13.8" x14ac:dyDescent="0.25">
      <c r="B260" s="26" t="str">
        <f t="shared" si="55"/>
        <v>RSD_DTA4_SH_GAS_N_ST02</v>
      </c>
      <c r="C260" s="26" t="str">
        <f t="shared" si="55"/>
        <v>Detached A4 Combi Gas Boiler Condensing (N)|</v>
      </c>
      <c r="D260" s="26" t="str">
        <f>Commodities!$D$166</f>
        <v>RSDGASNAT</v>
      </c>
      <c r="E260" s="26" t="str">
        <f t="shared" si="58"/>
        <v>RSD_DTA4_SH</v>
      </c>
      <c r="F260" s="84">
        <f t="shared" si="56"/>
        <v>2018</v>
      </c>
      <c r="G260" s="57">
        <f>BASE_YEAR+1</f>
        <v>2018</v>
      </c>
      <c r="H260" s="72">
        <v>0.85</v>
      </c>
      <c r="I260" s="72"/>
      <c r="J260" s="72"/>
      <c r="K260" s="72"/>
      <c r="L260" s="72"/>
      <c r="M260" s="72"/>
      <c r="N260" s="72">
        <f>ROUNDUP(114.94542626643*1.5,0)</f>
        <v>173</v>
      </c>
      <c r="O260" s="72">
        <f>ROUNDDOWN(4.49036663406935,0)</f>
        <v>4</v>
      </c>
      <c r="P260" s="72">
        <v>0</v>
      </c>
      <c r="Q260" s="72">
        <v>20</v>
      </c>
      <c r="R260" s="72">
        <v>31.536000000000001</v>
      </c>
      <c r="W260" s="32"/>
      <c r="X260" s="32"/>
      <c r="Y260" s="32"/>
      <c r="Z260" s="32"/>
      <c r="AA260" s="32"/>
      <c r="AB260" s="32"/>
      <c r="AC260" s="138"/>
      <c r="AD260" s="32"/>
      <c r="AE260" s="32"/>
      <c r="AF260" s="32"/>
      <c r="AG260" s="32"/>
    </row>
    <row r="261" spans="2:33" ht="13.8" x14ac:dyDescent="0.25">
      <c r="D261" s="10"/>
      <c r="E261" s="26" t="str">
        <f>Commodities!$AD$29</f>
        <v>RSD_DTA4_WH</v>
      </c>
      <c r="F261" s="84">
        <f>F260</f>
        <v>2018</v>
      </c>
      <c r="G261" s="10"/>
      <c r="H261" s="72" t="s">
        <v>848</v>
      </c>
      <c r="I261" s="72">
        <v>0.9</v>
      </c>
      <c r="J261" s="72" t="s">
        <v>848</v>
      </c>
      <c r="K261" s="72"/>
      <c r="L261" s="72"/>
      <c r="M261" s="72">
        <v>0.2</v>
      </c>
      <c r="N261" s="72" t="s">
        <v>848</v>
      </c>
      <c r="O261" s="72" t="s">
        <v>848</v>
      </c>
      <c r="P261" s="72" t="s">
        <v>848</v>
      </c>
      <c r="Q261" s="72" t="s">
        <v>848</v>
      </c>
      <c r="R261" s="72"/>
      <c r="W261" s="32"/>
      <c r="X261" s="32"/>
      <c r="Y261" s="32"/>
      <c r="Z261" s="32"/>
      <c r="AA261" s="32"/>
      <c r="AB261" s="32"/>
      <c r="AC261" s="138"/>
      <c r="AD261" s="32"/>
      <c r="AE261" s="32"/>
      <c r="AF261" s="32"/>
      <c r="AG261" s="32"/>
    </row>
    <row r="262" spans="2:33" ht="13.8" x14ac:dyDescent="0.25">
      <c r="B262" s="26" t="str">
        <f>Y164</f>
        <v>RSD_DTA4_SH_GAS_N_AD01</v>
      </c>
      <c r="C262" s="26" t="str">
        <f>Z164</f>
        <v>Detached A4 SpHeat Gas Boiler Condensing Improved (N)|</v>
      </c>
      <c r="D262" s="26" t="str">
        <f>Commodities!$D$166</f>
        <v>RSDGASNAT</v>
      </c>
      <c r="E262" s="26" t="str">
        <f>E260</f>
        <v>RSD_DTA4_SH</v>
      </c>
      <c r="F262" s="84">
        <f t="shared" ref="F262:F263" si="59">G262</f>
        <v>2025</v>
      </c>
      <c r="G262" s="57">
        <f>BASE_YEAR+8</f>
        <v>2025</v>
      </c>
      <c r="H262" s="72">
        <v>0.94500000000000006</v>
      </c>
      <c r="I262" s="72"/>
      <c r="J262" s="72"/>
      <c r="K262" s="72"/>
      <c r="L262" s="72"/>
      <c r="M262" s="72"/>
      <c r="N262" s="72">
        <f>ROUNDUP(122.99160610508*1.9,0)</f>
        <v>234</v>
      </c>
      <c r="O262" s="72">
        <f>ROUNDDOWN(4.17604096968449,0)</f>
        <v>4</v>
      </c>
      <c r="P262" s="72">
        <v>0</v>
      </c>
      <c r="Q262" s="72">
        <v>20</v>
      </c>
      <c r="R262" s="72">
        <v>31.536000000000001</v>
      </c>
      <c r="W262" s="32"/>
      <c r="X262" s="32"/>
      <c r="Y262" s="32"/>
      <c r="Z262" s="32"/>
      <c r="AA262" s="32"/>
      <c r="AB262" s="32"/>
      <c r="AC262" s="138"/>
      <c r="AD262" s="32"/>
      <c r="AE262" s="32"/>
      <c r="AF262" s="32"/>
      <c r="AG262" s="32"/>
    </row>
    <row r="263" spans="2:33" ht="13.8" x14ac:dyDescent="0.25">
      <c r="B263" s="26" t="str">
        <f>Y165</f>
        <v>RSD_DTA4_SH_GAS_N_AD02</v>
      </c>
      <c r="C263" s="26" t="str">
        <f>Z165</f>
        <v>Detached A4 Combi Gas Boiler Condensing (N)|</v>
      </c>
      <c r="D263" s="26" t="str">
        <f>Commodities!$D$166</f>
        <v>RSDGASNAT</v>
      </c>
      <c r="E263" s="26" t="str">
        <f>E262</f>
        <v>RSD_DTA4_SH</v>
      </c>
      <c r="F263" s="84">
        <f t="shared" si="59"/>
        <v>2030</v>
      </c>
      <c r="G263" s="57">
        <f>BASE_YEAR+13</f>
        <v>2030</v>
      </c>
      <c r="H263" s="72">
        <v>0.94500000000000006</v>
      </c>
      <c r="I263" s="72"/>
      <c r="J263" s="72"/>
      <c r="K263" s="72"/>
      <c r="L263" s="72"/>
      <c r="M263" s="72"/>
      <c r="N263" s="72">
        <f>ROUNDUP(122.99160610508*1.9,0)</f>
        <v>234</v>
      </c>
      <c r="O263" s="72">
        <f>ROUNDDOWN(4.17604096968449,0)</f>
        <v>4</v>
      </c>
      <c r="P263" s="72">
        <v>0</v>
      </c>
      <c r="Q263" s="72">
        <v>20</v>
      </c>
      <c r="R263" s="72">
        <v>31.536000000000001</v>
      </c>
      <c r="W263" s="32"/>
      <c r="X263" s="32"/>
      <c r="Y263" s="32"/>
      <c r="Z263" s="32"/>
      <c r="AA263" s="32"/>
      <c r="AB263" s="32"/>
      <c r="AC263" s="138"/>
      <c r="AD263" s="32"/>
      <c r="AE263" s="32"/>
      <c r="AF263" s="32"/>
      <c r="AG263" s="32"/>
    </row>
    <row r="264" spans="2:33" ht="13.8" x14ac:dyDescent="0.25">
      <c r="D264" s="10"/>
      <c r="E264" s="26" t="str">
        <f>E261</f>
        <v>RSD_DTA4_WH</v>
      </c>
      <c r="F264" s="84">
        <f>F263</f>
        <v>2030</v>
      </c>
      <c r="G264" s="10"/>
      <c r="H264" s="72" t="s">
        <v>848</v>
      </c>
      <c r="I264" s="72">
        <v>0.94500000000000006</v>
      </c>
      <c r="J264" s="72"/>
      <c r="K264" s="72"/>
      <c r="L264" s="72"/>
      <c r="M264" s="72">
        <v>0.2</v>
      </c>
      <c r="N264" s="72" t="s">
        <v>848</v>
      </c>
      <c r="O264" s="72" t="s">
        <v>848</v>
      </c>
      <c r="P264" s="72" t="s">
        <v>848</v>
      </c>
      <c r="Q264" s="72" t="s">
        <v>848</v>
      </c>
      <c r="R264" s="72"/>
      <c r="W264" s="32"/>
      <c r="X264" s="32"/>
      <c r="Y264" s="32"/>
      <c r="Z264" s="32"/>
      <c r="AA264" s="32"/>
      <c r="AB264" s="32"/>
      <c r="AC264" s="138"/>
      <c r="AD264" s="32"/>
      <c r="AE264" s="32"/>
      <c r="AF264" s="32"/>
      <c r="AG264" s="32"/>
    </row>
    <row r="265" spans="2:33" ht="13.8" x14ac:dyDescent="0.25">
      <c r="B265" s="26" t="str">
        <f t="shared" ref="B265:C270" si="60">Y166</f>
        <v>RSD_DTA4_SH_LTH_N_ST01</v>
      </c>
      <c r="C265" s="26" t="str">
        <f t="shared" si="60"/>
        <v>Detached A4 SpHeat Dist. Heat Standard (N)|</v>
      </c>
      <c r="D265" s="26" t="str">
        <f>Commodities!$D$353</f>
        <v>RSDLTHA4</v>
      </c>
      <c r="E265" s="26" t="str">
        <f>E263</f>
        <v>RSD_DTA4_SH</v>
      </c>
      <c r="F265" s="84">
        <f t="shared" ref="F265:F267" si="61">G265</f>
        <v>2018</v>
      </c>
      <c r="G265" s="57">
        <f>BASE_YEAR+1</f>
        <v>2018</v>
      </c>
      <c r="H265" s="72">
        <v>0.9</v>
      </c>
      <c r="I265" s="72"/>
      <c r="J265" s="72"/>
      <c r="K265" s="72"/>
      <c r="L265" s="72"/>
      <c r="M265" s="72"/>
      <c r="N265" s="72">
        <f>ROUNDUP(90.3,0)</f>
        <v>91</v>
      </c>
      <c r="O265" s="72">
        <f>ROUNDUP(9.72,0)</f>
        <v>10</v>
      </c>
      <c r="P265" s="72">
        <v>0</v>
      </c>
      <c r="Q265" s="72">
        <v>20</v>
      </c>
      <c r="R265" s="72">
        <v>31.536000000000001</v>
      </c>
      <c r="W265" s="32"/>
      <c r="X265" s="32"/>
      <c r="Y265" s="32"/>
      <c r="Z265" s="32"/>
      <c r="AA265" s="32"/>
      <c r="AB265" s="32"/>
      <c r="AC265" s="138"/>
      <c r="AD265" s="32"/>
      <c r="AE265" s="32"/>
      <c r="AF265" s="32"/>
      <c r="AG265" s="32"/>
    </row>
    <row r="266" spans="2:33" ht="13.8" x14ac:dyDescent="0.25">
      <c r="B266" s="26" t="str">
        <f t="shared" si="60"/>
        <v>RSD_DTA4_SH_LTH_N_IM01</v>
      </c>
      <c r="C266" s="26" t="str">
        <f t="shared" si="60"/>
        <v>Detached A4 SpHeat Dist. Heat Improved (N)|</v>
      </c>
      <c r="D266" s="26" t="str">
        <f>D265</f>
        <v>RSDLTHA4</v>
      </c>
      <c r="E266" s="26" t="str">
        <f>E265</f>
        <v>RSD_DTA4_SH</v>
      </c>
      <c r="F266" s="84">
        <f t="shared" si="61"/>
        <v>2025</v>
      </c>
      <c r="G266" s="57">
        <f>BASE_YEAR+8</f>
        <v>2025</v>
      </c>
      <c r="H266" s="72">
        <f>H265*1.03</f>
        <v>0.92700000000000005</v>
      </c>
      <c r="I266" s="72"/>
      <c r="J266" s="72"/>
      <c r="K266" s="72"/>
      <c r="L266" s="72"/>
      <c r="M266" s="72"/>
      <c r="N266" s="72">
        <f>ROUNDUP(94.815*1.1,0)</f>
        <v>105</v>
      </c>
      <c r="O266" s="72">
        <f>ROUNDUP(9.234,0)</f>
        <v>10</v>
      </c>
      <c r="P266" s="72">
        <v>0</v>
      </c>
      <c r="Q266" s="72">
        <v>20</v>
      </c>
      <c r="R266" s="72">
        <v>31.536000000000001</v>
      </c>
      <c r="W266" s="32"/>
      <c r="X266" s="32"/>
      <c r="Y266" s="32"/>
      <c r="Z266" s="32"/>
      <c r="AA266" s="32"/>
      <c r="AB266" s="32"/>
      <c r="AC266" s="138"/>
      <c r="AD266" s="32"/>
      <c r="AE266" s="32"/>
      <c r="AF266" s="32"/>
      <c r="AG266" s="32"/>
    </row>
    <row r="267" spans="2:33" ht="13.8" x14ac:dyDescent="0.25">
      <c r="B267" s="26" t="str">
        <f t="shared" si="60"/>
        <v>RSD_DTA4_SH_LTH_N_AD01</v>
      </c>
      <c r="C267" s="26" t="str">
        <f t="shared" si="60"/>
        <v>Detached A4 SpHeat Dist. Heat Advanced (N)|</v>
      </c>
      <c r="D267" s="26" t="str">
        <f>D266</f>
        <v>RSDLTHA4</v>
      </c>
      <c r="E267" s="26" t="str">
        <f>E266</f>
        <v>RSD_DTA4_SH</v>
      </c>
      <c r="F267" s="84">
        <f t="shared" si="61"/>
        <v>2035</v>
      </c>
      <c r="G267" s="57">
        <f>BASE_YEAR+18</f>
        <v>2035</v>
      </c>
      <c r="H267" s="72">
        <f>H265*1.05</f>
        <v>0.94500000000000006</v>
      </c>
      <c r="I267" s="72"/>
      <c r="J267" s="72"/>
      <c r="K267" s="72"/>
      <c r="L267" s="72"/>
      <c r="M267" s="72"/>
      <c r="N267" s="72">
        <f>ROUNDUP(99.55575*1.2,0)</f>
        <v>120</v>
      </c>
      <c r="O267" s="72">
        <f>ROUNDUP(8.7723,0)</f>
        <v>9</v>
      </c>
      <c r="P267" s="72">
        <v>0</v>
      </c>
      <c r="Q267" s="72">
        <v>20</v>
      </c>
      <c r="R267" s="72">
        <v>31.536000000000001</v>
      </c>
      <c r="W267" s="32"/>
      <c r="X267" s="32"/>
      <c r="Y267" s="32"/>
      <c r="Z267" s="32"/>
      <c r="AA267" s="32"/>
      <c r="AB267" s="32"/>
      <c r="AC267" s="138"/>
      <c r="AD267" s="32"/>
      <c r="AE267" s="32"/>
      <c r="AF267" s="32"/>
      <c r="AG267" s="32"/>
    </row>
    <row r="268" spans="2:33" ht="14.4" x14ac:dyDescent="0.3">
      <c r="B268" s="26" t="str">
        <f t="shared" si="60"/>
        <v>RSD_DTA4_SH_ELC_N_ST01</v>
      </c>
      <c r="C268" s="26" t="str">
        <f t="shared" si="60"/>
        <v>Detached A4 SpHeat Electric Heater Standard (N)|</v>
      </c>
      <c r="D268" s="26" t="str">
        <f>Commodities!$D$341</f>
        <v>RSDELC</v>
      </c>
      <c r="E268" s="26" t="str">
        <f t="shared" ref="E268:E270" si="62">E267</f>
        <v>RSD_DTA4_SH</v>
      </c>
      <c r="F268" s="84">
        <f>G268</f>
        <v>2100</v>
      </c>
      <c r="G268" s="135">
        <v>2100</v>
      </c>
      <c r="H268" s="72">
        <v>0.95</v>
      </c>
      <c r="I268" s="72"/>
      <c r="J268" s="72"/>
      <c r="K268" s="72"/>
      <c r="L268" s="72"/>
      <c r="M268" s="72"/>
      <c r="N268" s="72">
        <f>ROUNDUP(320.85*0.35,0)</f>
        <v>113</v>
      </c>
      <c r="O268" s="72">
        <f>N268*0.01</f>
        <v>1.1300000000000001</v>
      </c>
      <c r="P268" s="72">
        <v>0</v>
      </c>
      <c r="Q268" s="72">
        <v>15</v>
      </c>
      <c r="R268" s="72">
        <f>31.536/5</f>
        <v>6.3071999999999999</v>
      </c>
      <c r="W268" s="32"/>
      <c r="X268" s="32"/>
      <c r="Y268" s="32"/>
      <c r="Z268" s="32"/>
      <c r="AA268" s="32"/>
      <c r="AB268" s="32"/>
      <c r="AC268" s="138"/>
      <c r="AD268" s="32"/>
      <c r="AE268" s="32"/>
      <c r="AF268" s="32"/>
      <c r="AG268" s="32"/>
    </row>
    <row r="269" spans="2:33" ht="13.8" x14ac:dyDescent="0.25">
      <c r="B269" s="26" t="str">
        <f t="shared" si="60"/>
        <v>RSD_DTA4_SH_ELC_N_ST02</v>
      </c>
      <c r="C269" s="26" t="str">
        <f t="shared" si="60"/>
        <v>Detached A4 SpHeat ASHP Standard (N)|</v>
      </c>
      <c r="D269" s="26" t="str">
        <f>Commodities!$D$341</f>
        <v>RSDELC</v>
      </c>
      <c r="E269" s="26" t="str">
        <f t="shared" si="62"/>
        <v>RSD_DTA4_SH</v>
      </c>
      <c r="F269" s="84">
        <f>G269</f>
        <v>2018</v>
      </c>
      <c r="G269" s="57">
        <f>BASE_YEAR+1</f>
        <v>2018</v>
      </c>
      <c r="H269" s="72">
        <v>2</v>
      </c>
      <c r="I269" s="72"/>
      <c r="J269" s="72"/>
      <c r="K269" s="72"/>
      <c r="L269" s="72"/>
      <c r="M269" s="72"/>
      <c r="N269" s="72">
        <f>ROUNDUP(612.593487394958*0.8,0)</f>
        <v>491</v>
      </c>
      <c r="O269" s="72">
        <v>1</v>
      </c>
      <c r="P269" s="72">
        <v>0</v>
      </c>
      <c r="Q269" s="72">
        <v>15</v>
      </c>
      <c r="R269" s="72">
        <v>31.536000000000001</v>
      </c>
      <c r="W269" s="32"/>
      <c r="X269" s="32"/>
      <c r="Y269" s="32"/>
      <c r="Z269" s="32"/>
      <c r="AA269" s="32"/>
      <c r="AB269" s="32"/>
      <c r="AC269" s="138"/>
      <c r="AD269" s="32"/>
      <c r="AE269" s="32"/>
      <c r="AF269" s="32"/>
      <c r="AG269" s="32"/>
    </row>
    <row r="270" spans="2:33" ht="13.8" x14ac:dyDescent="0.25">
      <c r="B270" s="26" t="str">
        <f t="shared" si="60"/>
        <v>RSD_DTA4_SH_ELC_N_ST03</v>
      </c>
      <c r="C270" s="26" t="str">
        <f t="shared" si="60"/>
        <v>Detached A4 SpHeat &amp; SpCooling ASHP Standard (N)|</v>
      </c>
      <c r="D270" s="26" t="str">
        <f>Commodities!$D$341</f>
        <v>RSDELC</v>
      </c>
      <c r="E270" s="26" t="str">
        <f t="shared" si="62"/>
        <v>RSD_DTA4_SH</v>
      </c>
      <c r="F270" s="84">
        <f>G270</f>
        <v>2018</v>
      </c>
      <c r="G270" s="57">
        <f>BASE_YEAR+1</f>
        <v>2018</v>
      </c>
      <c r="H270" s="72">
        <v>2</v>
      </c>
      <c r="I270" s="72"/>
      <c r="J270" s="72"/>
      <c r="K270" s="72"/>
      <c r="L270" s="72"/>
      <c r="M270" s="72"/>
      <c r="N270" s="72">
        <f>ROUNDUP(612.593487394958*0.8,0)</f>
        <v>491</v>
      </c>
      <c r="O270" s="72">
        <v>1</v>
      </c>
      <c r="P270" s="72">
        <v>0</v>
      </c>
      <c r="Q270" s="72">
        <v>15</v>
      </c>
      <c r="R270" s="72">
        <v>31.536000000000001</v>
      </c>
      <c r="W270" s="32"/>
      <c r="X270" s="32"/>
      <c r="Y270" s="32"/>
      <c r="Z270" s="32"/>
      <c r="AA270" s="32"/>
      <c r="AB270" s="32"/>
      <c r="AC270" s="138"/>
      <c r="AD270" s="32"/>
      <c r="AE270" s="32"/>
      <c r="AF270" s="32"/>
      <c r="AG270" s="32"/>
    </row>
    <row r="271" spans="2:33" ht="13.8" x14ac:dyDescent="0.25">
      <c r="D271" s="10"/>
      <c r="E271" s="26" t="str">
        <f>Commodities!$AD$37</f>
        <v>RSD_DTA4_SC</v>
      </c>
      <c r="F271" s="84">
        <f>F270</f>
        <v>2018</v>
      </c>
      <c r="G271" s="10"/>
      <c r="H271" s="72" t="s">
        <v>848</v>
      </c>
      <c r="I271" s="72"/>
      <c r="J271" s="72">
        <f>H270*1.5</f>
        <v>3</v>
      </c>
      <c r="K271" s="72"/>
      <c r="L271" s="72"/>
      <c r="M271" s="72"/>
      <c r="N271" s="72" t="s">
        <v>848</v>
      </c>
      <c r="O271" s="72" t="s">
        <v>848</v>
      </c>
      <c r="P271" s="72" t="s">
        <v>848</v>
      </c>
      <c r="Q271" s="72" t="s">
        <v>848</v>
      </c>
      <c r="R271" s="72"/>
      <c r="W271" s="32"/>
      <c r="X271" s="32"/>
      <c r="Y271" s="32"/>
      <c r="Z271" s="32"/>
      <c r="AA271" s="32"/>
      <c r="AB271" s="32"/>
      <c r="AC271" s="138"/>
      <c r="AD271" s="32"/>
      <c r="AE271" s="32"/>
      <c r="AF271" s="32"/>
      <c r="AG271" s="32"/>
    </row>
    <row r="272" spans="2:33" ht="13.8" x14ac:dyDescent="0.25">
      <c r="B272" s="26" t="str">
        <f>Y172</f>
        <v>RSD_DTA4_SH_ELC_N_IM01</v>
      </c>
      <c r="C272" s="26" t="str">
        <f>Z172</f>
        <v>Detached A4 SpHeat ASHP Improved (N)|</v>
      </c>
      <c r="D272" s="26" t="str">
        <f>Commodities!$D$341</f>
        <v>RSDELC</v>
      </c>
      <c r="E272" s="26" t="str">
        <f>E270</f>
        <v>RSD_DTA4_SH</v>
      </c>
      <c r="F272" s="84">
        <f>G272</f>
        <v>2025</v>
      </c>
      <c r="G272" s="57">
        <f>BASE_YEAR+8</f>
        <v>2025</v>
      </c>
      <c r="H272" s="72">
        <v>2.5</v>
      </c>
      <c r="I272" s="72"/>
      <c r="J272" s="72"/>
      <c r="K272" s="72"/>
      <c r="L272" s="72"/>
      <c r="M272" s="72"/>
      <c r="N272" s="72">
        <f>ROUNDUP(655.475031512605*0.9,0)</f>
        <v>590</v>
      </c>
      <c r="O272" s="72">
        <v>1</v>
      </c>
      <c r="P272" s="72">
        <v>0</v>
      </c>
      <c r="Q272" s="72">
        <v>15</v>
      </c>
      <c r="R272" s="72">
        <v>31.536000000000001</v>
      </c>
      <c r="W272" s="32"/>
      <c r="X272" s="32"/>
      <c r="Y272" s="32"/>
      <c r="Z272" s="32"/>
      <c r="AA272" s="32"/>
      <c r="AB272" s="32"/>
      <c r="AC272" s="138"/>
      <c r="AD272" s="32"/>
      <c r="AE272" s="32"/>
      <c r="AF272" s="32"/>
      <c r="AG272" s="32"/>
    </row>
    <row r="273" spans="2:33" ht="13.8" x14ac:dyDescent="0.25">
      <c r="B273" s="26" t="str">
        <f>Y173</f>
        <v>RSD_DTA4_SH_ELC_N_IM02</v>
      </c>
      <c r="C273" s="26" t="str">
        <f>Z173</f>
        <v>Detached A4 SpHeat &amp; SpCooling  ASHP Improved (N)|</v>
      </c>
      <c r="D273" s="26" t="str">
        <f>Commodities!$D$341</f>
        <v>RSDELC</v>
      </c>
      <c r="E273" s="26" t="str">
        <f>E272</f>
        <v>RSD_DTA4_SH</v>
      </c>
      <c r="F273" s="84">
        <f>G273</f>
        <v>2025</v>
      </c>
      <c r="G273" s="57">
        <f>BASE_YEAR+8</f>
        <v>2025</v>
      </c>
      <c r="H273" s="72">
        <v>2.5</v>
      </c>
      <c r="I273" s="72"/>
      <c r="J273" s="72"/>
      <c r="K273" s="72"/>
      <c r="L273" s="72"/>
      <c r="M273" s="72"/>
      <c r="N273" s="72">
        <f>ROUNDUP(655.475031512605*0.9,0)</f>
        <v>590</v>
      </c>
      <c r="O273" s="72">
        <v>1</v>
      </c>
      <c r="P273" s="72">
        <v>0</v>
      </c>
      <c r="Q273" s="72">
        <v>15</v>
      </c>
      <c r="R273" s="72">
        <v>31.536000000000001</v>
      </c>
      <c r="W273" s="32"/>
      <c r="X273" s="32"/>
      <c r="Y273" s="32"/>
      <c r="Z273" s="32"/>
      <c r="AA273" s="32"/>
      <c r="AB273" s="32"/>
      <c r="AC273" s="138"/>
      <c r="AD273" s="32"/>
      <c r="AE273" s="32"/>
      <c r="AF273" s="32"/>
      <c r="AG273" s="32"/>
    </row>
    <row r="274" spans="2:33" ht="13.8" x14ac:dyDescent="0.25">
      <c r="D274" s="10"/>
      <c r="E274" s="26" t="str">
        <f>E271</f>
        <v>RSD_DTA4_SC</v>
      </c>
      <c r="F274" s="84">
        <f>F273</f>
        <v>2025</v>
      </c>
      <c r="G274" s="10"/>
      <c r="H274" s="72" t="s">
        <v>848</v>
      </c>
      <c r="I274" s="72"/>
      <c r="J274" s="72">
        <f>H273*1.5</f>
        <v>3.75</v>
      </c>
      <c r="K274" s="72"/>
      <c r="L274" s="72"/>
      <c r="M274" s="72"/>
      <c r="N274" s="72" t="s">
        <v>848</v>
      </c>
      <c r="O274" s="72" t="s">
        <v>848</v>
      </c>
      <c r="P274" s="72" t="s">
        <v>848</v>
      </c>
      <c r="Q274" s="72" t="s">
        <v>848</v>
      </c>
      <c r="R274" s="72"/>
      <c r="W274" s="32"/>
      <c r="X274" s="32"/>
      <c r="Y274" s="32"/>
      <c r="Z274" s="32"/>
      <c r="AA274" s="32"/>
      <c r="AB274" s="32"/>
      <c r="AC274" s="138"/>
      <c r="AD274" s="32"/>
      <c r="AE274" s="32"/>
      <c r="AF274" s="32"/>
      <c r="AG274" s="32"/>
    </row>
    <row r="275" spans="2:33" ht="13.8" x14ac:dyDescent="0.25">
      <c r="B275" s="26" t="str">
        <f>Y174</f>
        <v>RSD_DTA4_SH_ELC_N_AD01</v>
      </c>
      <c r="C275" s="26" t="str">
        <f>Z174</f>
        <v>Detached A4 SpHeat ASHP Advanced (N)|</v>
      </c>
      <c r="D275" s="26" t="str">
        <f>Commodities!$D$341</f>
        <v>RSDELC</v>
      </c>
      <c r="E275" s="26" t="str">
        <f>E273</f>
        <v>RSD_DTA4_SH</v>
      </c>
      <c r="F275" s="84">
        <f>G275</f>
        <v>2035</v>
      </c>
      <c r="G275" s="57">
        <f>BASE_YEAR+18</f>
        <v>2035</v>
      </c>
      <c r="H275" s="72">
        <v>3</v>
      </c>
      <c r="I275" s="72"/>
      <c r="J275" s="72"/>
      <c r="K275" s="72"/>
      <c r="L275" s="72"/>
      <c r="M275" s="72"/>
      <c r="N275" s="72">
        <f>ROUNDUP(688.248783088235,0)</f>
        <v>689</v>
      </c>
      <c r="O275" s="72">
        <v>1</v>
      </c>
      <c r="P275" s="72">
        <v>0</v>
      </c>
      <c r="Q275" s="72">
        <v>15</v>
      </c>
      <c r="R275" s="72">
        <v>31.536000000000001</v>
      </c>
      <c r="W275" s="32"/>
      <c r="X275" s="32"/>
      <c r="Y275" s="32"/>
      <c r="Z275" s="32"/>
      <c r="AA275" s="32"/>
      <c r="AB275" s="32"/>
      <c r="AC275" s="138"/>
      <c r="AD275" s="32"/>
      <c r="AE275" s="32"/>
      <c r="AF275" s="32"/>
      <c r="AG275" s="32"/>
    </row>
    <row r="276" spans="2:33" ht="13.8" x14ac:dyDescent="0.25">
      <c r="B276" s="26" t="str">
        <f>Y175</f>
        <v>RSD_DTA4_SH_ELC_N_AD02</v>
      </c>
      <c r="C276" s="26" t="str">
        <f>Z175</f>
        <v>Detached A4 SpHeat &amp; SpCooling ASHP Advanced (N)|</v>
      </c>
      <c r="D276" s="26" t="str">
        <f>Commodities!$D$341</f>
        <v>RSDELC</v>
      </c>
      <c r="E276" s="26" t="str">
        <f>E275</f>
        <v>RSD_DTA4_SH</v>
      </c>
      <c r="F276" s="84">
        <f>G276</f>
        <v>2035</v>
      </c>
      <c r="G276" s="57">
        <f>BASE_YEAR+18</f>
        <v>2035</v>
      </c>
      <c r="H276" s="72">
        <v>3</v>
      </c>
      <c r="I276" s="72"/>
      <c r="J276" s="72"/>
      <c r="K276" s="72"/>
      <c r="L276" s="72"/>
      <c r="M276" s="72"/>
      <c r="N276" s="72">
        <f>ROUNDUP(688.248783088235,0)</f>
        <v>689</v>
      </c>
      <c r="O276" s="72">
        <v>1</v>
      </c>
      <c r="P276" s="72">
        <v>0</v>
      </c>
      <c r="Q276" s="72">
        <v>15</v>
      </c>
      <c r="R276" s="72">
        <v>31.536000000000001</v>
      </c>
      <c r="W276" s="32"/>
      <c r="X276" s="32"/>
      <c r="Y276" s="32"/>
      <c r="Z276" s="32"/>
      <c r="AA276" s="32"/>
      <c r="AB276" s="32"/>
      <c r="AC276" s="138"/>
      <c r="AD276" s="32"/>
      <c r="AE276" s="32"/>
      <c r="AF276" s="32"/>
      <c r="AG276" s="32"/>
    </row>
    <row r="277" spans="2:33" ht="13.8" x14ac:dyDescent="0.25">
      <c r="D277" s="10"/>
      <c r="E277" s="26" t="str">
        <f>E274</f>
        <v>RSD_DTA4_SC</v>
      </c>
      <c r="F277" s="84">
        <f>F276</f>
        <v>2035</v>
      </c>
      <c r="G277" s="10"/>
      <c r="H277" s="72" t="s">
        <v>848</v>
      </c>
      <c r="I277" s="72"/>
      <c r="J277" s="72">
        <f>H276*1.5</f>
        <v>4.5</v>
      </c>
      <c r="K277" s="72"/>
      <c r="L277" s="72"/>
      <c r="M277" s="72"/>
      <c r="N277" s="72" t="s">
        <v>848</v>
      </c>
      <c r="O277" s="72" t="s">
        <v>848</v>
      </c>
      <c r="P277" s="72" t="s">
        <v>848</v>
      </c>
      <c r="Q277" s="72" t="s">
        <v>848</v>
      </c>
      <c r="R277" s="72"/>
      <c r="W277" s="32"/>
      <c r="X277" s="32"/>
      <c r="Y277" s="32"/>
      <c r="Z277" s="32"/>
      <c r="AA277" s="32"/>
      <c r="AB277" s="32"/>
      <c r="AC277" s="138"/>
      <c r="AD277" s="32"/>
      <c r="AE277" s="32"/>
      <c r="AF277" s="32"/>
      <c r="AG277" s="32"/>
    </row>
    <row r="278" spans="2:33" ht="13.8" x14ac:dyDescent="0.25">
      <c r="B278" s="26" t="str">
        <f>Y176</f>
        <v>RSD_DTA4_SH_GEO_N_ST01</v>
      </c>
      <c r="C278" s="26" t="str">
        <f>Z176</f>
        <v>Detached A4 SpHeat GSHP Standard (N)|</v>
      </c>
      <c r="D278" s="26" t="str">
        <f>Commodities!$D$341</f>
        <v>RSDELC</v>
      </c>
      <c r="E278" s="26" t="str">
        <f>E276</f>
        <v>RSD_DTA4_SH</v>
      </c>
      <c r="F278" s="84">
        <f>G278</f>
        <v>2020</v>
      </c>
      <c r="G278" s="57">
        <f>BASE_YEAR+3</f>
        <v>2020</v>
      </c>
      <c r="H278" s="72">
        <v>4</v>
      </c>
      <c r="I278" s="72"/>
      <c r="J278" s="72"/>
      <c r="K278" s="72"/>
      <c r="L278" s="72"/>
      <c r="M278" s="72"/>
      <c r="N278" s="72">
        <v>859.22430830039525</v>
      </c>
      <c r="O278" s="72">
        <v>1.7085427135678393</v>
      </c>
      <c r="P278" s="72">
        <v>0</v>
      </c>
      <c r="Q278" s="72">
        <v>15</v>
      </c>
      <c r="R278" s="72">
        <v>31.536000000000001</v>
      </c>
    </row>
    <row r="279" spans="2:33" ht="13.8" x14ac:dyDescent="0.25">
      <c r="D279" s="26" t="str">
        <f>Commodities!$D$182</f>
        <v>RSDRESGEO</v>
      </c>
      <c r="E279" s="10"/>
      <c r="F279" s="84">
        <f>F278</f>
        <v>2020</v>
      </c>
      <c r="G279" s="10"/>
      <c r="H279" s="72" t="s">
        <v>848</v>
      </c>
      <c r="I279" s="72"/>
      <c r="J279" s="72" t="s">
        <v>848</v>
      </c>
      <c r="K279" s="72"/>
      <c r="L279" s="72">
        <v>0.2</v>
      </c>
      <c r="M279" s="72"/>
      <c r="N279" s="72" t="s">
        <v>848</v>
      </c>
      <c r="O279" s="72" t="s">
        <v>848</v>
      </c>
      <c r="P279" s="72" t="s">
        <v>848</v>
      </c>
      <c r="Q279" s="72" t="s">
        <v>848</v>
      </c>
      <c r="R279" s="72">
        <v>31.536000000000001</v>
      </c>
    </row>
    <row r="280" spans="2:33" ht="13.8" x14ac:dyDescent="0.25">
      <c r="B280" s="26" t="str">
        <f>Y177</f>
        <v>RSD_DTA4_SH_GEO_N_ST02</v>
      </c>
      <c r="C280" s="26" t="str">
        <f>Z177</f>
        <v>Detached A4 SpHeat &amp; SpCooling GSHP Standard (N)|</v>
      </c>
      <c r="D280" s="26" t="str">
        <f>Commodities!$D$341</f>
        <v>RSDELC</v>
      </c>
      <c r="E280" s="26" t="str">
        <f>E276</f>
        <v>RSD_DTA4_SH</v>
      </c>
      <c r="F280" s="84">
        <f>G280</f>
        <v>2018</v>
      </c>
      <c r="G280" s="57">
        <f>BASE_YEAR+1</f>
        <v>2018</v>
      </c>
      <c r="H280" s="72">
        <v>4</v>
      </c>
      <c r="I280" s="72"/>
      <c r="J280" s="72"/>
      <c r="K280" s="72"/>
      <c r="L280" s="72"/>
      <c r="M280" s="72"/>
      <c r="N280" s="72">
        <v>859.22430830039525</v>
      </c>
      <c r="O280" s="72">
        <v>1.7085427135678393</v>
      </c>
      <c r="P280" s="72">
        <v>0</v>
      </c>
      <c r="Q280" s="72">
        <v>15</v>
      </c>
      <c r="R280" s="72">
        <v>31.536000000000001</v>
      </c>
    </row>
    <row r="281" spans="2:33" ht="13.8" x14ac:dyDescent="0.25">
      <c r="D281" s="26" t="str">
        <f>Commodities!$D$182</f>
        <v>RSDRESGEO</v>
      </c>
      <c r="E281" s="26" t="str">
        <f>E277</f>
        <v>RSD_DTA4_SC</v>
      </c>
      <c r="F281" s="84">
        <f>F280</f>
        <v>2018</v>
      </c>
      <c r="G281" s="10"/>
      <c r="H281" s="72" t="s">
        <v>848</v>
      </c>
      <c r="I281" s="72"/>
      <c r="J281" s="72"/>
      <c r="K281" s="72"/>
      <c r="L281" s="72">
        <v>0.2</v>
      </c>
      <c r="M281" s="72"/>
      <c r="N281" s="72" t="s">
        <v>848</v>
      </c>
      <c r="O281" s="72" t="s">
        <v>848</v>
      </c>
      <c r="P281" s="72" t="s">
        <v>848</v>
      </c>
      <c r="Q281" s="72" t="s">
        <v>848</v>
      </c>
      <c r="R281" s="72">
        <v>31.536000000000001</v>
      </c>
    </row>
    <row r="282" spans="2:33" ht="13.8" x14ac:dyDescent="0.25">
      <c r="B282" s="26" t="str">
        <f>Y178</f>
        <v>RSD_DTA4_SH_GEO_N_IM01</v>
      </c>
      <c r="C282" s="26" t="str">
        <f>Z178</f>
        <v>Detached A4 SpHeat GSHP Improved (N)|</v>
      </c>
      <c r="D282" s="26" t="str">
        <f>Commodities!$D$341</f>
        <v>RSDELC</v>
      </c>
      <c r="E282" s="26" t="str">
        <f>E280</f>
        <v>RSD_DTA4_SH</v>
      </c>
      <c r="F282" s="84">
        <f>G282</f>
        <v>2025</v>
      </c>
      <c r="G282" s="57">
        <f>BASE_YEAR+8</f>
        <v>2025</v>
      </c>
      <c r="H282" s="72">
        <v>4.3</v>
      </c>
      <c r="I282" s="72"/>
      <c r="J282" s="72"/>
      <c r="K282" s="72"/>
      <c r="L282" s="72"/>
      <c r="M282" s="72"/>
      <c r="N282" s="72">
        <v>919.37000988142302</v>
      </c>
      <c r="O282" s="72">
        <v>1.5889447236180905</v>
      </c>
      <c r="P282" s="72">
        <v>0</v>
      </c>
      <c r="Q282" s="72">
        <v>15</v>
      </c>
      <c r="R282" s="72">
        <v>31.536000000000001</v>
      </c>
    </row>
    <row r="283" spans="2:33" ht="13.8" x14ac:dyDescent="0.25">
      <c r="D283" s="26" t="str">
        <f>Commodities!$D$182</f>
        <v>RSDRESGEO</v>
      </c>
      <c r="E283" s="10"/>
      <c r="F283" s="84">
        <f>F282</f>
        <v>2025</v>
      </c>
      <c r="G283" s="10"/>
      <c r="H283" s="72" t="s">
        <v>848</v>
      </c>
      <c r="I283" s="72"/>
      <c r="J283" s="72"/>
      <c r="K283" s="72"/>
      <c r="L283" s="72">
        <v>0.2</v>
      </c>
      <c r="M283" s="72"/>
      <c r="N283" s="72" t="s">
        <v>848</v>
      </c>
      <c r="O283" s="72" t="s">
        <v>848</v>
      </c>
      <c r="P283" s="72" t="s">
        <v>848</v>
      </c>
      <c r="Q283" s="72" t="s">
        <v>848</v>
      </c>
      <c r="R283" s="72">
        <v>31.536000000000001</v>
      </c>
    </row>
    <row r="284" spans="2:33" ht="13.8" x14ac:dyDescent="0.25">
      <c r="B284" s="26" t="str">
        <f>Y179</f>
        <v>RSD_DTA4_SH_GEO_N_IM02</v>
      </c>
      <c r="C284" s="26" t="str">
        <f>Z179</f>
        <v>Detached A4 SpHeat &amp; SpCooling GSHP Improved (N)|</v>
      </c>
      <c r="D284" s="26" t="str">
        <f>Commodities!$D$341</f>
        <v>RSDELC</v>
      </c>
      <c r="E284" s="26" t="str">
        <f>E280</f>
        <v>RSD_DTA4_SH</v>
      </c>
      <c r="F284" s="84">
        <f>G284</f>
        <v>2025</v>
      </c>
      <c r="G284" s="57">
        <f>BASE_YEAR+8</f>
        <v>2025</v>
      </c>
      <c r="H284" s="72">
        <v>4.5</v>
      </c>
      <c r="I284" s="72"/>
      <c r="J284" s="72"/>
      <c r="K284" s="72"/>
      <c r="L284" s="72"/>
      <c r="M284" s="72"/>
      <c r="N284" s="72">
        <v>983.72591057312263</v>
      </c>
      <c r="O284" s="72">
        <v>1.477718592964824</v>
      </c>
      <c r="P284" s="72">
        <v>0</v>
      </c>
      <c r="Q284" s="72">
        <v>15</v>
      </c>
      <c r="R284" s="72">
        <v>31.536000000000001</v>
      </c>
    </row>
    <row r="285" spans="2:33" ht="13.8" x14ac:dyDescent="0.25">
      <c r="B285" s="26"/>
      <c r="C285" s="26"/>
      <c r="D285" s="26" t="str">
        <f>Commodities!$D$182</f>
        <v>RSDRESGEO</v>
      </c>
      <c r="E285" s="26" t="str">
        <f>E281</f>
        <v>RSD_DTA4_SC</v>
      </c>
      <c r="F285" s="84">
        <f>F284</f>
        <v>2025</v>
      </c>
      <c r="G285" s="10"/>
      <c r="H285" s="72" t="s">
        <v>848</v>
      </c>
      <c r="I285" s="72"/>
      <c r="J285" s="72" t="s">
        <v>848</v>
      </c>
      <c r="K285" s="72"/>
      <c r="L285" s="72">
        <v>0.2</v>
      </c>
      <c r="M285" s="72"/>
      <c r="N285" s="72" t="s">
        <v>848</v>
      </c>
      <c r="O285" s="72" t="s">
        <v>848</v>
      </c>
      <c r="P285" s="72" t="s">
        <v>848</v>
      </c>
      <c r="Q285" s="72" t="s">
        <v>848</v>
      </c>
      <c r="R285" s="72">
        <v>31.536000000000001</v>
      </c>
    </row>
    <row r="286" spans="2:33" ht="13.8" x14ac:dyDescent="0.25">
      <c r="B286" s="26" t="str">
        <f>Y180</f>
        <v>RSD_DTA4_SH_DSL_N_AD02</v>
      </c>
      <c r="C286" s="26" t="str">
        <f>Z180</f>
        <v>Detached A4 SpHeat DieselOil Boiler Advanced (N)|</v>
      </c>
      <c r="D286" s="26" t="str">
        <f>D245</f>
        <v>RSDOILDSL</v>
      </c>
      <c r="E286" s="26" t="str">
        <f>E260</f>
        <v>RSD_DTA4_SH</v>
      </c>
      <c r="F286" s="84">
        <v>2020</v>
      </c>
      <c r="G286" s="57">
        <f>F286</f>
        <v>2020</v>
      </c>
      <c r="H286" s="72">
        <f>H263</f>
        <v>0.94500000000000006</v>
      </c>
      <c r="I286" s="72"/>
      <c r="J286" s="72"/>
      <c r="K286" s="72"/>
      <c r="L286" s="72"/>
      <c r="M286" s="72"/>
      <c r="N286" s="72">
        <f>N263</f>
        <v>234</v>
      </c>
      <c r="O286" s="72">
        <f>O263</f>
        <v>4</v>
      </c>
      <c r="P286" s="72">
        <f>P263</f>
        <v>0</v>
      </c>
      <c r="Q286" s="72">
        <f>Q263</f>
        <v>20</v>
      </c>
      <c r="R286" s="72">
        <f>R263</f>
        <v>31.536000000000001</v>
      </c>
    </row>
    <row r="287" spans="2:33" ht="13.8" x14ac:dyDescent="0.25">
      <c r="B287" s="28"/>
      <c r="C287" s="28"/>
      <c r="D287" s="26"/>
      <c r="E287" s="26" t="str">
        <f>E261</f>
        <v>RSD_DTA4_WH</v>
      </c>
      <c r="F287" s="84">
        <v>2020</v>
      </c>
      <c r="G287" s="10"/>
      <c r="H287" s="72"/>
      <c r="I287" s="72">
        <f>I264</f>
        <v>0.94500000000000006</v>
      </c>
      <c r="J287" s="72"/>
      <c r="K287" s="72"/>
      <c r="L287" s="72"/>
      <c r="M287" s="72"/>
      <c r="N287" s="72"/>
      <c r="O287" s="72"/>
      <c r="P287" s="72"/>
      <c r="Q287" s="72"/>
      <c r="R287" s="72"/>
    </row>
    <row r="288" spans="2:33" ht="13.8" x14ac:dyDescent="0.25">
      <c r="B288" s="26" t="str">
        <f>Y181</f>
        <v>RSD_DTA4_SH_LPG_N_AD02</v>
      </c>
      <c r="C288" s="26" t="str">
        <f>Z181</f>
        <v>Detached A4 SpHeat LPG Boiler Advanced (N)|</v>
      </c>
      <c r="D288" s="26" t="str">
        <f>D247</f>
        <v>RSDOILLPG</v>
      </c>
      <c r="E288" s="26" t="str">
        <f>E286</f>
        <v>RSD_DTA4_SH</v>
      </c>
      <c r="F288" s="84">
        <v>2020</v>
      </c>
      <c r="G288" s="57">
        <f>F288</f>
        <v>2020</v>
      </c>
      <c r="H288" s="72">
        <f>H286</f>
        <v>0.94500000000000006</v>
      </c>
      <c r="I288" s="72"/>
      <c r="J288" s="72"/>
      <c r="K288" s="72"/>
      <c r="L288" s="72"/>
      <c r="M288" s="72"/>
      <c r="N288" s="72">
        <f>N286</f>
        <v>234</v>
      </c>
      <c r="O288" s="72">
        <f>O286</f>
        <v>4</v>
      </c>
      <c r="P288" s="72">
        <f>P286</f>
        <v>0</v>
      </c>
      <c r="Q288" s="72">
        <f>Q286</f>
        <v>20</v>
      </c>
      <c r="R288" s="72">
        <f>R286</f>
        <v>31.536000000000001</v>
      </c>
    </row>
    <row r="289" spans="2:18" ht="13.8" x14ac:dyDescent="0.25">
      <c r="B289" s="28"/>
      <c r="C289" s="10"/>
      <c r="D289" s="26"/>
      <c r="E289" s="26" t="str">
        <f>E287</f>
        <v>RSD_DTA4_WH</v>
      </c>
      <c r="F289" s="84">
        <v>2020</v>
      </c>
      <c r="G289" s="10"/>
      <c r="H289" s="72"/>
      <c r="I289" s="72">
        <f>I287</f>
        <v>0.94500000000000006</v>
      </c>
      <c r="J289" s="72"/>
      <c r="K289" s="72"/>
      <c r="L289" s="72"/>
      <c r="M289" s="72"/>
      <c r="N289" s="72"/>
      <c r="O289" s="72"/>
      <c r="P289" s="72"/>
      <c r="Q289" s="72"/>
      <c r="R289" s="72"/>
    </row>
    <row r="290" spans="2:18" ht="13.8" x14ac:dyDescent="0.25">
      <c r="B290" s="28"/>
      <c r="C290" s="10"/>
      <c r="D290" s="26"/>
      <c r="E290" s="26"/>
      <c r="F290" s="57"/>
      <c r="G290" s="57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</row>
    <row r="291" spans="2:18" ht="13.8" x14ac:dyDescent="0.25">
      <c r="B291" s="10"/>
      <c r="C291" s="10"/>
      <c r="D291" s="10"/>
      <c r="E291" s="30"/>
      <c r="F291" s="31" t="s">
        <v>0</v>
      </c>
      <c r="G291" s="31"/>
      <c r="H291" s="74"/>
      <c r="I291" s="74"/>
      <c r="J291" s="74"/>
      <c r="K291" s="10"/>
      <c r="L291" s="10"/>
      <c r="M291" s="10"/>
      <c r="N291" s="10"/>
      <c r="O291" s="10"/>
      <c r="P291" s="10"/>
      <c r="Q291" s="10"/>
      <c r="R291" s="10"/>
    </row>
    <row r="292" spans="2:18" ht="13.8" x14ac:dyDescent="0.25">
      <c r="B292" s="33" t="s">
        <v>1</v>
      </c>
      <c r="C292" s="33" t="s">
        <v>794</v>
      </c>
      <c r="D292" s="33" t="s">
        <v>3</v>
      </c>
      <c r="E292" s="33" t="s">
        <v>4</v>
      </c>
      <c r="F292" s="34" t="s">
        <v>803</v>
      </c>
      <c r="G292" s="35" t="s">
        <v>14</v>
      </c>
      <c r="H292" s="36" t="s">
        <v>16</v>
      </c>
      <c r="I292" s="36" t="str">
        <f>"CEFF~"&amp;E302</f>
        <v>CEFF~RSD_APA4_WH</v>
      </c>
      <c r="J292" s="36" t="str">
        <f>"CEFF~"&amp;E312</f>
        <v>CEFF~RSD_APA4_SC</v>
      </c>
      <c r="K292" s="36" t="s">
        <v>789</v>
      </c>
      <c r="L292" s="36" t="str">
        <f>"SHARE~"&amp;Commodities!$D$182</f>
        <v>SHARE~RSDRESGEO</v>
      </c>
      <c r="M292" s="36" t="str">
        <f>"SHARE~UP~"&amp;E302</f>
        <v>SHARE~UP~RSD_APA4_WH</v>
      </c>
      <c r="N292" s="36" t="s">
        <v>36</v>
      </c>
      <c r="O292" s="36" t="s">
        <v>5</v>
      </c>
      <c r="P292" s="36" t="s">
        <v>34</v>
      </c>
      <c r="Q292" s="36" t="s">
        <v>780</v>
      </c>
      <c r="R292" s="36" t="s">
        <v>773</v>
      </c>
    </row>
    <row r="293" spans="2:18" ht="14.4" thickBot="1" x14ac:dyDescent="0.3">
      <c r="B293" s="41" t="s">
        <v>795</v>
      </c>
      <c r="C293" s="41" t="s">
        <v>28</v>
      </c>
      <c r="D293" s="41" t="s">
        <v>32</v>
      </c>
      <c r="E293" s="41" t="s">
        <v>33</v>
      </c>
      <c r="F293" s="42"/>
      <c r="G293" s="43" t="s">
        <v>35</v>
      </c>
      <c r="H293" s="41" t="s">
        <v>813</v>
      </c>
      <c r="I293" s="41" t="s">
        <v>812</v>
      </c>
      <c r="J293" s="41" t="s">
        <v>811</v>
      </c>
      <c r="K293" s="41" t="s">
        <v>805</v>
      </c>
      <c r="L293" s="41" t="s">
        <v>814</v>
      </c>
      <c r="M293" s="41" t="s">
        <v>810</v>
      </c>
      <c r="N293" s="43" t="s">
        <v>806</v>
      </c>
      <c r="O293" s="41" t="s">
        <v>37</v>
      </c>
      <c r="P293" s="41" t="s">
        <v>38</v>
      </c>
      <c r="Q293" s="41" t="s">
        <v>781</v>
      </c>
      <c r="R293" s="41" t="s">
        <v>807</v>
      </c>
    </row>
    <row r="294" spans="2:18" ht="13.8" x14ac:dyDescent="0.25">
      <c r="B294" s="47"/>
      <c r="C294" s="48"/>
      <c r="D294" s="48"/>
      <c r="E294" s="48" t="s">
        <v>799</v>
      </c>
      <c r="F294" s="49"/>
      <c r="G294" s="48"/>
      <c r="H294" s="48" t="s">
        <v>808</v>
      </c>
      <c r="I294" s="48" t="s">
        <v>808</v>
      </c>
      <c r="J294" s="48" t="s">
        <v>808</v>
      </c>
      <c r="K294" s="48" t="s">
        <v>808</v>
      </c>
      <c r="L294" s="48" t="s">
        <v>808</v>
      </c>
      <c r="M294" s="48" t="s">
        <v>808</v>
      </c>
      <c r="N294" s="48" t="str">
        <f>General!$D$14</f>
        <v>$/kW</v>
      </c>
      <c r="O294" s="48" t="str">
        <f>General!$D$14</f>
        <v>$/kW</v>
      </c>
      <c r="P294" s="48" t="str">
        <f>General!$D$15</f>
        <v>$/GJ</v>
      </c>
      <c r="Q294" s="48" t="str">
        <f>General!$D$21</f>
        <v>Years</v>
      </c>
      <c r="R294" s="48" t="str">
        <f>General!$E$16</f>
        <v>PJ/GW</v>
      </c>
    </row>
    <row r="295" spans="2:18" ht="14.4" x14ac:dyDescent="0.3">
      <c r="B295" s="26" t="str">
        <f t="shared" ref="B295:C301" si="63">Y182</f>
        <v>RSD_APA4_SH_BIC_N_ST</v>
      </c>
      <c r="C295" s="26" t="str">
        <f t="shared" si="63"/>
        <v>Apartment A4 SpHeat Coal Boiler Standard (N)|</v>
      </c>
      <c r="D295" s="26" t="str">
        <f>Commodities!$D$153</f>
        <v>RSDCOABIC</v>
      </c>
      <c r="E295" s="26" t="str">
        <f>Commodities!$AD$22</f>
        <v>RSD_APA4_SH</v>
      </c>
      <c r="F295" s="84">
        <f t="shared" ref="F295:F301" si="64">G295</f>
        <v>2100</v>
      </c>
      <c r="G295" s="135">
        <f>BASE_YEAR+83</f>
        <v>2100</v>
      </c>
      <c r="H295" s="72">
        <v>0.65</v>
      </c>
      <c r="I295" s="72"/>
      <c r="J295" s="72"/>
      <c r="K295" s="72"/>
      <c r="L295" s="72"/>
      <c r="M295" s="72"/>
      <c r="N295" s="72">
        <v>250</v>
      </c>
      <c r="O295" s="72">
        <f>N295*2%</f>
        <v>5</v>
      </c>
      <c r="P295" s="72">
        <v>0</v>
      </c>
      <c r="Q295" s="72">
        <v>15</v>
      </c>
      <c r="R295" s="72">
        <v>31.536000000000001</v>
      </c>
    </row>
    <row r="296" spans="2:18" ht="14.4" x14ac:dyDescent="0.3">
      <c r="B296" s="26" t="str">
        <f t="shared" si="63"/>
        <v>RSD_APA4_SH_LOG_N_ST01</v>
      </c>
      <c r="C296" s="26" t="str">
        <f t="shared" si="63"/>
        <v>Apartment A4 SpHeat Wood Stove Standard (N)|</v>
      </c>
      <c r="D296" s="26" t="str">
        <f>Commodities!$D$167</f>
        <v>RSDBIOLOG</v>
      </c>
      <c r="E296" s="26" t="str">
        <f>E295</f>
        <v>RSD_APA4_SH</v>
      </c>
      <c r="F296" s="84">
        <f t="shared" si="64"/>
        <v>2100</v>
      </c>
      <c r="G296" s="135">
        <f>BASE_YEAR+83</f>
        <v>2100</v>
      </c>
      <c r="H296" s="72">
        <v>0.5</v>
      </c>
      <c r="I296" s="72"/>
      <c r="J296" s="72"/>
      <c r="K296" s="72"/>
      <c r="L296" s="72"/>
      <c r="M296" s="72"/>
      <c r="N296" s="72">
        <v>30</v>
      </c>
      <c r="O296" s="72">
        <f>N296*2%</f>
        <v>0.6</v>
      </c>
      <c r="P296" s="72">
        <v>0</v>
      </c>
      <c r="Q296" s="72">
        <v>15</v>
      </c>
      <c r="R296" s="72">
        <v>31.536000000000001</v>
      </c>
    </row>
    <row r="297" spans="2:18" ht="13.8" x14ac:dyDescent="0.25">
      <c r="B297" s="26" t="str">
        <f t="shared" si="63"/>
        <v>RSD_APA4_SH_LOG_N_ST02</v>
      </c>
      <c r="C297" s="26" t="str">
        <f t="shared" si="63"/>
        <v>Apartment A4 SpHeat Wood Boiler Standard (N)|</v>
      </c>
      <c r="D297" s="26" t="str">
        <f>Commodities!$D$167</f>
        <v>RSDBIOLOG</v>
      </c>
      <c r="E297" s="26" t="str">
        <f>E296</f>
        <v>RSD_APA4_SH</v>
      </c>
      <c r="F297" s="84">
        <f t="shared" si="64"/>
        <v>2018</v>
      </c>
      <c r="G297" s="57">
        <f>BASE_YEAR+1</f>
        <v>2018</v>
      </c>
      <c r="H297" s="72">
        <v>0.65</v>
      </c>
      <c r="I297" s="72"/>
      <c r="J297" s="72"/>
      <c r="K297" s="72"/>
      <c r="L297" s="72"/>
      <c r="M297" s="72"/>
      <c r="N297" s="72">
        <v>285</v>
      </c>
      <c r="O297" s="72">
        <f t="shared" ref="O297:O299" si="65">N297*2%</f>
        <v>5.7</v>
      </c>
      <c r="P297" s="72">
        <v>0</v>
      </c>
      <c r="Q297" s="72">
        <v>20</v>
      </c>
      <c r="R297" s="72">
        <v>31.536000000000001</v>
      </c>
    </row>
    <row r="298" spans="2:18" ht="13.8" x14ac:dyDescent="0.25">
      <c r="B298" s="26" t="str">
        <f t="shared" si="63"/>
        <v>RSD_APA4_SH_PLT_N_ST01</v>
      </c>
      <c r="C298" s="26" t="str">
        <f t="shared" si="63"/>
        <v>Apartment A4 SpHeat Pellet Boiler Standard (N)|</v>
      </c>
      <c r="D298" s="26" t="str">
        <f>Commodities!$D$177</f>
        <v>RSDBIOPLT</v>
      </c>
      <c r="E298" s="26" t="str">
        <f>E297</f>
        <v>RSD_APA4_SH</v>
      </c>
      <c r="F298" s="84">
        <f t="shared" si="64"/>
        <v>2018</v>
      </c>
      <c r="G298" s="57">
        <f>BASE_YEAR+1</f>
        <v>2018</v>
      </c>
      <c r="H298" s="72">
        <v>0.65</v>
      </c>
      <c r="I298" s="72"/>
      <c r="J298" s="72"/>
      <c r="K298" s="72"/>
      <c r="L298" s="72"/>
      <c r="M298" s="72"/>
      <c r="N298" s="72">
        <v>210</v>
      </c>
      <c r="O298" s="72">
        <f t="shared" si="65"/>
        <v>4.2</v>
      </c>
      <c r="P298" s="72">
        <v>0</v>
      </c>
      <c r="Q298" s="72">
        <v>15</v>
      </c>
      <c r="R298" s="72">
        <v>31.536000000000001</v>
      </c>
    </row>
    <row r="299" spans="2:18" ht="13.8" x14ac:dyDescent="0.25">
      <c r="B299" s="26" t="str">
        <f t="shared" si="63"/>
        <v>RSD_APA4_SH_PLT_N_IM01</v>
      </c>
      <c r="C299" s="26" t="str">
        <f t="shared" si="63"/>
        <v>Apartment A4 SpHeat Pellet Boiler Improved (N)|</v>
      </c>
      <c r="D299" s="26" t="str">
        <f>Commodities!$D$177</f>
        <v>RSDBIOPLT</v>
      </c>
      <c r="E299" s="26" t="str">
        <f>E298</f>
        <v>RSD_APA4_SH</v>
      </c>
      <c r="F299" s="84">
        <f t="shared" si="64"/>
        <v>2020</v>
      </c>
      <c r="G299" s="57">
        <f>BASE_YEAR+3</f>
        <v>2020</v>
      </c>
      <c r="H299" s="72">
        <v>0.7</v>
      </c>
      <c r="I299" s="72"/>
      <c r="J299" s="72"/>
      <c r="K299" s="72"/>
      <c r="L299" s="72"/>
      <c r="M299" s="72"/>
      <c r="N299" s="72">
        <v>230</v>
      </c>
      <c r="O299" s="72">
        <f t="shared" si="65"/>
        <v>4.6000000000000005</v>
      </c>
      <c r="P299" s="72">
        <v>0</v>
      </c>
      <c r="Q299" s="72">
        <v>15</v>
      </c>
      <c r="R299" s="72">
        <v>31.536000000000001</v>
      </c>
    </row>
    <row r="300" spans="2:18" ht="13.8" x14ac:dyDescent="0.25">
      <c r="B300" s="26" t="str">
        <f t="shared" si="63"/>
        <v>RSD_APA4_SH_GAS_N_ST01</v>
      </c>
      <c r="C300" s="26" t="str">
        <f t="shared" si="63"/>
        <v>Apartment A4 SpHeat Gas Boiler Condensing (N)|</v>
      </c>
      <c r="D300" s="26" t="str">
        <f>Commodities!$D$166</f>
        <v>RSDGASNAT</v>
      </c>
      <c r="E300" s="26" t="str">
        <f t="shared" ref="E300:E301" si="66">E299</f>
        <v>RSD_APA4_SH</v>
      </c>
      <c r="F300" s="84">
        <f t="shared" si="64"/>
        <v>2018</v>
      </c>
      <c r="G300" s="57">
        <f>BASE_YEAR+1</f>
        <v>2018</v>
      </c>
      <c r="H300" s="72">
        <v>0.85</v>
      </c>
      <c r="I300" s="72"/>
      <c r="J300" s="72"/>
      <c r="K300" s="72"/>
      <c r="L300" s="72"/>
      <c r="M300" s="72"/>
      <c r="N300" s="72">
        <f>ROUNDUP(114.94542626643*1.5,0)</f>
        <v>173</v>
      </c>
      <c r="O300" s="72">
        <f>ROUNDDOWN(4.49036663406935,0)</f>
        <v>4</v>
      </c>
      <c r="P300" s="72">
        <v>0</v>
      </c>
      <c r="Q300" s="72">
        <v>20</v>
      </c>
      <c r="R300" s="72">
        <v>31.536000000000001</v>
      </c>
    </row>
    <row r="301" spans="2:18" ht="13.8" x14ac:dyDescent="0.25">
      <c r="B301" s="26" t="str">
        <f t="shared" si="63"/>
        <v>RSD_APA4_SH_GAS_N_ST02</v>
      </c>
      <c r="C301" s="26" t="str">
        <f t="shared" si="63"/>
        <v>Apartment A4 Combi Gas Boiler Condensing (N)|</v>
      </c>
      <c r="D301" s="26" t="str">
        <f>Commodities!$D$166</f>
        <v>RSDGASNAT</v>
      </c>
      <c r="E301" s="26" t="str">
        <f t="shared" si="66"/>
        <v>RSD_APA4_SH</v>
      </c>
      <c r="F301" s="84">
        <f t="shared" si="64"/>
        <v>2018</v>
      </c>
      <c r="G301" s="57">
        <f>BASE_YEAR+1</f>
        <v>2018</v>
      </c>
      <c r="H301" s="72">
        <v>0.85</v>
      </c>
      <c r="I301" s="72"/>
      <c r="J301" s="72"/>
      <c r="K301" s="72"/>
      <c r="L301" s="72"/>
      <c r="M301" s="72"/>
      <c r="N301" s="72">
        <f>ROUNDUP(114.94542626643*1.5,0)</f>
        <v>173</v>
      </c>
      <c r="O301" s="72">
        <f>ROUNDDOWN(4.49036663406935,0)</f>
        <v>4</v>
      </c>
      <c r="P301" s="72">
        <v>0</v>
      </c>
      <c r="Q301" s="72">
        <v>20</v>
      </c>
      <c r="R301" s="72">
        <v>31.536000000000001</v>
      </c>
    </row>
    <row r="302" spans="2:18" ht="13.8" x14ac:dyDescent="0.25">
      <c r="D302" s="10"/>
      <c r="E302" s="26" t="str">
        <f>Commodities!$AD$30</f>
        <v>RSD_APA4_WH</v>
      </c>
      <c r="F302" s="84">
        <f>F301</f>
        <v>2018</v>
      </c>
      <c r="G302" s="10"/>
      <c r="H302" s="72" t="s">
        <v>848</v>
      </c>
      <c r="I302" s="72">
        <v>0.9</v>
      </c>
      <c r="J302" s="72" t="s">
        <v>848</v>
      </c>
      <c r="K302" s="72"/>
      <c r="L302" s="72"/>
      <c r="M302" s="72">
        <v>0.2</v>
      </c>
      <c r="N302" s="72" t="s">
        <v>848</v>
      </c>
      <c r="O302" s="72" t="s">
        <v>848</v>
      </c>
      <c r="P302" s="72" t="s">
        <v>848</v>
      </c>
      <c r="Q302" s="72" t="s">
        <v>848</v>
      </c>
      <c r="R302" s="72"/>
    </row>
    <row r="303" spans="2:18" ht="13.8" x14ac:dyDescent="0.25">
      <c r="B303" s="26" t="str">
        <f>Y189</f>
        <v>RSD_APA4_SH_GAS_N_AD01</v>
      </c>
      <c r="C303" s="26" t="str">
        <f>Z189</f>
        <v>Apartment A4 SpHeat Gas Boiler Condensing Improved (N)|</v>
      </c>
      <c r="D303" s="26" t="str">
        <f>Commodities!$D$166</f>
        <v>RSDGASNAT</v>
      </c>
      <c r="E303" s="26" t="str">
        <f>E301</f>
        <v>RSD_APA4_SH</v>
      </c>
      <c r="F303" s="84">
        <f t="shared" ref="F303:F304" si="67">G303</f>
        <v>2025</v>
      </c>
      <c r="G303" s="57">
        <f>BASE_YEAR+8</f>
        <v>2025</v>
      </c>
      <c r="H303" s="72">
        <v>0.94500000000000006</v>
      </c>
      <c r="I303" s="72"/>
      <c r="J303" s="72"/>
      <c r="K303" s="72"/>
      <c r="L303" s="72"/>
      <c r="M303" s="72"/>
      <c r="N303" s="72">
        <f>ROUNDUP(122.99160610508*1.9,0)</f>
        <v>234</v>
      </c>
      <c r="O303" s="72">
        <f>ROUNDDOWN(4.17604096968449,0)</f>
        <v>4</v>
      </c>
      <c r="P303" s="72">
        <v>0</v>
      </c>
      <c r="Q303" s="72">
        <v>20</v>
      </c>
      <c r="R303" s="72">
        <v>31.536000000000001</v>
      </c>
    </row>
    <row r="304" spans="2:18" ht="13.8" x14ac:dyDescent="0.25">
      <c r="B304" s="26" t="str">
        <f>Y190</f>
        <v>RSD_APA4_SH_GAS_N_AD02</v>
      </c>
      <c r="C304" s="26" t="str">
        <f>Z190</f>
        <v>Apartment A4 Combi Gas Boiler Condensing (N)|</v>
      </c>
      <c r="D304" s="26" t="str">
        <f>Commodities!$D$166</f>
        <v>RSDGASNAT</v>
      </c>
      <c r="E304" s="26" t="str">
        <f>E303</f>
        <v>RSD_APA4_SH</v>
      </c>
      <c r="F304" s="84">
        <f t="shared" si="67"/>
        <v>2030</v>
      </c>
      <c r="G304" s="57">
        <f>BASE_YEAR+13</f>
        <v>2030</v>
      </c>
      <c r="H304" s="72">
        <v>0.94500000000000006</v>
      </c>
      <c r="I304" s="72"/>
      <c r="J304" s="72"/>
      <c r="K304" s="72"/>
      <c r="L304" s="72"/>
      <c r="M304" s="72"/>
      <c r="N304" s="72">
        <f>ROUNDUP(122.99160610508*1.9,0)</f>
        <v>234</v>
      </c>
      <c r="O304" s="72">
        <f>ROUNDDOWN(4.17604096968449,0)</f>
        <v>4</v>
      </c>
      <c r="P304" s="72">
        <v>0</v>
      </c>
      <c r="Q304" s="72">
        <v>20</v>
      </c>
      <c r="R304" s="72">
        <v>31.536000000000001</v>
      </c>
    </row>
    <row r="305" spans="2:18" ht="13.8" x14ac:dyDescent="0.25">
      <c r="D305" s="10"/>
      <c r="E305" s="26" t="str">
        <f>E302</f>
        <v>RSD_APA4_WH</v>
      </c>
      <c r="F305" s="84">
        <f>F304</f>
        <v>2030</v>
      </c>
      <c r="G305" s="10"/>
      <c r="H305" s="72" t="s">
        <v>848</v>
      </c>
      <c r="I305" s="72">
        <v>0.94500000000000006</v>
      </c>
      <c r="J305" s="72"/>
      <c r="K305" s="72"/>
      <c r="L305" s="72"/>
      <c r="M305" s="72">
        <v>0.2</v>
      </c>
      <c r="N305" s="72" t="s">
        <v>848</v>
      </c>
      <c r="O305" s="72" t="s">
        <v>848</v>
      </c>
      <c r="P305" s="72" t="s">
        <v>848</v>
      </c>
      <c r="Q305" s="72" t="s">
        <v>848</v>
      </c>
      <c r="R305" s="72"/>
    </row>
    <row r="306" spans="2:18" ht="13.8" x14ac:dyDescent="0.25">
      <c r="B306" s="26" t="str">
        <f t="shared" ref="B306:C311" si="68">Y191</f>
        <v>RSD_APA4_SH_LTH_N_ST01</v>
      </c>
      <c r="C306" s="26" t="str">
        <f t="shared" si="68"/>
        <v>Apartment A4 SpHeat Dist. Heat Standard (N)|</v>
      </c>
      <c r="D306" s="26" t="str">
        <f>Commodities!$D$353</f>
        <v>RSDLTHA4</v>
      </c>
      <c r="E306" s="26" t="str">
        <f>E304</f>
        <v>RSD_APA4_SH</v>
      </c>
      <c r="F306" s="84">
        <f t="shared" ref="F306:F308" si="69">G306</f>
        <v>2018</v>
      </c>
      <c r="G306" s="57">
        <f>BASE_YEAR+1</f>
        <v>2018</v>
      </c>
      <c r="H306" s="72">
        <v>0.9</v>
      </c>
      <c r="I306" s="72"/>
      <c r="J306" s="72"/>
      <c r="K306" s="72"/>
      <c r="L306" s="72"/>
      <c r="M306" s="72"/>
      <c r="N306" s="72">
        <f>ROUNDUP(90.3,0)</f>
        <v>91</v>
      </c>
      <c r="O306" s="72">
        <f>ROUNDUP(9.72,0)</f>
        <v>10</v>
      </c>
      <c r="P306" s="72">
        <v>0</v>
      </c>
      <c r="Q306" s="72">
        <v>20</v>
      </c>
      <c r="R306" s="72">
        <v>31.536000000000001</v>
      </c>
    </row>
    <row r="307" spans="2:18" ht="13.8" x14ac:dyDescent="0.25">
      <c r="B307" s="26" t="str">
        <f t="shared" si="68"/>
        <v>RSD_APA4_SH_LTH_N_IM01</v>
      </c>
      <c r="C307" s="26" t="str">
        <f t="shared" si="68"/>
        <v>Apartment A4 SpHeat Dist. Heat Improved (N)|</v>
      </c>
      <c r="D307" s="26" t="str">
        <f>D306</f>
        <v>RSDLTHA4</v>
      </c>
      <c r="E307" s="26" t="str">
        <f>E306</f>
        <v>RSD_APA4_SH</v>
      </c>
      <c r="F307" s="84">
        <f t="shared" si="69"/>
        <v>2025</v>
      </c>
      <c r="G307" s="57">
        <f>BASE_YEAR+8</f>
        <v>2025</v>
      </c>
      <c r="H307" s="72">
        <f>H306*1.03</f>
        <v>0.92700000000000005</v>
      </c>
      <c r="I307" s="72"/>
      <c r="J307" s="72"/>
      <c r="K307" s="72"/>
      <c r="L307" s="72"/>
      <c r="M307" s="72"/>
      <c r="N307" s="72">
        <f>ROUNDUP(94.815*1.1,0)</f>
        <v>105</v>
      </c>
      <c r="O307" s="72">
        <f>ROUNDUP(9.234,0)</f>
        <v>10</v>
      </c>
      <c r="P307" s="72">
        <v>0</v>
      </c>
      <c r="Q307" s="72">
        <v>20</v>
      </c>
      <c r="R307" s="72">
        <v>31.536000000000001</v>
      </c>
    </row>
    <row r="308" spans="2:18" ht="13.8" x14ac:dyDescent="0.25">
      <c r="B308" s="26" t="str">
        <f t="shared" si="68"/>
        <v>RSD_APA4_SH_LTH_N_AD01</v>
      </c>
      <c r="C308" s="26" t="str">
        <f t="shared" si="68"/>
        <v>Apartment A4 SpHeat Dist. Heat Advanced (N)|</v>
      </c>
      <c r="D308" s="26" t="str">
        <f>D307</f>
        <v>RSDLTHA4</v>
      </c>
      <c r="E308" s="26" t="str">
        <f>E307</f>
        <v>RSD_APA4_SH</v>
      </c>
      <c r="F308" s="84">
        <f t="shared" si="69"/>
        <v>2035</v>
      </c>
      <c r="G308" s="57">
        <f>BASE_YEAR+18</f>
        <v>2035</v>
      </c>
      <c r="H308" s="72">
        <f>H306*1.05</f>
        <v>0.94500000000000006</v>
      </c>
      <c r="I308" s="72"/>
      <c r="J308" s="72"/>
      <c r="K308" s="72"/>
      <c r="L308" s="72"/>
      <c r="M308" s="72"/>
      <c r="N308" s="72">
        <f>ROUNDUP(99.55575*1.2,0)</f>
        <v>120</v>
      </c>
      <c r="O308" s="72">
        <f>ROUNDUP(8.7723,0)</f>
        <v>9</v>
      </c>
      <c r="P308" s="72">
        <v>0</v>
      </c>
      <c r="Q308" s="72">
        <v>20</v>
      </c>
      <c r="R308" s="72">
        <v>31.536000000000001</v>
      </c>
    </row>
    <row r="309" spans="2:18" ht="14.4" x14ac:dyDescent="0.3">
      <c r="B309" s="26" t="str">
        <f t="shared" si="68"/>
        <v>RSD_APA4_SH_ELC_N_ST01</v>
      </c>
      <c r="C309" s="26" t="str">
        <f t="shared" si="68"/>
        <v>Apartment A4 SpHeat Electric Heater Standard (N)|</v>
      </c>
      <c r="D309" s="26" t="str">
        <f>Commodities!$D$341</f>
        <v>RSDELC</v>
      </c>
      <c r="E309" s="26" t="str">
        <f t="shared" ref="E309:E311" si="70">E308</f>
        <v>RSD_APA4_SH</v>
      </c>
      <c r="F309" s="84">
        <f>G309</f>
        <v>2100</v>
      </c>
      <c r="G309" s="135">
        <v>2100</v>
      </c>
      <c r="H309" s="72">
        <v>0.95</v>
      </c>
      <c r="I309" s="72"/>
      <c r="J309" s="72"/>
      <c r="K309" s="72"/>
      <c r="L309" s="72"/>
      <c r="M309" s="72"/>
      <c r="N309" s="72">
        <f>ROUNDUP(320.85*0.35,0)</f>
        <v>113</v>
      </c>
      <c r="O309" s="72">
        <f>N309*0.01</f>
        <v>1.1300000000000001</v>
      </c>
      <c r="P309" s="72">
        <v>0</v>
      </c>
      <c r="Q309" s="72">
        <v>15</v>
      </c>
      <c r="R309" s="72">
        <f>31.536/5</f>
        <v>6.3071999999999999</v>
      </c>
    </row>
    <row r="310" spans="2:18" ht="13.8" x14ac:dyDescent="0.25">
      <c r="B310" s="26" t="str">
        <f t="shared" si="68"/>
        <v>RSD_APA4_SH_ELC_N_ST02</v>
      </c>
      <c r="C310" s="26" t="str">
        <f t="shared" si="68"/>
        <v>Apartment A4 SpHeat ASHP Standard (N)|</v>
      </c>
      <c r="D310" s="26" t="str">
        <f>Commodities!$D$341</f>
        <v>RSDELC</v>
      </c>
      <c r="E310" s="26" t="str">
        <f t="shared" si="70"/>
        <v>RSD_APA4_SH</v>
      </c>
      <c r="F310" s="84">
        <f>G310</f>
        <v>2018</v>
      </c>
      <c r="G310" s="57">
        <f>BASE_YEAR+1</f>
        <v>2018</v>
      </c>
      <c r="H310" s="72">
        <v>2</v>
      </c>
      <c r="I310" s="72"/>
      <c r="J310" s="72"/>
      <c r="K310" s="72"/>
      <c r="L310" s="72"/>
      <c r="M310" s="72"/>
      <c r="N310" s="72">
        <f>ROUNDUP(612.593487394958*0.8,0)</f>
        <v>491</v>
      </c>
      <c r="O310" s="72">
        <v>1</v>
      </c>
      <c r="P310" s="72">
        <v>0</v>
      </c>
      <c r="Q310" s="72">
        <v>15</v>
      </c>
      <c r="R310" s="72">
        <v>31.536000000000001</v>
      </c>
    </row>
    <row r="311" spans="2:18" ht="13.8" x14ac:dyDescent="0.25">
      <c r="B311" s="26" t="str">
        <f t="shared" si="68"/>
        <v>RSD_APA4_SH_ELC_N_ST03</v>
      </c>
      <c r="C311" s="26" t="str">
        <f t="shared" si="68"/>
        <v>Apartment A4 SpHeat &amp; SpCooling ASHP Standard (N)|</v>
      </c>
      <c r="D311" s="26" t="str">
        <f>Commodities!$D$341</f>
        <v>RSDELC</v>
      </c>
      <c r="E311" s="26" t="str">
        <f t="shared" si="70"/>
        <v>RSD_APA4_SH</v>
      </c>
      <c r="F311" s="84">
        <f>G311</f>
        <v>2018</v>
      </c>
      <c r="G311" s="57">
        <f>BASE_YEAR+1</f>
        <v>2018</v>
      </c>
      <c r="H311" s="72">
        <v>2</v>
      </c>
      <c r="I311" s="72"/>
      <c r="J311" s="72"/>
      <c r="K311" s="72"/>
      <c r="L311" s="72"/>
      <c r="M311" s="72"/>
      <c r="N311" s="72">
        <f>ROUNDUP(612.593487394958*0.8,0)</f>
        <v>491</v>
      </c>
      <c r="O311" s="72">
        <v>1</v>
      </c>
      <c r="P311" s="72">
        <v>0</v>
      </c>
      <c r="Q311" s="72">
        <v>15</v>
      </c>
      <c r="R311" s="72">
        <v>31.536000000000001</v>
      </c>
    </row>
    <row r="312" spans="2:18" ht="13.8" x14ac:dyDescent="0.25">
      <c r="D312" s="10"/>
      <c r="E312" s="26" t="str">
        <f>Commodities!$AD$38</f>
        <v>RSD_APA4_SC</v>
      </c>
      <c r="F312" s="84">
        <f>F311</f>
        <v>2018</v>
      </c>
      <c r="G312" s="10"/>
      <c r="H312" s="72" t="s">
        <v>848</v>
      </c>
      <c r="I312" s="72"/>
      <c r="J312" s="72">
        <f>H311*1.5</f>
        <v>3</v>
      </c>
      <c r="K312" s="72"/>
      <c r="L312" s="72"/>
      <c r="M312" s="72"/>
      <c r="N312" s="72" t="s">
        <v>848</v>
      </c>
      <c r="O312" s="72" t="s">
        <v>848</v>
      </c>
      <c r="P312" s="72" t="s">
        <v>848</v>
      </c>
      <c r="Q312" s="72" t="s">
        <v>848</v>
      </c>
      <c r="R312" s="72"/>
    </row>
    <row r="313" spans="2:18" ht="13.8" x14ac:dyDescent="0.25">
      <c r="B313" s="26" t="str">
        <f>Y197</f>
        <v>RSD_APA4_SH_ELC_N_IM01</v>
      </c>
      <c r="C313" s="26" t="str">
        <f>Z197</f>
        <v>Apartment A4 SpHeat ASHP Improved (N)|</v>
      </c>
      <c r="D313" s="26" t="str">
        <f>Commodities!$D$341</f>
        <v>RSDELC</v>
      </c>
      <c r="E313" s="26" t="str">
        <f>E311</f>
        <v>RSD_APA4_SH</v>
      </c>
      <c r="F313" s="84">
        <f>G313</f>
        <v>2025</v>
      </c>
      <c r="G313" s="57">
        <f>BASE_YEAR+8</f>
        <v>2025</v>
      </c>
      <c r="H313" s="72">
        <v>2.5</v>
      </c>
      <c r="I313" s="72"/>
      <c r="J313" s="72"/>
      <c r="K313" s="72"/>
      <c r="L313" s="72"/>
      <c r="M313" s="72"/>
      <c r="N313" s="72">
        <f>ROUNDUP(655.475031512605*0.9,0)</f>
        <v>590</v>
      </c>
      <c r="O313" s="72">
        <v>1</v>
      </c>
      <c r="P313" s="72">
        <v>0</v>
      </c>
      <c r="Q313" s="72">
        <v>15</v>
      </c>
      <c r="R313" s="72">
        <v>31.536000000000001</v>
      </c>
    </row>
    <row r="314" spans="2:18" ht="13.8" x14ac:dyDescent="0.25">
      <c r="B314" s="26" t="str">
        <f>Y198</f>
        <v>RSD_APA4_SH_ELC_N_IM02</v>
      </c>
      <c r="C314" s="26" t="str">
        <f>Z198</f>
        <v>Apartment A4 SpHeat &amp; SpCooling  ASHP Improved (N)|</v>
      </c>
      <c r="D314" s="26" t="str">
        <f>Commodities!$D$341</f>
        <v>RSDELC</v>
      </c>
      <c r="E314" s="26" t="str">
        <f>E313</f>
        <v>RSD_APA4_SH</v>
      </c>
      <c r="F314" s="84">
        <f>G314</f>
        <v>2025</v>
      </c>
      <c r="G314" s="57">
        <f>BASE_YEAR+8</f>
        <v>2025</v>
      </c>
      <c r="H314" s="72">
        <v>2.5</v>
      </c>
      <c r="I314" s="72"/>
      <c r="J314" s="72"/>
      <c r="K314" s="72"/>
      <c r="L314" s="72"/>
      <c r="M314" s="72"/>
      <c r="N314" s="72">
        <f>ROUNDUP(655.475031512605*0.9,0)</f>
        <v>590</v>
      </c>
      <c r="O314" s="72">
        <v>1</v>
      </c>
      <c r="P314" s="72">
        <v>0</v>
      </c>
      <c r="Q314" s="72">
        <v>15</v>
      </c>
      <c r="R314" s="72">
        <v>31.536000000000001</v>
      </c>
    </row>
    <row r="315" spans="2:18" ht="13.8" x14ac:dyDescent="0.25">
      <c r="D315" s="10"/>
      <c r="E315" s="26" t="str">
        <f>E312</f>
        <v>RSD_APA4_SC</v>
      </c>
      <c r="F315" s="84">
        <f>F314</f>
        <v>2025</v>
      </c>
      <c r="G315" s="10"/>
      <c r="H315" s="72" t="s">
        <v>848</v>
      </c>
      <c r="I315" s="72"/>
      <c r="J315" s="72">
        <f>H314*1.5</f>
        <v>3.75</v>
      </c>
      <c r="K315" s="72"/>
      <c r="L315" s="72"/>
      <c r="M315" s="72"/>
      <c r="N315" s="72" t="s">
        <v>848</v>
      </c>
      <c r="O315" s="72" t="s">
        <v>848</v>
      </c>
      <c r="P315" s="72" t="s">
        <v>848</v>
      </c>
      <c r="Q315" s="72" t="s">
        <v>848</v>
      </c>
      <c r="R315" s="72"/>
    </row>
    <row r="316" spans="2:18" ht="13.8" x14ac:dyDescent="0.25">
      <c r="B316" s="26" t="str">
        <f>Y199</f>
        <v>RSD_APA4_SH_ELC_N_AD01</v>
      </c>
      <c r="C316" s="26" t="str">
        <f>Z199</f>
        <v>Apartment A4 SpHeat ASHP Advanced (N)|</v>
      </c>
      <c r="D316" s="26" t="str">
        <f>Commodities!$D$341</f>
        <v>RSDELC</v>
      </c>
      <c r="E316" s="26" t="str">
        <f>E314</f>
        <v>RSD_APA4_SH</v>
      </c>
      <c r="F316" s="84">
        <f>G316</f>
        <v>2035</v>
      </c>
      <c r="G316" s="57">
        <f>BASE_YEAR+18</f>
        <v>2035</v>
      </c>
      <c r="H316" s="72">
        <v>3</v>
      </c>
      <c r="I316" s="72"/>
      <c r="J316" s="72"/>
      <c r="K316" s="72"/>
      <c r="L316" s="72"/>
      <c r="M316" s="72"/>
      <c r="N316" s="72">
        <f>ROUNDUP(688.248783088235,0)</f>
        <v>689</v>
      </c>
      <c r="O316" s="72">
        <v>1</v>
      </c>
      <c r="P316" s="72">
        <v>0</v>
      </c>
      <c r="Q316" s="72">
        <v>15</v>
      </c>
      <c r="R316" s="72">
        <v>31.536000000000001</v>
      </c>
    </row>
    <row r="317" spans="2:18" ht="13.8" x14ac:dyDescent="0.25">
      <c r="B317" s="26" t="str">
        <f>Y200</f>
        <v>RSD_APA4_SH_ELC_N_AD02</v>
      </c>
      <c r="C317" s="26" t="str">
        <f>Z200</f>
        <v>Apartment A4 SpHeat &amp; SpCooling ASHP Advanced (N)|</v>
      </c>
      <c r="D317" s="26" t="str">
        <f>Commodities!$D$341</f>
        <v>RSDELC</v>
      </c>
      <c r="E317" s="26" t="str">
        <f>E316</f>
        <v>RSD_APA4_SH</v>
      </c>
      <c r="F317" s="84">
        <f>G317</f>
        <v>2035</v>
      </c>
      <c r="G317" s="57">
        <f>BASE_YEAR+18</f>
        <v>2035</v>
      </c>
      <c r="H317" s="72">
        <v>3</v>
      </c>
      <c r="I317" s="72"/>
      <c r="J317" s="72"/>
      <c r="K317" s="72"/>
      <c r="L317" s="72"/>
      <c r="M317" s="72"/>
      <c r="N317" s="72">
        <f>ROUNDUP(688.248783088235,0)</f>
        <v>689</v>
      </c>
      <c r="O317" s="72">
        <v>1</v>
      </c>
      <c r="P317" s="72">
        <v>0</v>
      </c>
      <c r="Q317" s="72">
        <v>15</v>
      </c>
      <c r="R317" s="72">
        <v>31.536000000000001</v>
      </c>
    </row>
    <row r="318" spans="2:18" ht="13.8" x14ac:dyDescent="0.25">
      <c r="D318" s="10"/>
      <c r="E318" s="26" t="str">
        <f>E315</f>
        <v>RSD_APA4_SC</v>
      </c>
      <c r="F318" s="84">
        <f>F317</f>
        <v>2035</v>
      </c>
      <c r="G318" s="10"/>
      <c r="H318" s="72" t="s">
        <v>848</v>
      </c>
      <c r="I318" s="72"/>
      <c r="J318" s="72">
        <f>H317*1.5</f>
        <v>4.5</v>
      </c>
      <c r="K318" s="72"/>
      <c r="L318" s="72"/>
      <c r="M318" s="72"/>
      <c r="N318" s="72" t="s">
        <v>848</v>
      </c>
      <c r="O318" s="72" t="s">
        <v>848</v>
      </c>
      <c r="P318" s="72" t="s">
        <v>848</v>
      </c>
      <c r="Q318" s="72" t="s">
        <v>848</v>
      </c>
      <c r="R318" s="72"/>
    </row>
    <row r="319" spans="2:18" ht="13.8" x14ac:dyDescent="0.25">
      <c r="B319" s="26" t="str">
        <f>Y201</f>
        <v>RSD_APA4_SH_GEO_N_ST01</v>
      </c>
      <c r="C319" s="26" t="str">
        <f>Z201</f>
        <v>Apartment A4 SpHeat GSHP Standard (N)|</v>
      </c>
      <c r="D319" s="26" t="str">
        <f>Commodities!$D$341</f>
        <v>RSDELC</v>
      </c>
      <c r="E319" s="26" t="str">
        <f>E317</f>
        <v>RSD_APA4_SH</v>
      </c>
      <c r="F319" s="84">
        <f>G319</f>
        <v>2020</v>
      </c>
      <c r="G319" s="57">
        <f>BASE_YEAR+3</f>
        <v>2020</v>
      </c>
      <c r="H319" s="72">
        <v>4</v>
      </c>
      <c r="I319" s="72"/>
      <c r="J319" s="72"/>
      <c r="K319" s="72"/>
      <c r="L319" s="72"/>
      <c r="M319" s="72"/>
      <c r="N319" s="72">
        <v>859.22430830039525</v>
      </c>
      <c r="O319" s="72">
        <v>1.7085427135678393</v>
      </c>
      <c r="P319" s="72">
        <v>0</v>
      </c>
      <c r="Q319" s="72">
        <v>15</v>
      </c>
      <c r="R319" s="72">
        <v>31.536000000000001</v>
      </c>
    </row>
    <row r="320" spans="2:18" ht="13.8" x14ac:dyDescent="0.25">
      <c r="D320" s="26" t="str">
        <f>Commodities!$D$182</f>
        <v>RSDRESGEO</v>
      </c>
      <c r="E320" s="10"/>
      <c r="F320" s="84">
        <f>F319</f>
        <v>2020</v>
      </c>
      <c r="G320" s="10"/>
      <c r="H320" s="72" t="s">
        <v>848</v>
      </c>
      <c r="I320" s="72"/>
      <c r="J320" s="72" t="s">
        <v>848</v>
      </c>
      <c r="K320" s="72"/>
      <c r="L320" s="72">
        <v>0.2</v>
      </c>
      <c r="M320" s="72"/>
      <c r="N320" s="72" t="s">
        <v>848</v>
      </c>
      <c r="O320" s="72" t="s">
        <v>848</v>
      </c>
      <c r="P320" s="72" t="s">
        <v>848</v>
      </c>
      <c r="Q320" s="72" t="s">
        <v>848</v>
      </c>
      <c r="R320" s="72">
        <v>31.536000000000001</v>
      </c>
    </row>
    <row r="321" spans="2:18" ht="13.8" x14ac:dyDescent="0.25">
      <c r="B321" s="26" t="str">
        <f>Y202</f>
        <v>RSD_APA4_SH_GEO_N_ST02</v>
      </c>
      <c r="C321" s="26" t="str">
        <f>Z202</f>
        <v>Apartment A4 SpHeat &amp; SpCooling GSHP Standard (N)|</v>
      </c>
      <c r="D321" s="26" t="str">
        <f>Commodities!$D$341</f>
        <v>RSDELC</v>
      </c>
      <c r="E321" s="26" t="str">
        <f>E317</f>
        <v>RSD_APA4_SH</v>
      </c>
      <c r="F321" s="84">
        <f>G321</f>
        <v>2018</v>
      </c>
      <c r="G321" s="57">
        <f>BASE_YEAR+1</f>
        <v>2018</v>
      </c>
      <c r="H321" s="72">
        <v>4</v>
      </c>
      <c r="I321" s="72"/>
      <c r="J321" s="72"/>
      <c r="K321" s="72"/>
      <c r="L321" s="72"/>
      <c r="M321" s="72"/>
      <c r="N321" s="72">
        <v>859.22430830039525</v>
      </c>
      <c r="O321" s="72">
        <v>1.7085427135678393</v>
      </c>
      <c r="P321" s="72">
        <v>0</v>
      </c>
      <c r="Q321" s="72">
        <v>15</v>
      </c>
      <c r="R321" s="72">
        <v>31.536000000000001</v>
      </c>
    </row>
    <row r="322" spans="2:18" ht="13.8" x14ac:dyDescent="0.25">
      <c r="D322" s="26" t="str">
        <f>Commodities!$D$182</f>
        <v>RSDRESGEO</v>
      </c>
      <c r="E322" s="26" t="str">
        <f>E318</f>
        <v>RSD_APA4_SC</v>
      </c>
      <c r="F322" s="84">
        <f>F321</f>
        <v>2018</v>
      </c>
      <c r="G322" s="10"/>
      <c r="H322" s="72" t="s">
        <v>848</v>
      </c>
      <c r="I322" s="72"/>
      <c r="J322" s="72"/>
      <c r="K322" s="72"/>
      <c r="L322" s="72">
        <v>0.2</v>
      </c>
      <c r="M322" s="72"/>
      <c r="N322" s="72" t="s">
        <v>848</v>
      </c>
      <c r="O322" s="72" t="s">
        <v>848</v>
      </c>
      <c r="P322" s="72" t="s">
        <v>848</v>
      </c>
      <c r="Q322" s="72" t="s">
        <v>848</v>
      </c>
      <c r="R322" s="72">
        <v>31.536000000000001</v>
      </c>
    </row>
    <row r="323" spans="2:18" ht="13.8" x14ac:dyDescent="0.25">
      <c r="B323" s="26" t="str">
        <f>Y203</f>
        <v>RSD_APA4_SH_GEO_N_IM01</v>
      </c>
      <c r="C323" s="26" t="str">
        <f>Z203</f>
        <v>Apartment A4 SpHeat GSHP Improved (N)|</v>
      </c>
      <c r="D323" s="26" t="str">
        <f>Commodities!$D$341</f>
        <v>RSDELC</v>
      </c>
      <c r="E323" s="26" t="str">
        <f>E321</f>
        <v>RSD_APA4_SH</v>
      </c>
      <c r="F323" s="84">
        <f>G323</f>
        <v>2025</v>
      </c>
      <c r="G323" s="57">
        <f>BASE_YEAR+8</f>
        <v>2025</v>
      </c>
      <c r="H323" s="72">
        <v>4.3</v>
      </c>
      <c r="I323" s="72"/>
      <c r="J323" s="72"/>
      <c r="K323" s="72"/>
      <c r="L323" s="72"/>
      <c r="M323" s="72"/>
      <c r="N323" s="72">
        <v>919.37000988142302</v>
      </c>
      <c r="O323" s="72">
        <v>1.5889447236180905</v>
      </c>
      <c r="P323" s="72">
        <v>0</v>
      </c>
      <c r="Q323" s="72">
        <v>15</v>
      </c>
      <c r="R323" s="72">
        <v>31.536000000000001</v>
      </c>
    </row>
    <row r="324" spans="2:18" ht="13.8" x14ac:dyDescent="0.25">
      <c r="D324" s="26" t="str">
        <f>Commodities!$D$182</f>
        <v>RSDRESGEO</v>
      </c>
      <c r="E324" s="10"/>
      <c r="F324" s="84">
        <f>F323</f>
        <v>2025</v>
      </c>
      <c r="G324" s="10"/>
      <c r="H324" s="72" t="s">
        <v>848</v>
      </c>
      <c r="I324" s="72"/>
      <c r="J324" s="72"/>
      <c r="K324" s="72"/>
      <c r="L324" s="72">
        <v>0.2</v>
      </c>
      <c r="M324" s="72"/>
      <c r="N324" s="72" t="s">
        <v>848</v>
      </c>
      <c r="O324" s="72" t="s">
        <v>848</v>
      </c>
      <c r="P324" s="72" t="s">
        <v>848</v>
      </c>
      <c r="Q324" s="72" t="s">
        <v>848</v>
      </c>
      <c r="R324" s="72">
        <v>31.536000000000001</v>
      </c>
    </row>
    <row r="325" spans="2:18" ht="13.8" x14ac:dyDescent="0.25">
      <c r="B325" s="26" t="str">
        <f>Y204</f>
        <v>RSD_APA4_SH_GEO_N_IM02</v>
      </c>
      <c r="C325" s="26" t="str">
        <f>Z204</f>
        <v>Apartment A4 SpHeat &amp; SpCooling GSHP Improved (N)|</v>
      </c>
      <c r="D325" s="26" t="str">
        <f>Commodities!$D$341</f>
        <v>RSDELC</v>
      </c>
      <c r="E325" s="26" t="str">
        <f>E321</f>
        <v>RSD_APA4_SH</v>
      </c>
      <c r="F325" s="84">
        <f>G325</f>
        <v>2025</v>
      </c>
      <c r="G325" s="57">
        <f>BASE_YEAR+8</f>
        <v>2025</v>
      </c>
      <c r="H325" s="72">
        <v>4.5</v>
      </c>
      <c r="I325" s="72"/>
      <c r="J325" s="72"/>
      <c r="K325" s="72"/>
      <c r="L325" s="72"/>
      <c r="M325" s="72"/>
      <c r="N325" s="72">
        <v>983.72591057312263</v>
      </c>
      <c r="O325" s="72">
        <v>1.477718592964824</v>
      </c>
      <c r="P325" s="72">
        <v>0</v>
      </c>
      <c r="Q325" s="72">
        <v>15</v>
      </c>
      <c r="R325" s="72">
        <v>31.536000000000001</v>
      </c>
    </row>
    <row r="326" spans="2:18" ht="13.8" x14ac:dyDescent="0.25">
      <c r="D326" s="26" t="str">
        <f>Commodities!$D$182</f>
        <v>RSDRESGEO</v>
      </c>
      <c r="E326" s="26" t="str">
        <f>E322</f>
        <v>RSD_APA4_SC</v>
      </c>
      <c r="F326" s="84">
        <f>F325</f>
        <v>2025</v>
      </c>
      <c r="G326" s="10"/>
      <c r="H326" s="72" t="s">
        <v>848</v>
      </c>
      <c r="I326" s="72"/>
      <c r="J326" s="72" t="s">
        <v>848</v>
      </c>
      <c r="K326" s="72"/>
      <c r="L326" s="72">
        <v>0.2</v>
      </c>
      <c r="M326" s="72"/>
      <c r="N326" s="72" t="s">
        <v>848</v>
      </c>
      <c r="O326" s="72" t="s">
        <v>848</v>
      </c>
      <c r="P326" s="72" t="s">
        <v>848</v>
      </c>
      <c r="Q326" s="72" t="s">
        <v>848</v>
      </c>
      <c r="R326" s="72">
        <v>31.536000000000001</v>
      </c>
    </row>
    <row r="327" spans="2:18" ht="13.8" x14ac:dyDescent="0.25">
      <c r="B327" s="26" t="str">
        <f>Y205</f>
        <v>RSD_APA4_SH_DSL_N_AD02</v>
      </c>
      <c r="C327" s="26" t="str">
        <f>Z205</f>
        <v>Apartment A4 SpHeat DieselOil Boiler Avdanced (N)|</v>
      </c>
      <c r="D327" s="26" t="str">
        <f>D286</f>
        <v>RSDOILDSL</v>
      </c>
      <c r="E327" s="26" t="str">
        <f>E301</f>
        <v>RSD_APA4_SH</v>
      </c>
      <c r="F327" s="84">
        <v>2020</v>
      </c>
      <c r="G327" s="57">
        <f>F327</f>
        <v>2020</v>
      </c>
      <c r="H327" s="72">
        <f>H304</f>
        <v>0.94500000000000006</v>
      </c>
      <c r="I327" s="72"/>
      <c r="J327" s="72"/>
      <c r="K327" s="72"/>
      <c r="L327" s="72"/>
      <c r="M327" s="72"/>
      <c r="N327" s="72">
        <f>N304</f>
        <v>234</v>
      </c>
      <c r="O327" s="72">
        <f>O304</f>
        <v>4</v>
      </c>
      <c r="P327" s="72">
        <f>P304</f>
        <v>0</v>
      </c>
      <c r="Q327" s="72">
        <f>Q304</f>
        <v>20</v>
      </c>
      <c r="R327" s="72">
        <f>R304</f>
        <v>31.536000000000001</v>
      </c>
    </row>
    <row r="328" spans="2:18" ht="13.8" x14ac:dyDescent="0.25">
      <c r="D328" s="26"/>
      <c r="E328" s="26" t="str">
        <f>E302</f>
        <v>RSD_APA4_WH</v>
      </c>
      <c r="F328" s="84">
        <v>2020</v>
      </c>
      <c r="G328" s="10"/>
      <c r="H328" s="72"/>
      <c r="I328" s="72">
        <f>I305</f>
        <v>0.94500000000000006</v>
      </c>
      <c r="J328" s="72"/>
      <c r="K328" s="72"/>
      <c r="L328" s="72"/>
      <c r="M328" s="72"/>
      <c r="N328" s="72"/>
      <c r="O328" s="72"/>
      <c r="P328" s="72"/>
      <c r="Q328" s="72"/>
      <c r="R328" s="72"/>
    </row>
    <row r="329" spans="2:18" ht="13.8" x14ac:dyDescent="0.25">
      <c r="B329" s="26" t="str">
        <f>Y206</f>
        <v>RSD_APA4_SH_LPG_N_AD02</v>
      </c>
      <c r="C329" s="26" t="str">
        <f>Z206</f>
        <v>Apartment A4 SpHeat LPG Boiler Advanced (N)|</v>
      </c>
      <c r="D329" s="26" t="str">
        <f>D288</f>
        <v>RSDOILLPG</v>
      </c>
      <c r="E329" s="26" t="str">
        <f>E327</f>
        <v>RSD_APA4_SH</v>
      </c>
      <c r="F329" s="84">
        <v>2020</v>
      </c>
      <c r="G329" s="57">
        <f>F329</f>
        <v>2020</v>
      </c>
      <c r="H329" s="72">
        <f>H327</f>
        <v>0.94500000000000006</v>
      </c>
      <c r="I329" s="72"/>
      <c r="J329" s="72"/>
      <c r="K329" s="72"/>
      <c r="L329" s="72"/>
      <c r="M329" s="72"/>
      <c r="N329" s="72">
        <f>N327</f>
        <v>234</v>
      </c>
      <c r="O329" s="72">
        <f>O327</f>
        <v>4</v>
      </c>
      <c r="P329" s="72">
        <f>P327</f>
        <v>0</v>
      </c>
      <c r="Q329" s="72">
        <f>Q327</f>
        <v>20</v>
      </c>
      <c r="R329" s="72">
        <f>R327</f>
        <v>31.536000000000001</v>
      </c>
    </row>
    <row r="330" spans="2:18" ht="13.8" x14ac:dyDescent="0.25">
      <c r="D330" s="26"/>
      <c r="E330" s="26" t="str">
        <f>E328</f>
        <v>RSD_APA4_WH</v>
      </c>
      <c r="F330" s="84">
        <v>2020</v>
      </c>
      <c r="G330" s="10"/>
      <c r="H330" s="72"/>
      <c r="I330" s="72">
        <f>I328</f>
        <v>0.94500000000000006</v>
      </c>
      <c r="J330" s="72"/>
      <c r="K330" s="72"/>
      <c r="L330" s="72"/>
      <c r="M330" s="72"/>
      <c r="N330" s="72"/>
      <c r="O330" s="72"/>
      <c r="P330" s="72"/>
      <c r="Q330" s="72"/>
      <c r="R330" s="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48"/>
  <sheetViews>
    <sheetView zoomScale="55" zoomScaleNormal="55" workbookViewId="0">
      <selection sqref="A1:XFD1048576"/>
    </sheetView>
  </sheetViews>
  <sheetFormatPr defaultRowHeight="13.2" x14ac:dyDescent="0.25"/>
  <cols>
    <col min="1" max="1" width="8.88671875" style="60"/>
    <col min="2" max="2" width="34.44140625" style="60" customWidth="1"/>
    <col min="3" max="3" width="55.33203125" style="60" customWidth="1"/>
    <col min="4" max="4" width="17.109375" style="60" bestFit="1" customWidth="1"/>
    <col min="5" max="5" width="19.109375" style="60" bestFit="1" customWidth="1"/>
    <col min="6" max="7" width="8.88671875" style="60"/>
    <col min="8" max="8" width="24.44140625" style="60" customWidth="1"/>
    <col min="9" max="9" width="18.33203125" style="60" bestFit="1" customWidth="1"/>
    <col min="10" max="10" width="15.6640625" style="60" bestFit="1" customWidth="1"/>
    <col min="11" max="11" width="17.88671875" style="60" bestFit="1" customWidth="1"/>
    <col min="12" max="12" width="20.6640625" style="60" bestFit="1" customWidth="1"/>
    <col min="13" max="13" width="18.88671875" style="60" bestFit="1" customWidth="1"/>
    <col min="14" max="14" width="26.33203125" style="60" bestFit="1" customWidth="1"/>
    <col min="15" max="19" width="8.88671875" style="60"/>
    <col min="20" max="20" width="14.33203125" style="60" bestFit="1" customWidth="1"/>
    <col min="21" max="21" width="36.6640625" style="60" customWidth="1"/>
    <col min="22" max="22" width="96" style="60" customWidth="1"/>
    <col min="23" max="23" width="12.109375" style="60" bestFit="1" customWidth="1"/>
    <col min="24" max="24" width="14" style="60" bestFit="1" customWidth="1"/>
    <col min="25" max="25" width="33.88671875" style="60" bestFit="1" customWidth="1"/>
    <col min="26" max="26" width="26.44140625" style="60" bestFit="1" customWidth="1"/>
    <col min="27" max="27" width="17.44140625" style="60" bestFit="1" customWidth="1"/>
    <col min="28" max="28" width="8.88671875" style="60"/>
    <col min="29" max="29" width="71.33203125" style="60" bestFit="1" customWidth="1"/>
    <col min="30" max="16384" width="8.88671875" style="60"/>
  </cols>
  <sheetData>
    <row r="1" spans="2:34" s="10" customFormat="1" ht="17.399999999999999" x14ac:dyDescent="0.3">
      <c r="B1" s="27" t="s">
        <v>801</v>
      </c>
      <c r="C1" s="27"/>
      <c r="D1" s="27"/>
      <c r="E1" s="27"/>
      <c r="F1" s="27"/>
      <c r="G1" s="27"/>
      <c r="O1" s="26"/>
      <c r="S1" s="10" t="s">
        <v>791</v>
      </c>
    </row>
    <row r="2" spans="2:34" s="10" customFormat="1" ht="17.399999999999999" x14ac:dyDescent="0.3">
      <c r="B2" s="27" t="s">
        <v>815</v>
      </c>
      <c r="C2" s="27"/>
      <c r="D2" s="27"/>
      <c r="E2" s="27"/>
      <c r="F2" s="27"/>
      <c r="G2" s="27"/>
      <c r="H2" s="10" t="s">
        <v>1467</v>
      </c>
      <c r="J2" s="10" t="s">
        <v>1467</v>
      </c>
      <c r="K2" s="10" t="s">
        <v>1467</v>
      </c>
      <c r="O2" s="26"/>
    </row>
    <row r="3" spans="2:34" s="10" customFormat="1" ht="13.8" x14ac:dyDescent="0.25">
      <c r="B3" s="28"/>
      <c r="D3" s="29"/>
      <c r="E3" s="29"/>
      <c r="F3" s="29"/>
      <c r="G3" s="29"/>
      <c r="I3" s="74"/>
      <c r="J3" s="74"/>
      <c r="K3" s="74"/>
      <c r="L3" s="74"/>
      <c r="M3" s="75"/>
      <c r="O3" s="26"/>
      <c r="S3" s="14" t="s">
        <v>792</v>
      </c>
      <c r="T3" s="14"/>
      <c r="U3" s="14" t="s">
        <v>793</v>
      </c>
      <c r="V3" s="14"/>
      <c r="W3" s="14"/>
      <c r="X3" s="14"/>
      <c r="Y3" s="14"/>
      <c r="Z3" s="14"/>
      <c r="AA3" s="14"/>
      <c r="AF3" s="26"/>
      <c r="AG3" s="26"/>
      <c r="AH3" s="26"/>
    </row>
    <row r="4" spans="2:34" s="10" customFormat="1" ht="13.8" x14ac:dyDescent="0.25">
      <c r="E4" s="30"/>
      <c r="F4" s="31" t="s">
        <v>0</v>
      </c>
      <c r="G4" s="31"/>
      <c r="H4" s="113">
        <v>5</v>
      </c>
      <c r="I4" s="10">
        <v>6</v>
      </c>
      <c r="J4" s="10">
        <v>7</v>
      </c>
      <c r="K4" s="10">
        <v>8</v>
      </c>
      <c r="L4" s="10">
        <v>9</v>
      </c>
      <c r="O4" s="26"/>
      <c r="S4" s="13" t="s">
        <v>17</v>
      </c>
      <c r="T4" s="13"/>
      <c r="U4" s="14"/>
      <c r="V4" s="14"/>
      <c r="W4" s="14"/>
      <c r="X4" s="14"/>
      <c r="Y4" s="14"/>
      <c r="Z4" s="14"/>
      <c r="AA4" s="14"/>
      <c r="AF4" s="32"/>
      <c r="AG4" s="26"/>
      <c r="AH4" s="26"/>
    </row>
    <row r="5" spans="2:34" s="10" customFormat="1" ht="13.8" x14ac:dyDescent="0.25">
      <c r="B5" s="33" t="s">
        <v>1</v>
      </c>
      <c r="C5" s="33" t="s">
        <v>794</v>
      </c>
      <c r="D5" s="33" t="s">
        <v>3</v>
      </c>
      <c r="E5" s="33" t="s">
        <v>4</v>
      </c>
      <c r="F5" s="34" t="s">
        <v>803</v>
      </c>
      <c r="G5" s="35" t="s">
        <v>14</v>
      </c>
      <c r="H5" s="36" t="s">
        <v>16</v>
      </c>
      <c r="I5" s="36" t="s">
        <v>789</v>
      </c>
      <c r="J5" s="108" t="s">
        <v>36</v>
      </c>
      <c r="K5" s="36" t="s">
        <v>5</v>
      </c>
      <c r="L5" s="36" t="s">
        <v>34</v>
      </c>
      <c r="M5" s="36" t="s">
        <v>780</v>
      </c>
      <c r="N5" s="36" t="s">
        <v>773</v>
      </c>
      <c r="O5" s="26"/>
      <c r="P5" s="116" t="s">
        <v>804</v>
      </c>
      <c r="Q5" s="116"/>
      <c r="S5" s="16" t="s">
        <v>15</v>
      </c>
      <c r="T5" s="16" t="s">
        <v>39</v>
      </c>
      <c r="U5" s="16" t="s">
        <v>1</v>
      </c>
      <c r="V5" s="16" t="s">
        <v>2</v>
      </c>
      <c r="W5" s="16" t="s">
        <v>18</v>
      </c>
      <c r="X5" s="16" t="s">
        <v>19</v>
      </c>
      <c r="Y5" s="16" t="s">
        <v>20</v>
      </c>
      <c r="Z5" s="16" t="s">
        <v>21</v>
      </c>
      <c r="AA5" s="16" t="s">
        <v>22</v>
      </c>
      <c r="AC5" s="76"/>
      <c r="AF5" s="77"/>
      <c r="AG5" s="26"/>
      <c r="AH5" s="26"/>
    </row>
    <row r="6" spans="2:34" s="10" customFormat="1" ht="22.5" customHeight="1" thickBot="1" x14ac:dyDescent="0.3">
      <c r="B6" s="41" t="s">
        <v>795</v>
      </c>
      <c r="C6" s="41" t="s">
        <v>28</v>
      </c>
      <c r="D6" s="41" t="s">
        <v>32</v>
      </c>
      <c r="E6" s="41" t="s">
        <v>33</v>
      </c>
      <c r="F6" s="42"/>
      <c r="G6" s="43" t="s">
        <v>35</v>
      </c>
      <c r="H6" s="41" t="s">
        <v>822</v>
      </c>
      <c r="I6" s="41" t="s">
        <v>805</v>
      </c>
      <c r="J6" s="43" t="s">
        <v>806</v>
      </c>
      <c r="K6" s="41" t="s">
        <v>37</v>
      </c>
      <c r="L6" s="41" t="s">
        <v>38</v>
      </c>
      <c r="M6" s="41" t="s">
        <v>781</v>
      </c>
      <c r="N6" s="41" t="s">
        <v>807</v>
      </c>
      <c r="O6" s="26"/>
      <c r="S6" s="50" t="s">
        <v>796</v>
      </c>
      <c r="T6" s="50" t="s">
        <v>42</v>
      </c>
      <c r="U6" s="50" t="s">
        <v>27</v>
      </c>
      <c r="V6" s="50" t="s">
        <v>28</v>
      </c>
      <c r="W6" s="50" t="s">
        <v>29</v>
      </c>
      <c r="X6" s="50" t="s">
        <v>30</v>
      </c>
      <c r="Y6" s="50" t="s">
        <v>797</v>
      </c>
      <c r="Z6" s="50" t="s">
        <v>798</v>
      </c>
      <c r="AA6" s="50" t="s">
        <v>31</v>
      </c>
      <c r="AB6" s="21"/>
      <c r="AC6" s="78"/>
      <c r="AF6" s="79"/>
      <c r="AG6" s="26"/>
      <c r="AH6" s="26"/>
    </row>
    <row r="7" spans="2:34" s="10" customFormat="1" ht="17.25" customHeight="1" x14ac:dyDescent="0.25">
      <c r="B7" s="80"/>
      <c r="C7" s="81"/>
      <c r="D7" s="81"/>
      <c r="E7" s="81" t="s">
        <v>799</v>
      </c>
      <c r="F7" s="82"/>
      <c r="G7" s="81"/>
      <c r="H7" s="81" t="s">
        <v>808</v>
      </c>
      <c r="I7" s="81" t="s">
        <v>808</v>
      </c>
      <c r="J7" s="81" t="str">
        <f>General!$D$14</f>
        <v>$/kW</v>
      </c>
      <c r="K7" s="81" t="str">
        <f>General!$D$14</f>
        <v>$/kW</v>
      </c>
      <c r="L7" s="81" t="str">
        <f>General!$D$15</f>
        <v>$/GJ</v>
      </c>
      <c r="M7" s="81" t="str">
        <f>General!$D$21</f>
        <v>Years</v>
      </c>
      <c r="N7" s="81" t="str">
        <f>General!$E$16</f>
        <v>PJ/GW</v>
      </c>
      <c r="O7" s="26"/>
      <c r="P7" s="26"/>
      <c r="Q7" s="26"/>
      <c r="R7" s="26"/>
      <c r="S7" s="26" t="s">
        <v>809</v>
      </c>
      <c r="T7" s="26"/>
      <c r="U7" s="26" t="str">
        <f>Commodities!$AD$31&amp;"_"&amp;RIGHT(Commodities!$D$340,3)&amp;"_"&amp;$U$3&amp;"_ST01"</f>
        <v>RSD_DTA1_SC_ELC_N_ST01</v>
      </c>
      <c r="V7" s="26" t="s">
        <v>1009</v>
      </c>
      <c r="W7" s="57" t="str">
        <f>General!$B$2</f>
        <v>PJ</v>
      </c>
      <c r="X7" s="57" t="str">
        <f>General!$B$5</f>
        <v>GW</v>
      </c>
      <c r="Y7" s="57" t="s">
        <v>723</v>
      </c>
      <c r="Z7" s="57"/>
      <c r="AA7" s="26"/>
      <c r="AF7" s="83"/>
      <c r="AG7" s="26"/>
      <c r="AH7" s="26"/>
    </row>
    <row r="8" spans="2:34" s="10" customFormat="1" ht="13.8" x14ac:dyDescent="0.25">
      <c r="B8" s="53" t="str">
        <f t="shared" ref="B8" si="0">U7</f>
        <v>RSD_DTA1_SC_ELC_N_ST01</v>
      </c>
      <c r="C8" s="53" t="str">
        <f t="shared" ref="C8" si="1">V7</f>
        <v>Detached A1 SpCool A/C (Class B) (N)</v>
      </c>
      <c r="D8" s="26" t="str">
        <f>Commodities!$D$341</f>
        <v>RSDELC</v>
      </c>
      <c r="E8" s="26" t="str">
        <f>Commodities!$AD$31</f>
        <v>RSD_DTA1_SC</v>
      </c>
      <c r="F8" s="84">
        <f>G8</f>
        <v>2018</v>
      </c>
      <c r="G8" s="62">
        <f>BASE_YEAR+1</f>
        <v>2018</v>
      </c>
      <c r="H8" s="96">
        <v>2.5</v>
      </c>
      <c r="I8" s="96"/>
      <c r="J8" s="117">
        <f>RSD_SpHeat!N26*0.8</f>
        <v>472</v>
      </c>
      <c r="K8" s="117">
        <f>J8*0.5%</f>
        <v>2.36</v>
      </c>
      <c r="L8" s="96">
        <v>0</v>
      </c>
      <c r="M8" s="57">
        <v>10</v>
      </c>
      <c r="N8" s="72">
        <v>31.536000000000001</v>
      </c>
      <c r="O8" s="26"/>
      <c r="S8" s="26"/>
      <c r="T8" s="26"/>
      <c r="U8" s="26" t="str">
        <f>Commodities!$AD$31&amp;"_"&amp;RIGHT(Commodities!$D$340,3)&amp;"_"&amp;$U$3&amp;"_ST02"</f>
        <v>RSD_DTA1_SC_ELC_N_ST02</v>
      </c>
      <c r="V8" s="26" t="s">
        <v>1010</v>
      </c>
      <c r="W8" s="57" t="str">
        <f>General!$B$2</f>
        <v>PJ</v>
      </c>
      <c r="X8" s="57" t="str">
        <f>General!$B$5</f>
        <v>GW</v>
      </c>
      <c r="Y8" s="57" t="s">
        <v>723</v>
      </c>
      <c r="Z8" s="57"/>
      <c r="AA8" s="26"/>
      <c r="AF8" s="83"/>
      <c r="AG8" s="26"/>
      <c r="AH8" s="26"/>
    </row>
    <row r="9" spans="2:34" s="10" customFormat="1" ht="13.8" x14ac:dyDescent="0.25">
      <c r="B9" s="26" t="str">
        <f t="shared" ref="B9:B19" si="2">U8</f>
        <v>RSD_DTA1_SC_ELC_N_ST02</v>
      </c>
      <c r="C9" s="26" t="str">
        <f t="shared" ref="C9:C19" si="3">V8</f>
        <v>Detached A1 SpCool Fans (N)</v>
      </c>
      <c r="D9" s="26" t="str">
        <f>Commodities!$D$341</f>
        <v>RSDELC</v>
      </c>
      <c r="E9" s="26" t="str">
        <f>E8</f>
        <v>RSD_DTA1_SC</v>
      </c>
      <c r="F9" s="84">
        <f t="shared" ref="F9:F26" si="4">G9</f>
        <v>2018</v>
      </c>
      <c r="G9" s="62">
        <f>BASE_YEAR+1</f>
        <v>2018</v>
      </c>
      <c r="H9" s="72">
        <v>0.2</v>
      </c>
      <c r="I9" s="72"/>
      <c r="J9" s="118">
        <f>50*(1/0.9)</f>
        <v>55.555555555555557</v>
      </c>
      <c r="K9" s="118" t="s">
        <v>849</v>
      </c>
      <c r="L9" s="72" t="s">
        <v>849</v>
      </c>
      <c r="M9" s="57">
        <v>10</v>
      </c>
      <c r="N9" s="72">
        <f>31.536/6</f>
        <v>5.2560000000000002</v>
      </c>
      <c r="O9" s="26"/>
      <c r="S9" s="26"/>
      <c r="T9" s="26"/>
      <c r="U9" s="26" t="str">
        <f>Commodities!$AD$31&amp;"_"&amp;RIGHT(Commodities!$D$340,3)&amp;"_"&amp;$U$3&amp;"_IM01"</f>
        <v>RSD_DTA1_SC_ELC_N_IM01</v>
      </c>
      <c r="V9" s="26" t="s">
        <v>1011</v>
      </c>
      <c r="W9" s="57" t="str">
        <f>General!$B$2</f>
        <v>PJ</v>
      </c>
      <c r="X9" s="57" t="str">
        <f>General!$B$5</f>
        <v>GW</v>
      </c>
      <c r="Y9" s="57" t="s">
        <v>723</v>
      </c>
      <c r="Z9" s="57"/>
      <c r="AA9" s="26"/>
      <c r="AF9" s="83"/>
      <c r="AG9" s="26"/>
      <c r="AH9" s="26"/>
    </row>
    <row r="10" spans="2:34" s="10" customFormat="1" ht="13.8" x14ac:dyDescent="0.25">
      <c r="B10" s="26" t="str">
        <f t="shared" si="2"/>
        <v>RSD_DTA1_SC_ELC_N_IM01</v>
      </c>
      <c r="C10" s="26" t="str">
        <f t="shared" si="3"/>
        <v>Detached A1 SpCool A/C (Class A) (N)</v>
      </c>
      <c r="D10" s="26" t="str">
        <f>Commodities!$D$341</f>
        <v>RSDELC</v>
      </c>
      <c r="E10" s="26" t="str">
        <f>E9</f>
        <v>RSD_DTA1_SC</v>
      </c>
      <c r="F10" s="84">
        <f t="shared" si="4"/>
        <v>2025</v>
      </c>
      <c r="G10" s="62">
        <v>2025</v>
      </c>
      <c r="H10" s="72">
        <v>3</v>
      </c>
      <c r="I10" s="72"/>
      <c r="J10" s="118">
        <f>RSD_SpHeat!N29*0.8</f>
        <v>551.20000000000005</v>
      </c>
      <c r="K10" s="118">
        <f t="shared" ref="K10:K12" si="5">J10*0.5%</f>
        <v>2.7560000000000002</v>
      </c>
      <c r="L10" s="72">
        <v>0</v>
      </c>
      <c r="M10" s="57">
        <v>10</v>
      </c>
      <c r="N10" s="72">
        <v>31.536000000000001</v>
      </c>
      <c r="O10" s="26"/>
      <c r="S10" s="26"/>
      <c r="T10" s="26"/>
      <c r="U10" s="26" t="str">
        <f>Commodities!$AD$31&amp;"_"&amp;RIGHT(Commodities!$D$340,3)&amp;"_"&amp;$U$3&amp;"_IM02"</f>
        <v>RSD_DTA1_SC_ELC_N_IM02</v>
      </c>
      <c r="V10" s="26" t="s">
        <v>1012</v>
      </c>
      <c r="W10" s="57" t="str">
        <f>General!$B$2</f>
        <v>PJ</v>
      </c>
      <c r="X10" s="57" t="str">
        <f>General!$B$5</f>
        <v>GW</v>
      </c>
      <c r="Y10" s="57" t="s">
        <v>723</v>
      </c>
      <c r="Z10" s="57"/>
      <c r="AA10" s="26"/>
      <c r="AF10" s="40"/>
    </row>
    <row r="11" spans="2:34" s="10" customFormat="1" ht="13.8" x14ac:dyDescent="0.25">
      <c r="B11" s="26" t="str">
        <f t="shared" si="2"/>
        <v>RSD_DTA1_SC_ELC_N_IM02</v>
      </c>
      <c r="C11" s="26" t="str">
        <f t="shared" si="3"/>
        <v>Detached A1 SpCool A/C (Class A+) (N)</v>
      </c>
      <c r="D11" s="26" t="str">
        <f>Commodities!$D$341</f>
        <v>RSDELC</v>
      </c>
      <c r="E11" s="26" t="str">
        <f>E10</f>
        <v>RSD_DTA1_SC</v>
      </c>
      <c r="F11" s="84">
        <f t="shared" si="4"/>
        <v>2030</v>
      </c>
      <c r="G11" s="62">
        <v>2030</v>
      </c>
      <c r="H11" s="72">
        <v>3.5</v>
      </c>
      <c r="I11" s="72"/>
      <c r="J11" s="118">
        <f>RSD_SpHeat!N29</f>
        <v>689</v>
      </c>
      <c r="K11" s="118">
        <f t="shared" si="5"/>
        <v>3.4450000000000003</v>
      </c>
      <c r="L11" s="72">
        <v>0</v>
      </c>
      <c r="M11" s="57">
        <v>10</v>
      </c>
      <c r="N11" s="72">
        <v>31.536000000000001</v>
      </c>
      <c r="O11" s="26"/>
      <c r="S11" s="11"/>
      <c r="T11" s="11"/>
      <c r="U11" s="11" t="str">
        <f>Commodities!$AD$31&amp;"_"&amp;RIGHT(Commodities!$D$340,3)&amp;"_"&amp;$U$3&amp;"_AD01"</f>
        <v>RSD_DTA1_SC_ELC_N_AD01</v>
      </c>
      <c r="V11" s="11" t="s">
        <v>1013</v>
      </c>
      <c r="W11" s="22" t="str">
        <f>General!$B$2</f>
        <v>PJ</v>
      </c>
      <c r="X11" s="22" t="str">
        <f>General!$B$5</f>
        <v>GW</v>
      </c>
      <c r="Y11" s="22" t="s">
        <v>723</v>
      </c>
      <c r="Z11" s="22"/>
      <c r="AA11" s="11"/>
      <c r="AF11" s="40"/>
    </row>
    <row r="12" spans="2:34" s="10" customFormat="1" ht="13.8" x14ac:dyDescent="0.25">
      <c r="B12" s="11" t="str">
        <f t="shared" si="2"/>
        <v>RSD_DTA1_SC_ELC_N_AD01</v>
      </c>
      <c r="C12" s="11" t="str">
        <f t="shared" si="3"/>
        <v>Detached A1 SpCool A/C (Class A++) (N)</v>
      </c>
      <c r="D12" s="11" t="str">
        <f>Commodities!$D$341</f>
        <v>RSDELC</v>
      </c>
      <c r="E12" s="11" t="str">
        <f>E11</f>
        <v>RSD_DTA1_SC</v>
      </c>
      <c r="F12" s="89">
        <f t="shared" si="4"/>
        <v>2035</v>
      </c>
      <c r="G12" s="64">
        <v>2035</v>
      </c>
      <c r="H12" s="73">
        <v>4</v>
      </c>
      <c r="I12" s="73"/>
      <c r="J12" s="119">
        <f>J11*1.15</f>
        <v>792.34999999999991</v>
      </c>
      <c r="K12" s="119">
        <f t="shared" si="5"/>
        <v>3.9617499999999994</v>
      </c>
      <c r="L12" s="73" t="s">
        <v>848</v>
      </c>
      <c r="M12" s="22">
        <v>10</v>
      </c>
      <c r="N12" s="73">
        <v>31.536000000000001</v>
      </c>
      <c r="O12" s="26"/>
      <c r="S12" s="26"/>
      <c r="T12" s="26"/>
      <c r="U12" s="26" t="str">
        <f>Commodities!$AD$32&amp;"_"&amp;RIGHT(Commodities!$D$340,3)&amp;"_"&amp;$U$3&amp;"_ST01"</f>
        <v>RSD_APA1_SC_ELC_N_ST01</v>
      </c>
      <c r="V12" s="26" t="s">
        <v>1014</v>
      </c>
      <c r="W12" s="57" t="str">
        <f>General!$B$2</f>
        <v>PJ</v>
      </c>
      <c r="X12" s="57" t="str">
        <f>General!$B$5</f>
        <v>GW</v>
      </c>
      <c r="Y12" s="57" t="s">
        <v>723</v>
      </c>
      <c r="Z12" s="57"/>
      <c r="AA12" s="26"/>
      <c r="AF12" s="40"/>
    </row>
    <row r="13" spans="2:34" s="10" customFormat="1" ht="13.8" x14ac:dyDescent="0.25">
      <c r="B13" s="53" t="str">
        <f t="shared" si="2"/>
        <v>RSD_APA1_SC_ELC_N_ST01</v>
      </c>
      <c r="C13" s="53" t="str">
        <f t="shared" si="3"/>
        <v>Apartment A1 SpCool A/C (Class B) (N)</v>
      </c>
      <c r="D13" s="26" t="str">
        <f>Commodities!$D$341</f>
        <v>RSDELC</v>
      </c>
      <c r="E13" s="26" t="str">
        <f>Commodities!$AD$32</f>
        <v>RSD_APA1_SC</v>
      </c>
      <c r="F13" s="84">
        <f>G13</f>
        <v>2018</v>
      </c>
      <c r="G13" s="62">
        <f>BASE_YEAR+1</f>
        <v>2018</v>
      </c>
      <c r="H13" s="96">
        <v>2.5</v>
      </c>
      <c r="I13" s="96"/>
      <c r="J13" s="117">
        <f>J8</f>
        <v>472</v>
      </c>
      <c r="K13" s="117">
        <f>K8</f>
        <v>2.36</v>
      </c>
      <c r="L13" s="96">
        <v>0</v>
      </c>
      <c r="M13" s="57">
        <v>10</v>
      </c>
      <c r="N13" s="72">
        <v>31.536000000000001</v>
      </c>
      <c r="O13" s="26"/>
      <c r="S13" s="26"/>
      <c r="T13" s="26"/>
      <c r="U13" s="26" t="str">
        <f>Commodities!$AD$32&amp;"_"&amp;RIGHT(Commodities!$D$340,3)&amp;"_"&amp;$U$3&amp;"_ST02"</f>
        <v>RSD_APA1_SC_ELC_N_ST02</v>
      </c>
      <c r="V13" s="26" t="s">
        <v>1015</v>
      </c>
      <c r="W13" s="57" t="str">
        <f>General!$B$2</f>
        <v>PJ</v>
      </c>
      <c r="X13" s="57" t="str">
        <f>General!$B$5</f>
        <v>GW</v>
      </c>
      <c r="Y13" s="57" t="s">
        <v>723</v>
      </c>
      <c r="Z13" s="57"/>
      <c r="AA13" s="26"/>
      <c r="AF13" s="40"/>
    </row>
    <row r="14" spans="2:34" s="10" customFormat="1" ht="13.8" x14ac:dyDescent="0.25">
      <c r="B14" s="26" t="str">
        <f t="shared" si="2"/>
        <v>RSD_APA1_SC_ELC_N_ST02</v>
      </c>
      <c r="C14" s="26" t="str">
        <f t="shared" si="3"/>
        <v>Apartment A1 SpCool Fans (N)</v>
      </c>
      <c r="D14" s="26" t="str">
        <f>Commodities!$D$341</f>
        <v>RSDELC</v>
      </c>
      <c r="E14" s="26" t="str">
        <f>E13</f>
        <v>RSD_APA1_SC</v>
      </c>
      <c r="F14" s="84">
        <f t="shared" si="4"/>
        <v>2018</v>
      </c>
      <c r="G14" s="62">
        <f>BASE_YEAR+1</f>
        <v>2018</v>
      </c>
      <c r="H14" s="72">
        <v>0.2</v>
      </c>
      <c r="I14" s="72"/>
      <c r="J14" s="118">
        <f t="shared" ref="J14:K17" si="6">J9</f>
        <v>55.555555555555557</v>
      </c>
      <c r="K14" s="118" t="str">
        <f t="shared" si="6"/>
        <v xml:space="preserve"> </v>
      </c>
      <c r="L14" s="72" t="s">
        <v>849</v>
      </c>
      <c r="M14" s="57">
        <v>10</v>
      </c>
      <c r="N14" s="72">
        <f>31.536/6</f>
        <v>5.2560000000000002</v>
      </c>
      <c r="O14" s="26"/>
      <c r="S14" s="26"/>
      <c r="T14" s="26"/>
      <c r="U14" s="26" t="str">
        <f>Commodities!$AD$32&amp;"_"&amp;RIGHT(Commodities!$D$340,3)&amp;"_"&amp;$U$3&amp;"_IM01"</f>
        <v>RSD_APA1_SC_ELC_N_IM01</v>
      </c>
      <c r="V14" s="26" t="s">
        <v>1016</v>
      </c>
      <c r="W14" s="57" t="str">
        <f>General!$B$2</f>
        <v>PJ</v>
      </c>
      <c r="X14" s="57" t="str">
        <f>General!$B$5</f>
        <v>GW</v>
      </c>
      <c r="Y14" s="57" t="s">
        <v>723</v>
      </c>
      <c r="Z14" s="57"/>
      <c r="AA14" s="26"/>
      <c r="AF14" s="40"/>
    </row>
    <row r="15" spans="2:34" s="10" customFormat="1" ht="13.8" x14ac:dyDescent="0.25">
      <c r="B15" s="26" t="str">
        <f t="shared" si="2"/>
        <v>RSD_APA1_SC_ELC_N_IM01</v>
      </c>
      <c r="C15" s="26" t="str">
        <f t="shared" si="3"/>
        <v>Apartment A1 SpCool A/C (Class A) (N)</v>
      </c>
      <c r="D15" s="26" t="str">
        <f>Commodities!$D$341</f>
        <v>RSDELC</v>
      </c>
      <c r="E15" s="26" t="str">
        <f>E14</f>
        <v>RSD_APA1_SC</v>
      </c>
      <c r="F15" s="84">
        <f t="shared" si="4"/>
        <v>2025</v>
      </c>
      <c r="G15" s="62">
        <v>2025</v>
      </c>
      <c r="H15" s="72">
        <v>3</v>
      </c>
      <c r="I15" s="72"/>
      <c r="J15" s="118">
        <f t="shared" si="6"/>
        <v>551.20000000000005</v>
      </c>
      <c r="K15" s="118">
        <f t="shared" si="6"/>
        <v>2.7560000000000002</v>
      </c>
      <c r="L15" s="72">
        <v>0</v>
      </c>
      <c r="M15" s="57">
        <v>10</v>
      </c>
      <c r="N15" s="72">
        <v>31.536000000000001</v>
      </c>
      <c r="O15" s="26"/>
      <c r="S15" s="26"/>
      <c r="T15" s="26"/>
      <c r="U15" s="26" t="str">
        <f>Commodities!$AD$32&amp;"_"&amp;RIGHT(Commodities!$D$340,3)&amp;"_"&amp;$U$3&amp;"_IM02"</f>
        <v>RSD_APA1_SC_ELC_N_IM02</v>
      </c>
      <c r="V15" s="26" t="s">
        <v>1017</v>
      </c>
      <c r="W15" s="57" t="str">
        <f>General!$B$2</f>
        <v>PJ</v>
      </c>
      <c r="X15" s="57" t="str">
        <f>General!$B$5</f>
        <v>GW</v>
      </c>
      <c r="Y15" s="57" t="s">
        <v>723</v>
      </c>
      <c r="Z15" s="57"/>
      <c r="AA15" s="26"/>
      <c r="AF15" s="40"/>
    </row>
    <row r="16" spans="2:34" s="10" customFormat="1" ht="13.8" x14ac:dyDescent="0.25">
      <c r="B16" s="26" t="str">
        <f t="shared" si="2"/>
        <v>RSD_APA1_SC_ELC_N_IM02</v>
      </c>
      <c r="C16" s="26" t="str">
        <f t="shared" si="3"/>
        <v>Apartment A1 SpCool A/C (Class A+) (N)</v>
      </c>
      <c r="D16" s="26" t="str">
        <f>Commodities!$D$341</f>
        <v>RSDELC</v>
      </c>
      <c r="E16" s="26" t="str">
        <f>E15</f>
        <v>RSD_APA1_SC</v>
      </c>
      <c r="F16" s="84">
        <f t="shared" si="4"/>
        <v>2030</v>
      </c>
      <c r="G16" s="62">
        <v>2030</v>
      </c>
      <c r="H16" s="72">
        <v>3.5</v>
      </c>
      <c r="I16" s="72"/>
      <c r="J16" s="118">
        <f t="shared" si="6"/>
        <v>689</v>
      </c>
      <c r="K16" s="118">
        <f t="shared" si="6"/>
        <v>3.4450000000000003</v>
      </c>
      <c r="L16" s="72">
        <v>0</v>
      </c>
      <c r="M16" s="57">
        <v>10</v>
      </c>
      <c r="N16" s="72">
        <v>31.536000000000001</v>
      </c>
      <c r="O16" s="26"/>
      <c r="S16" s="11"/>
      <c r="T16" s="11"/>
      <c r="U16" s="11" t="str">
        <f>Commodities!$AD$32&amp;"_"&amp;RIGHT(Commodities!$D$340,3)&amp;"_"&amp;$U$3&amp;"_AD01"</f>
        <v>RSD_APA1_SC_ELC_N_AD01</v>
      </c>
      <c r="V16" s="11" t="s">
        <v>1018</v>
      </c>
      <c r="W16" s="22" t="str">
        <f>General!$B$2</f>
        <v>PJ</v>
      </c>
      <c r="X16" s="22" t="str">
        <f>General!$B$5</f>
        <v>GW</v>
      </c>
      <c r="Y16" s="22" t="s">
        <v>723</v>
      </c>
      <c r="Z16" s="22"/>
      <c r="AA16" s="11"/>
      <c r="AF16" s="40"/>
    </row>
    <row r="17" spans="1:32" s="10" customFormat="1" ht="13.8" x14ac:dyDescent="0.25">
      <c r="B17" s="11" t="str">
        <f t="shared" si="2"/>
        <v>RSD_APA1_SC_ELC_N_AD01</v>
      </c>
      <c r="C17" s="11" t="str">
        <f t="shared" si="3"/>
        <v>Apartment A1 SpCool A/C (Class A++) (N)</v>
      </c>
      <c r="D17" s="11" t="str">
        <f>Commodities!$D$341</f>
        <v>RSDELC</v>
      </c>
      <c r="E17" s="11" t="str">
        <f>E16</f>
        <v>RSD_APA1_SC</v>
      </c>
      <c r="F17" s="89">
        <f t="shared" si="4"/>
        <v>2035</v>
      </c>
      <c r="G17" s="64">
        <v>2035</v>
      </c>
      <c r="H17" s="73">
        <v>4</v>
      </c>
      <c r="I17" s="73"/>
      <c r="J17" s="119">
        <f t="shared" si="6"/>
        <v>792.34999999999991</v>
      </c>
      <c r="K17" s="119">
        <f t="shared" si="6"/>
        <v>3.9617499999999994</v>
      </c>
      <c r="L17" s="73" t="s">
        <v>848</v>
      </c>
      <c r="M17" s="22">
        <v>10</v>
      </c>
      <c r="N17" s="73">
        <v>31.536000000000001</v>
      </c>
      <c r="O17" s="26"/>
      <c r="S17" s="26"/>
      <c r="T17" s="26"/>
      <c r="U17" s="26" t="str">
        <f>Commodities!$AD$33&amp;"_"&amp;RIGHT(Commodities!$D$340,3)&amp;"_"&amp;$U$3&amp;"_ST01"</f>
        <v>RSD_DTA2_SC_ELC_N_ST01</v>
      </c>
      <c r="V17" s="26" t="s">
        <v>1019</v>
      </c>
      <c r="W17" s="57" t="str">
        <f>General!$B$2</f>
        <v>PJ</v>
      </c>
      <c r="X17" s="57" t="str">
        <f>General!$B$5</f>
        <v>GW</v>
      </c>
      <c r="Y17" s="57" t="s">
        <v>723</v>
      </c>
      <c r="Z17" s="57"/>
      <c r="AA17" s="26"/>
      <c r="AF17" s="40"/>
    </row>
    <row r="18" spans="1:32" s="10" customFormat="1" ht="13.8" x14ac:dyDescent="0.25">
      <c r="B18" s="26" t="str">
        <f t="shared" si="2"/>
        <v>RSD_DTA2_SC_ELC_N_ST01</v>
      </c>
      <c r="C18" s="26" t="str">
        <f t="shared" si="3"/>
        <v>Detached A2 SpCool A/C (Class B) (N)</v>
      </c>
      <c r="D18" s="26" t="str">
        <f>Commodities!$D$341</f>
        <v>RSDELC</v>
      </c>
      <c r="E18" s="26" t="str">
        <f>Commodities!$AD$33</f>
        <v>RSD_DTA2_SC</v>
      </c>
      <c r="F18" s="84">
        <f>G18</f>
        <v>2018</v>
      </c>
      <c r="G18" s="62">
        <f>BASE_YEAR+1</f>
        <v>2018</v>
      </c>
      <c r="H18" s="96">
        <v>2.5</v>
      </c>
      <c r="I18" s="96"/>
      <c r="J18" s="117">
        <f>J13</f>
        <v>472</v>
      </c>
      <c r="K18" s="117">
        <f>K13</f>
        <v>2.36</v>
      </c>
      <c r="L18" s="96">
        <v>0</v>
      </c>
      <c r="M18" s="57">
        <v>10</v>
      </c>
      <c r="N18" s="72">
        <v>31.536000000000001</v>
      </c>
      <c r="O18" s="26"/>
      <c r="S18" s="26"/>
      <c r="T18" s="26"/>
      <c r="U18" s="26" t="str">
        <f>Commodities!$AD$33&amp;"_"&amp;RIGHT(Commodities!$D$340,3)&amp;"_"&amp;$U$3&amp;"_ST02"</f>
        <v>RSD_DTA2_SC_ELC_N_ST02</v>
      </c>
      <c r="V18" s="26" t="s">
        <v>1020</v>
      </c>
      <c r="W18" s="57" t="str">
        <f>General!$B$2</f>
        <v>PJ</v>
      </c>
      <c r="X18" s="57" t="str">
        <f>General!$B$5</f>
        <v>GW</v>
      </c>
      <c r="Y18" s="57" t="s">
        <v>723</v>
      </c>
      <c r="Z18" s="57"/>
      <c r="AA18" s="26"/>
      <c r="AF18" s="40"/>
    </row>
    <row r="19" spans="1:32" s="10" customFormat="1" ht="13.8" x14ac:dyDescent="0.25">
      <c r="B19" s="26" t="str">
        <f t="shared" si="2"/>
        <v>RSD_DTA2_SC_ELC_N_ST02</v>
      </c>
      <c r="C19" s="26" t="str">
        <f t="shared" si="3"/>
        <v>Detached A2 SpCool Fans (N)</v>
      </c>
      <c r="D19" s="26" t="str">
        <f>Commodities!$D$341</f>
        <v>RSDELC</v>
      </c>
      <c r="E19" s="26" t="str">
        <f>E18</f>
        <v>RSD_DTA2_SC</v>
      </c>
      <c r="F19" s="84">
        <f t="shared" si="4"/>
        <v>2018</v>
      </c>
      <c r="G19" s="62">
        <f>BASE_YEAR+1</f>
        <v>2018</v>
      </c>
      <c r="H19" s="72">
        <v>0.2</v>
      </c>
      <c r="I19" s="72"/>
      <c r="J19" s="118">
        <f t="shared" ref="J19:K22" si="7">J14</f>
        <v>55.555555555555557</v>
      </c>
      <c r="K19" s="118" t="str">
        <f t="shared" si="7"/>
        <v xml:space="preserve"> </v>
      </c>
      <c r="L19" s="72" t="s">
        <v>849</v>
      </c>
      <c r="M19" s="57">
        <v>10</v>
      </c>
      <c r="N19" s="72">
        <f>31.536/6</f>
        <v>5.2560000000000002</v>
      </c>
      <c r="O19" s="26"/>
      <c r="S19" s="26"/>
      <c r="T19" s="26"/>
      <c r="U19" s="26" t="str">
        <f>Commodities!$AD$33&amp;"_"&amp;RIGHT(Commodities!$D$340,3)&amp;"_"&amp;$U$3&amp;"_IM01"</f>
        <v>RSD_DTA2_SC_ELC_N_IM01</v>
      </c>
      <c r="V19" s="26" t="s">
        <v>1021</v>
      </c>
      <c r="W19" s="57" t="str">
        <f>General!$B$2</f>
        <v>PJ</v>
      </c>
      <c r="X19" s="57" t="str">
        <f>General!$B$5</f>
        <v>GW</v>
      </c>
      <c r="Y19" s="57" t="s">
        <v>723</v>
      </c>
      <c r="Z19" s="57"/>
      <c r="AA19" s="26"/>
      <c r="AB19" s="26"/>
      <c r="AF19" s="40"/>
    </row>
    <row r="20" spans="1:32" ht="13.8" x14ac:dyDescent="0.25">
      <c r="A20" s="10"/>
      <c r="B20" s="26" t="str">
        <f t="shared" ref="B20:C27" si="8">U19</f>
        <v>RSD_DTA2_SC_ELC_N_IM01</v>
      </c>
      <c r="C20" s="26" t="str">
        <f t="shared" si="8"/>
        <v>Detached A2 SpCool A/C (Class A) (N)</v>
      </c>
      <c r="D20" s="26" t="str">
        <f>Commodities!$D$341</f>
        <v>RSDELC</v>
      </c>
      <c r="E20" s="26" t="str">
        <f>E19</f>
        <v>RSD_DTA2_SC</v>
      </c>
      <c r="F20" s="84">
        <f t="shared" si="4"/>
        <v>2025</v>
      </c>
      <c r="G20" s="62">
        <v>2025</v>
      </c>
      <c r="H20" s="72">
        <v>3</v>
      </c>
      <c r="I20" s="72"/>
      <c r="J20" s="118">
        <f t="shared" si="7"/>
        <v>551.20000000000005</v>
      </c>
      <c r="K20" s="118">
        <f t="shared" si="7"/>
        <v>2.7560000000000002</v>
      </c>
      <c r="L20" s="72">
        <v>0</v>
      </c>
      <c r="M20" s="57">
        <v>10</v>
      </c>
      <c r="N20" s="72">
        <v>31.536000000000001</v>
      </c>
      <c r="O20" s="26"/>
      <c r="P20" s="10"/>
      <c r="Q20" s="10"/>
      <c r="S20" s="26"/>
      <c r="T20" s="26"/>
      <c r="U20" s="26" t="str">
        <f>Commodities!$AD$33&amp;"_"&amp;RIGHT(Commodities!$D$340,3)&amp;"_"&amp;$U$3&amp;"_IM02"</f>
        <v>RSD_DTA2_SC_ELC_N_IM02</v>
      </c>
      <c r="V20" s="26" t="s">
        <v>1022</v>
      </c>
      <c r="W20" s="57" t="str">
        <f>General!$B$2</f>
        <v>PJ</v>
      </c>
      <c r="X20" s="57" t="str">
        <f>General!$B$5</f>
        <v>GW</v>
      </c>
      <c r="Y20" s="57" t="s">
        <v>723</v>
      </c>
      <c r="Z20" s="57"/>
      <c r="AA20" s="26"/>
      <c r="AB20" s="26"/>
      <c r="AC20" s="10"/>
    </row>
    <row r="21" spans="1:32" ht="13.8" x14ac:dyDescent="0.25">
      <c r="A21" s="10"/>
      <c r="B21" s="26" t="str">
        <f t="shared" si="8"/>
        <v>RSD_DTA2_SC_ELC_N_IM02</v>
      </c>
      <c r="C21" s="26" t="str">
        <f t="shared" si="8"/>
        <v>Detached A2 SpCool A/C (Class A+) (N)</v>
      </c>
      <c r="D21" s="26" t="str">
        <f>Commodities!$D$341</f>
        <v>RSDELC</v>
      </c>
      <c r="E21" s="26" t="str">
        <f>E20</f>
        <v>RSD_DTA2_SC</v>
      </c>
      <c r="F21" s="84">
        <f t="shared" si="4"/>
        <v>2030</v>
      </c>
      <c r="G21" s="62">
        <v>2030</v>
      </c>
      <c r="H21" s="72">
        <v>3.5</v>
      </c>
      <c r="I21" s="72"/>
      <c r="J21" s="118">
        <f t="shared" si="7"/>
        <v>689</v>
      </c>
      <c r="K21" s="118">
        <f t="shared" si="7"/>
        <v>3.4450000000000003</v>
      </c>
      <c r="L21" s="72">
        <v>0</v>
      </c>
      <c r="M21" s="57">
        <v>10</v>
      </c>
      <c r="N21" s="72">
        <v>31.536000000000001</v>
      </c>
      <c r="O21" s="26"/>
      <c r="P21" s="10"/>
      <c r="Q21" s="10"/>
      <c r="S21" s="11"/>
      <c r="T21" s="11"/>
      <c r="U21" s="11" t="str">
        <f>Commodities!$AD$33&amp;"_"&amp;RIGHT(Commodities!$D$340,3)&amp;"_"&amp;$U$3&amp;"_AD01"</f>
        <v>RSD_DTA2_SC_ELC_N_AD01</v>
      </c>
      <c r="V21" s="11" t="s">
        <v>1023</v>
      </c>
      <c r="W21" s="22" t="str">
        <f>General!$B$2</f>
        <v>PJ</v>
      </c>
      <c r="X21" s="22" t="str">
        <f>General!$B$5</f>
        <v>GW</v>
      </c>
      <c r="Y21" s="22" t="s">
        <v>723</v>
      </c>
      <c r="Z21" s="22"/>
      <c r="AA21" s="11"/>
      <c r="AB21" s="26"/>
      <c r="AC21" s="10"/>
    </row>
    <row r="22" spans="1:32" ht="13.8" x14ac:dyDescent="0.25">
      <c r="A22" s="10"/>
      <c r="B22" s="11" t="str">
        <f t="shared" si="8"/>
        <v>RSD_DTA2_SC_ELC_N_AD01</v>
      </c>
      <c r="C22" s="11" t="str">
        <f t="shared" si="8"/>
        <v>Detached A2 SpCool A/C (Class A++) (N)</v>
      </c>
      <c r="D22" s="11" t="str">
        <f>Commodities!$D$341</f>
        <v>RSDELC</v>
      </c>
      <c r="E22" s="11" t="str">
        <f>E21</f>
        <v>RSD_DTA2_SC</v>
      </c>
      <c r="F22" s="89">
        <f>G22</f>
        <v>2035</v>
      </c>
      <c r="G22" s="64">
        <v>2035</v>
      </c>
      <c r="H22" s="73">
        <v>4</v>
      </c>
      <c r="I22" s="73"/>
      <c r="J22" s="119">
        <f t="shared" si="7"/>
        <v>792.34999999999991</v>
      </c>
      <c r="K22" s="119">
        <f t="shared" si="7"/>
        <v>3.9617499999999994</v>
      </c>
      <c r="L22" s="73" t="s">
        <v>848</v>
      </c>
      <c r="M22" s="22">
        <v>10</v>
      </c>
      <c r="N22" s="73">
        <v>31.536000000000001</v>
      </c>
      <c r="O22" s="26"/>
      <c r="P22" s="10"/>
      <c r="Q22" s="10"/>
      <c r="S22" s="26"/>
      <c r="T22" s="26"/>
      <c r="U22" s="26" t="str">
        <f>Commodities!$AD$34&amp;"_"&amp;RIGHT(Commodities!$D$340,3)&amp;"_"&amp;$U$3&amp;"_ST01"</f>
        <v>RSD_APA2_SC_ELC_N_ST01</v>
      </c>
      <c r="V22" s="26" t="s">
        <v>1024</v>
      </c>
      <c r="W22" s="57" t="str">
        <f>General!$B$2</f>
        <v>PJ</v>
      </c>
      <c r="X22" s="57" t="str">
        <f>General!$B$5</f>
        <v>GW</v>
      </c>
      <c r="Y22" s="57" t="s">
        <v>723</v>
      </c>
      <c r="Z22" s="57"/>
      <c r="AA22" s="26"/>
      <c r="AB22" s="26"/>
      <c r="AC22" s="10"/>
    </row>
    <row r="23" spans="1:32" ht="13.8" x14ac:dyDescent="0.25">
      <c r="B23" s="26" t="str">
        <f t="shared" si="8"/>
        <v>RSD_APA2_SC_ELC_N_ST01</v>
      </c>
      <c r="C23" s="26" t="str">
        <f t="shared" si="8"/>
        <v>Apartment A2 SpCool A/C (Class B) (N)</v>
      </c>
      <c r="D23" s="26" t="str">
        <f>Commodities!$D$341</f>
        <v>RSDELC</v>
      </c>
      <c r="E23" s="26" t="str">
        <f>Commodities!$AD$34</f>
        <v>RSD_APA2_SC</v>
      </c>
      <c r="F23" s="84">
        <f>G23</f>
        <v>2018</v>
      </c>
      <c r="G23" s="62">
        <f>BASE_YEAR+1</f>
        <v>2018</v>
      </c>
      <c r="H23" s="96">
        <v>2.5</v>
      </c>
      <c r="I23" s="96"/>
      <c r="J23" s="117">
        <f>J18</f>
        <v>472</v>
      </c>
      <c r="K23" s="117">
        <f>K18</f>
        <v>2.36</v>
      </c>
      <c r="L23" s="96">
        <v>0</v>
      </c>
      <c r="M23" s="57">
        <v>10</v>
      </c>
      <c r="N23" s="72">
        <v>31.536000000000001</v>
      </c>
      <c r="O23" s="26"/>
      <c r="P23" s="10"/>
      <c r="Q23" s="10"/>
      <c r="S23" s="26"/>
      <c r="T23" s="26"/>
      <c r="U23" s="26" t="str">
        <f>Commodities!$AD$34&amp;"_"&amp;RIGHT(Commodities!$D$340,3)&amp;"_"&amp;$U$3&amp;"_ST02"</f>
        <v>RSD_APA2_SC_ELC_N_ST02</v>
      </c>
      <c r="V23" s="26" t="s">
        <v>1025</v>
      </c>
      <c r="W23" s="57" t="str">
        <f>General!$B$2</f>
        <v>PJ</v>
      </c>
      <c r="X23" s="57" t="str">
        <f>General!$B$5</f>
        <v>GW</v>
      </c>
      <c r="Y23" s="57" t="s">
        <v>723</v>
      </c>
      <c r="Z23" s="57"/>
      <c r="AA23" s="26"/>
      <c r="AB23" s="26"/>
      <c r="AC23" s="10"/>
    </row>
    <row r="24" spans="1:32" ht="13.8" x14ac:dyDescent="0.25">
      <c r="B24" s="26" t="str">
        <f t="shared" si="8"/>
        <v>RSD_APA2_SC_ELC_N_ST02</v>
      </c>
      <c r="C24" s="26" t="str">
        <f t="shared" si="8"/>
        <v>Apartment A2 SpCool Fans (N)</v>
      </c>
      <c r="D24" s="26" t="str">
        <f>Commodities!$D$341</f>
        <v>RSDELC</v>
      </c>
      <c r="E24" s="26" t="str">
        <f>E23</f>
        <v>RSD_APA2_SC</v>
      </c>
      <c r="F24" s="84">
        <f t="shared" si="4"/>
        <v>2018</v>
      </c>
      <c r="G24" s="62">
        <f>BASE_YEAR+1</f>
        <v>2018</v>
      </c>
      <c r="H24" s="72">
        <v>0.2</v>
      </c>
      <c r="I24" s="72"/>
      <c r="J24" s="118">
        <f t="shared" ref="J24:K27" si="9">J19</f>
        <v>55.555555555555557</v>
      </c>
      <c r="K24" s="118" t="str">
        <f t="shared" si="9"/>
        <v xml:space="preserve"> </v>
      </c>
      <c r="L24" s="72" t="s">
        <v>849</v>
      </c>
      <c r="M24" s="57">
        <v>10</v>
      </c>
      <c r="N24" s="72">
        <f>31.536/6</f>
        <v>5.2560000000000002</v>
      </c>
      <c r="P24" s="10"/>
      <c r="S24" s="26"/>
      <c r="T24" s="26"/>
      <c r="U24" s="26" t="str">
        <f>Commodities!$AD$34&amp;"_"&amp;RIGHT(Commodities!$D$340,3)&amp;"_"&amp;$U$3&amp;"_IM01"</f>
        <v>RSD_APA2_SC_ELC_N_IM01</v>
      </c>
      <c r="V24" s="26" t="s">
        <v>1026</v>
      </c>
      <c r="W24" s="57" t="str">
        <f>General!$B$2</f>
        <v>PJ</v>
      </c>
      <c r="X24" s="57" t="str">
        <f>General!$B$5</f>
        <v>GW</v>
      </c>
      <c r="Y24" s="57" t="s">
        <v>723</v>
      </c>
      <c r="Z24" s="57"/>
      <c r="AA24" s="26"/>
      <c r="AB24" s="26"/>
      <c r="AC24" s="10"/>
    </row>
    <row r="25" spans="1:32" ht="13.8" x14ac:dyDescent="0.25">
      <c r="B25" s="26" t="str">
        <f t="shared" si="8"/>
        <v>RSD_APA2_SC_ELC_N_IM01</v>
      </c>
      <c r="C25" s="26" t="str">
        <f t="shared" si="8"/>
        <v>Apartment A2 SpCool A/C (Class A) (N)</v>
      </c>
      <c r="D25" s="26" t="str">
        <f>Commodities!$D$341</f>
        <v>RSDELC</v>
      </c>
      <c r="E25" s="26" t="str">
        <f>E24</f>
        <v>RSD_APA2_SC</v>
      </c>
      <c r="F25" s="84">
        <f t="shared" si="4"/>
        <v>2025</v>
      </c>
      <c r="G25" s="62">
        <v>2025</v>
      </c>
      <c r="H25" s="72">
        <v>3</v>
      </c>
      <c r="I25" s="72"/>
      <c r="J25" s="118">
        <f t="shared" si="9"/>
        <v>551.20000000000005</v>
      </c>
      <c r="K25" s="118">
        <f t="shared" si="9"/>
        <v>2.7560000000000002</v>
      </c>
      <c r="L25" s="72">
        <v>0</v>
      </c>
      <c r="M25" s="57">
        <v>10</v>
      </c>
      <c r="N25" s="72">
        <v>31.536000000000001</v>
      </c>
      <c r="S25" s="26"/>
      <c r="T25" s="26"/>
      <c r="U25" s="26" t="str">
        <f>Commodities!$AD$34&amp;"_"&amp;RIGHT(Commodities!$D$340,3)&amp;"_"&amp;$U$3&amp;"_IM02"</f>
        <v>RSD_APA2_SC_ELC_N_IM02</v>
      </c>
      <c r="V25" s="26" t="s">
        <v>1027</v>
      </c>
      <c r="W25" s="57" t="str">
        <f>General!$B$2</f>
        <v>PJ</v>
      </c>
      <c r="X25" s="57" t="str">
        <f>General!$B$5</f>
        <v>GW</v>
      </c>
      <c r="Y25" s="57" t="s">
        <v>723</v>
      </c>
      <c r="Z25" s="57"/>
      <c r="AA25" s="26"/>
      <c r="AC25" s="10"/>
    </row>
    <row r="26" spans="1:32" ht="13.8" x14ac:dyDescent="0.25">
      <c r="B26" s="26" t="str">
        <f t="shared" si="8"/>
        <v>RSD_APA2_SC_ELC_N_IM02</v>
      </c>
      <c r="C26" s="26" t="str">
        <f t="shared" si="8"/>
        <v>Apartment A2 SpCool A/C (Class A+) (N)</v>
      </c>
      <c r="D26" s="26" t="str">
        <f>Commodities!$D$341</f>
        <v>RSDELC</v>
      </c>
      <c r="E26" s="26" t="str">
        <f>E25</f>
        <v>RSD_APA2_SC</v>
      </c>
      <c r="F26" s="84">
        <f t="shared" si="4"/>
        <v>2030</v>
      </c>
      <c r="G26" s="62">
        <v>2030</v>
      </c>
      <c r="H26" s="72">
        <v>3.5</v>
      </c>
      <c r="I26" s="72"/>
      <c r="J26" s="118">
        <f t="shared" si="9"/>
        <v>689</v>
      </c>
      <c r="K26" s="118">
        <f t="shared" si="9"/>
        <v>3.4450000000000003</v>
      </c>
      <c r="L26" s="72">
        <v>0</v>
      </c>
      <c r="M26" s="57">
        <v>10</v>
      </c>
      <c r="N26" s="72">
        <v>31.536000000000001</v>
      </c>
      <c r="S26" s="11"/>
      <c r="T26" s="11"/>
      <c r="U26" s="11" t="str">
        <f>Commodities!$AD$34&amp;"_"&amp;RIGHT(Commodities!$D$340,3)&amp;"_"&amp;$U$3&amp;"_AD01"</f>
        <v>RSD_APA2_SC_ELC_N_AD01</v>
      </c>
      <c r="V26" s="11" t="s">
        <v>1028</v>
      </c>
      <c r="W26" s="22" t="str">
        <f>General!$B$2</f>
        <v>PJ</v>
      </c>
      <c r="X26" s="22" t="str">
        <f>General!$B$5</f>
        <v>GW</v>
      </c>
      <c r="Y26" s="22" t="s">
        <v>723</v>
      </c>
      <c r="Z26" s="22"/>
      <c r="AA26" s="11"/>
      <c r="AC26" s="10"/>
    </row>
    <row r="27" spans="1:32" ht="13.8" x14ac:dyDescent="0.25">
      <c r="B27" s="11" t="str">
        <f t="shared" si="8"/>
        <v>RSD_APA2_SC_ELC_N_AD01</v>
      </c>
      <c r="C27" s="11" t="str">
        <f t="shared" si="8"/>
        <v>Apartment A2 SpCool A/C (Class A++) (N)</v>
      </c>
      <c r="D27" s="11" t="str">
        <f>Commodities!$D$341</f>
        <v>RSDELC</v>
      </c>
      <c r="E27" s="11" t="str">
        <f>E26</f>
        <v>RSD_APA2_SC</v>
      </c>
      <c r="F27" s="89">
        <f>G27</f>
        <v>2035</v>
      </c>
      <c r="G27" s="64">
        <v>2035</v>
      </c>
      <c r="H27" s="73">
        <v>4</v>
      </c>
      <c r="I27" s="73"/>
      <c r="J27" s="119">
        <f t="shared" si="9"/>
        <v>792.34999999999991</v>
      </c>
      <c r="K27" s="119">
        <f t="shared" si="9"/>
        <v>3.9617499999999994</v>
      </c>
      <c r="L27" s="73" t="s">
        <v>848</v>
      </c>
      <c r="M27" s="22">
        <v>10</v>
      </c>
      <c r="N27" s="73">
        <v>31.536000000000001</v>
      </c>
      <c r="S27" s="26"/>
      <c r="T27" s="26"/>
      <c r="U27" s="26" t="str">
        <f>Commodities!$AD$35&amp;"_"&amp;RIGHT(Commodities!$D$340,3)&amp;"_"&amp;$U$3&amp;"_ST01"</f>
        <v>RSD_DTA3_SC_ELC_N_ST01</v>
      </c>
      <c r="V27" s="26" t="s">
        <v>1029</v>
      </c>
      <c r="W27" s="57" t="str">
        <f>General!$B$2</f>
        <v>PJ</v>
      </c>
      <c r="X27" s="57" t="str">
        <f>General!$B$5</f>
        <v>GW</v>
      </c>
      <c r="Y27" s="57" t="s">
        <v>723</v>
      </c>
      <c r="Z27" s="57"/>
      <c r="AA27" s="26"/>
      <c r="AC27" s="10"/>
    </row>
    <row r="28" spans="1:32" ht="13.8" x14ac:dyDescent="0.25">
      <c r="B28" s="26" t="str">
        <f t="shared" ref="B28:B29" si="10">U27</f>
        <v>RSD_DTA3_SC_ELC_N_ST01</v>
      </c>
      <c r="C28" s="26" t="str">
        <f t="shared" ref="C28:C29" si="11">V27</f>
        <v>Detached A3   SpCool A/C (Class B) (N)</v>
      </c>
      <c r="D28" s="26" t="str">
        <f>Commodities!$D$341</f>
        <v>RSDELC</v>
      </c>
      <c r="E28" s="26" t="str">
        <f>Commodities!$AD$35</f>
        <v>RSD_DTA3_SC</v>
      </c>
      <c r="F28" s="84">
        <f t="shared" ref="F28:F32" si="12">G28</f>
        <v>2018</v>
      </c>
      <c r="G28" s="62">
        <f>BASE_YEAR+1</f>
        <v>2018</v>
      </c>
      <c r="H28" s="96">
        <v>2.5</v>
      </c>
      <c r="I28" s="72"/>
      <c r="J28" s="118">
        <f>J23</f>
        <v>472</v>
      </c>
      <c r="K28" s="118">
        <f>K23</f>
        <v>2.36</v>
      </c>
      <c r="L28" s="72">
        <v>0</v>
      </c>
      <c r="M28" s="57">
        <v>10</v>
      </c>
      <c r="N28" s="72">
        <v>31.536000000000001</v>
      </c>
      <c r="S28" s="26"/>
      <c r="T28" s="26"/>
      <c r="U28" s="26" t="str">
        <f>Commodities!$AD$35&amp;"_"&amp;RIGHT(Commodities!$D$340,3)&amp;"_"&amp;$U$3&amp;"_ST02"</f>
        <v>RSD_DTA3_SC_ELC_N_ST02</v>
      </c>
      <c r="V28" s="26" t="s">
        <v>1030</v>
      </c>
      <c r="W28" s="57" t="str">
        <f>General!$B$2</f>
        <v>PJ</v>
      </c>
      <c r="X28" s="57" t="str">
        <f>General!$B$5</f>
        <v>GW</v>
      </c>
      <c r="Y28" s="57" t="s">
        <v>723</v>
      </c>
      <c r="Z28" s="57"/>
      <c r="AA28" s="26"/>
    </row>
    <row r="29" spans="1:32" ht="13.8" x14ac:dyDescent="0.25">
      <c r="B29" s="26" t="str">
        <f t="shared" si="10"/>
        <v>RSD_DTA3_SC_ELC_N_ST02</v>
      </c>
      <c r="C29" s="26" t="str">
        <f t="shared" si="11"/>
        <v>Detached A3   SpCool Fans (N)</v>
      </c>
      <c r="D29" s="26" t="str">
        <f>Commodities!$D$341</f>
        <v>RSDELC</v>
      </c>
      <c r="E29" s="26" t="str">
        <f t="shared" ref="E29:E32" si="13">E28</f>
        <v>RSD_DTA3_SC</v>
      </c>
      <c r="F29" s="84">
        <f t="shared" si="12"/>
        <v>2018</v>
      </c>
      <c r="G29" s="62">
        <f>BASE_YEAR+1</f>
        <v>2018</v>
      </c>
      <c r="H29" s="72">
        <v>0.2</v>
      </c>
      <c r="I29" s="72"/>
      <c r="J29" s="118">
        <f t="shared" ref="J29:K32" si="14">J24</f>
        <v>55.555555555555557</v>
      </c>
      <c r="K29" s="118" t="str">
        <f t="shared" si="14"/>
        <v xml:space="preserve"> </v>
      </c>
      <c r="L29" s="72" t="s">
        <v>849</v>
      </c>
      <c r="M29" s="57">
        <v>10</v>
      </c>
      <c r="N29" s="72">
        <f>31.536/6</f>
        <v>5.2560000000000002</v>
      </c>
      <c r="S29" s="26"/>
      <c r="T29" s="26"/>
      <c r="U29" s="26" t="str">
        <f>Commodities!$AD$35&amp;"_"&amp;RIGHT(Commodities!$D$340,3)&amp;"_"&amp;$U$3&amp;"_IM01"</f>
        <v>RSD_DTA3_SC_ELC_N_IM01</v>
      </c>
      <c r="V29" s="26" t="s">
        <v>1031</v>
      </c>
      <c r="W29" s="57" t="str">
        <f>General!$B$2</f>
        <v>PJ</v>
      </c>
      <c r="X29" s="57" t="str">
        <f>General!$B$5</f>
        <v>GW</v>
      </c>
      <c r="Y29" s="57" t="s">
        <v>723</v>
      </c>
      <c r="Z29" s="57"/>
      <c r="AA29" s="26"/>
    </row>
    <row r="30" spans="1:32" ht="13.8" x14ac:dyDescent="0.25">
      <c r="B30" s="26" t="str">
        <f t="shared" ref="B30:C32" si="15">U29</f>
        <v>RSD_DTA3_SC_ELC_N_IM01</v>
      </c>
      <c r="C30" s="26" t="str">
        <f t="shared" si="15"/>
        <v>Detached A3   SpCool A/C (Class A) (N)</v>
      </c>
      <c r="D30" s="26" t="str">
        <f>Commodities!$D$341</f>
        <v>RSDELC</v>
      </c>
      <c r="E30" s="26" t="str">
        <f>E29</f>
        <v>RSD_DTA3_SC</v>
      </c>
      <c r="F30" s="84">
        <f t="shared" si="12"/>
        <v>2025</v>
      </c>
      <c r="G30" s="62">
        <v>2025</v>
      </c>
      <c r="H30" s="72">
        <v>3</v>
      </c>
      <c r="I30" s="72"/>
      <c r="J30" s="118">
        <f t="shared" si="14"/>
        <v>551.20000000000005</v>
      </c>
      <c r="K30" s="118">
        <f t="shared" si="14"/>
        <v>2.7560000000000002</v>
      </c>
      <c r="L30" s="72">
        <v>0</v>
      </c>
      <c r="M30" s="57">
        <v>10</v>
      </c>
      <c r="N30" s="72">
        <v>31.536000000000001</v>
      </c>
      <c r="S30" s="26"/>
      <c r="T30" s="26"/>
      <c r="U30" s="26" t="str">
        <f>Commodities!$AD$35&amp;"_"&amp;RIGHT(Commodities!$D$340,3)&amp;"_"&amp;$U$3&amp;"_IM02"</f>
        <v>RSD_DTA3_SC_ELC_N_IM02</v>
      </c>
      <c r="V30" s="26" t="s">
        <v>1032</v>
      </c>
      <c r="W30" s="57" t="str">
        <f>General!$B$2</f>
        <v>PJ</v>
      </c>
      <c r="X30" s="57" t="str">
        <f>General!$B$5</f>
        <v>GW</v>
      </c>
      <c r="Y30" s="57" t="s">
        <v>723</v>
      </c>
      <c r="Z30" s="57"/>
      <c r="AA30" s="26"/>
    </row>
    <row r="31" spans="1:32" ht="13.8" x14ac:dyDescent="0.25">
      <c r="B31" s="26" t="str">
        <f t="shared" si="15"/>
        <v>RSD_DTA3_SC_ELC_N_IM02</v>
      </c>
      <c r="C31" s="26" t="str">
        <f t="shared" si="15"/>
        <v>Detached A3   SpCool A/C (Class A+) (N)</v>
      </c>
      <c r="D31" s="26" t="str">
        <f>Commodities!$D$341</f>
        <v>RSDELC</v>
      </c>
      <c r="E31" s="26" t="str">
        <f t="shared" si="13"/>
        <v>RSD_DTA3_SC</v>
      </c>
      <c r="F31" s="84">
        <f t="shared" si="12"/>
        <v>2030</v>
      </c>
      <c r="G31" s="62">
        <v>2030</v>
      </c>
      <c r="H31" s="72">
        <v>3.5</v>
      </c>
      <c r="I31" s="72"/>
      <c r="J31" s="118">
        <f t="shared" si="14"/>
        <v>689</v>
      </c>
      <c r="K31" s="118">
        <f t="shared" si="14"/>
        <v>3.4450000000000003</v>
      </c>
      <c r="L31" s="72">
        <v>0</v>
      </c>
      <c r="M31" s="57">
        <v>10</v>
      </c>
      <c r="N31" s="72">
        <v>31.536000000000001</v>
      </c>
      <c r="S31" s="11"/>
      <c r="T31" s="11"/>
      <c r="U31" s="11" t="str">
        <f>Commodities!$AD$35&amp;"_"&amp;RIGHT(Commodities!$D$340,3)&amp;"_"&amp;$U$3&amp;"_AD01"</f>
        <v>RSD_DTA3_SC_ELC_N_AD01</v>
      </c>
      <c r="V31" s="11" t="s">
        <v>1033</v>
      </c>
      <c r="W31" s="22" t="str">
        <f>General!$B$2</f>
        <v>PJ</v>
      </c>
      <c r="X31" s="22" t="str">
        <f>General!$B$5</f>
        <v>GW</v>
      </c>
      <c r="Y31" s="22" t="s">
        <v>723</v>
      </c>
      <c r="Z31" s="22"/>
      <c r="AA31" s="11"/>
    </row>
    <row r="32" spans="1:32" ht="13.8" x14ac:dyDescent="0.25">
      <c r="B32" s="11" t="str">
        <f t="shared" si="15"/>
        <v>RSD_DTA3_SC_ELC_N_AD01</v>
      </c>
      <c r="C32" s="11" t="str">
        <f t="shared" si="15"/>
        <v>Detached A3   SpCool A/C (Class A++) (N)</v>
      </c>
      <c r="D32" s="11" t="str">
        <f>Commodities!$D$341</f>
        <v>RSDELC</v>
      </c>
      <c r="E32" s="11" t="str">
        <f t="shared" si="13"/>
        <v>RSD_DTA3_SC</v>
      </c>
      <c r="F32" s="89">
        <f t="shared" si="12"/>
        <v>2035</v>
      </c>
      <c r="G32" s="64">
        <v>2035</v>
      </c>
      <c r="H32" s="73">
        <v>4</v>
      </c>
      <c r="I32" s="73"/>
      <c r="J32" s="119">
        <f t="shared" si="14"/>
        <v>792.34999999999991</v>
      </c>
      <c r="K32" s="119">
        <f t="shared" si="14"/>
        <v>3.9617499999999994</v>
      </c>
      <c r="L32" s="73" t="s">
        <v>848</v>
      </c>
      <c r="M32" s="22">
        <v>10</v>
      </c>
      <c r="N32" s="73">
        <v>31.536000000000001</v>
      </c>
      <c r="S32" s="26"/>
      <c r="T32" s="53"/>
      <c r="U32" s="53" t="str">
        <f>Commodities!$AD$36&amp;"_"&amp;RIGHT(Commodities!$D$340,3)&amp;"_"&amp;$U$3&amp;"_ST01"</f>
        <v>RSD_APA3_SC_ELC_N_ST01</v>
      </c>
      <c r="V32" s="53" t="s">
        <v>1034</v>
      </c>
      <c r="W32" s="55" t="str">
        <f>General!$B$2</f>
        <v>PJ</v>
      </c>
      <c r="X32" s="55" t="str">
        <f>General!$B$5</f>
        <v>GW</v>
      </c>
      <c r="Y32" s="55" t="s">
        <v>723</v>
      </c>
      <c r="Z32" s="57"/>
      <c r="AA32" s="26"/>
    </row>
    <row r="33" spans="2:29" ht="13.8" x14ac:dyDescent="0.25">
      <c r="B33" s="26" t="str">
        <f t="shared" ref="B33:C40" si="16">U32</f>
        <v>RSD_APA3_SC_ELC_N_ST01</v>
      </c>
      <c r="C33" s="26" t="str">
        <f t="shared" si="16"/>
        <v>Apartment A3 SpCool A/C (Class B) (N)</v>
      </c>
      <c r="D33" s="26" t="str">
        <f>Commodities!$D$341</f>
        <v>RSDELC</v>
      </c>
      <c r="E33" s="26" t="str">
        <f>Commodities!$AD$36</f>
        <v>RSD_APA3_SC</v>
      </c>
      <c r="F33" s="84">
        <f t="shared" ref="F33:F43" si="17">G33</f>
        <v>2018</v>
      </c>
      <c r="G33" s="62">
        <f>BASE_YEAR+1</f>
        <v>2018</v>
      </c>
      <c r="H33" s="72">
        <v>2.5</v>
      </c>
      <c r="I33" s="72"/>
      <c r="J33" s="118">
        <f>J28</f>
        <v>472</v>
      </c>
      <c r="K33" s="118">
        <f>K28</f>
        <v>2.36</v>
      </c>
      <c r="L33" s="72">
        <v>0</v>
      </c>
      <c r="M33" s="57">
        <v>10</v>
      </c>
      <c r="N33" s="72">
        <v>31.536000000000001</v>
      </c>
      <c r="S33" s="26"/>
      <c r="T33" s="26"/>
      <c r="U33" s="26" t="str">
        <f>Commodities!$AD$36&amp;"_"&amp;RIGHT(Commodities!$D$340,3)&amp;"_"&amp;$U$3&amp;"_ST02"</f>
        <v>RSD_APA3_SC_ELC_N_ST02</v>
      </c>
      <c r="V33" s="26" t="s">
        <v>1035</v>
      </c>
      <c r="W33" s="57" t="str">
        <f>General!$B$2</f>
        <v>PJ</v>
      </c>
      <c r="X33" s="57" t="str">
        <f>General!$B$5</f>
        <v>GW</v>
      </c>
      <c r="Y33" s="57" t="s">
        <v>723</v>
      </c>
      <c r="Z33" s="57"/>
      <c r="AA33" s="26"/>
    </row>
    <row r="34" spans="2:29" ht="13.8" x14ac:dyDescent="0.25">
      <c r="B34" s="26" t="str">
        <f t="shared" si="16"/>
        <v>RSD_APA3_SC_ELC_N_ST02</v>
      </c>
      <c r="C34" s="26" t="str">
        <f t="shared" si="16"/>
        <v>Apartment A3 SpCool Fans (N)</v>
      </c>
      <c r="D34" s="26" t="str">
        <f>Commodities!$D$341</f>
        <v>RSDELC</v>
      </c>
      <c r="E34" s="26" t="str">
        <f>E33</f>
        <v>RSD_APA3_SC</v>
      </c>
      <c r="F34" s="84">
        <f t="shared" si="17"/>
        <v>2018</v>
      </c>
      <c r="G34" s="62">
        <f>BASE_YEAR+1</f>
        <v>2018</v>
      </c>
      <c r="H34" s="72">
        <v>0.2</v>
      </c>
      <c r="I34" s="72"/>
      <c r="J34" s="118">
        <f>J29</f>
        <v>55.555555555555557</v>
      </c>
      <c r="K34" s="118" t="str">
        <f>K29</f>
        <v xml:space="preserve"> </v>
      </c>
      <c r="L34" s="72" t="s">
        <v>849</v>
      </c>
      <c r="M34" s="57">
        <v>10</v>
      </c>
      <c r="N34" s="72">
        <f>31.536/6</f>
        <v>5.2560000000000002</v>
      </c>
      <c r="S34" s="26"/>
      <c r="T34" s="26"/>
      <c r="U34" s="26" t="str">
        <f>Commodities!$AD$36&amp;"_"&amp;RIGHT(Commodities!$D$340,3)&amp;"_"&amp;$U$3&amp;"_ST03"</f>
        <v>RSD_APA3_SC_ELC_N_ST03</v>
      </c>
      <c r="V34" s="26" t="s">
        <v>1036</v>
      </c>
      <c r="W34" s="57" t="str">
        <f>General!$B$2</f>
        <v>PJ</v>
      </c>
      <c r="X34" s="57" t="str">
        <f>General!$B$5</f>
        <v>GW</v>
      </c>
      <c r="Y34" s="57" t="s">
        <v>723</v>
      </c>
      <c r="Z34" s="57"/>
      <c r="AA34" s="26"/>
    </row>
    <row r="35" spans="2:29" ht="14.4" x14ac:dyDescent="0.3">
      <c r="B35" s="26" t="str">
        <f t="shared" si="16"/>
        <v>RSD_APA3_SC_ELC_N_ST03</v>
      </c>
      <c r="C35" s="26" t="str">
        <f t="shared" si="16"/>
        <v>Apartment A3 Central A/C(N)</v>
      </c>
      <c r="D35" s="26" t="str">
        <f>Commodities!$D$341</f>
        <v>RSDELC</v>
      </c>
      <c r="E35" s="26" t="str">
        <f>E34</f>
        <v>RSD_APA3_SC</v>
      </c>
      <c r="F35" s="84">
        <f t="shared" si="17"/>
        <v>2100</v>
      </c>
      <c r="G35" s="120">
        <v>2100</v>
      </c>
      <c r="H35" s="72">
        <v>3</v>
      </c>
      <c r="I35" s="72"/>
      <c r="J35" s="118">
        <f>J33*2</f>
        <v>944</v>
      </c>
      <c r="K35" s="118">
        <f>K33*2</f>
        <v>4.72</v>
      </c>
      <c r="L35" s="72">
        <v>0</v>
      </c>
      <c r="M35" s="57">
        <v>10</v>
      </c>
      <c r="N35" s="72">
        <v>31.536000000000001</v>
      </c>
      <c r="S35" s="26"/>
      <c r="T35" s="26"/>
      <c r="U35" s="26" t="str">
        <f>Commodities!$AD$36&amp;"_"&amp;RIGHT(Commodities!$D$340,3)&amp;"_"&amp;$U$3&amp;"_IM01"</f>
        <v>RSD_APA3_SC_ELC_N_IM01</v>
      </c>
      <c r="V35" s="26" t="s">
        <v>1037</v>
      </c>
      <c r="W35" s="57" t="str">
        <f>General!$B$2</f>
        <v>PJ</v>
      </c>
      <c r="X35" s="57" t="str">
        <f>General!$B$5</f>
        <v>GW</v>
      </c>
      <c r="Y35" s="57" t="s">
        <v>723</v>
      </c>
      <c r="Z35" s="57"/>
      <c r="AA35" s="26"/>
      <c r="AC35" s="10"/>
    </row>
    <row r="36" spans="2:29" ht="13.8" x14ac:dyDescent="0.25">
      <c r="B36" s="26" t="str">
        <f t="shared" si="16"/>
        <v>RSD_APA3_SC_ELC_N_IM01</v>
      </c>
      <c r="C36" s="26" t="str">
        <f t="shared" si="16"/>
        <v>Apartment A3 SpCool A/C (Class A) (N)</v>
      </c>
      <c r="D36" s="26" t="str">
        <f>Commodities!$D$341</f>
        <v>RSDELC</v>
      </c>
      <c r="E36" s="26" t="str">
        <f>E35</f>
        <v>RSD_APA3_SC</v>
      </c>
      <c r="F36" s="84">
        <f t="shared" si="17"/>
        <v>2025</v>
      </c>
      <c r="G36" s="62">
        <v>2025</v>
      </c>
      <c r="H36" s="72">
        <v>3</v>
      </c>
      <c r="I36" s="72"/>
      <c r="J36" s="118">
        <f>J30</f>
        <v>551.20000000000005</v>
      </c>
      <c r="K36" s="118">
        <f>K30</f>
        <v>2.7560000000000002</v>
      </c>
      <c r="L36" s="72">
        <v>0</v>
      </c>
      <c r="M36" s="57">
        <v>10</v>
      </c>
      <c r="N36" s="72">
        <v>31.536000000000001</v>
      </c>
      <c r="S36" s="26"/>
      <c r="T36" s="26"/>
      <c r="U36" s="26" t="str">
        <f>Commodities!$AD$36&amp;"_"&amp;RIGHT(Commodities!$D$340,3)&amp;"_"&amp;$U$3&amp;"_IM02"</f>
        <v>RSD_APA3_SC_ELC_N_IM02</v>
      </c>
      <c r="V36" s="26" t="s">
        <v>1038</v>
      </c>
      <c r="W36" s="57" t="str">
        <f>General!$B$2</f>
        <v>PJ</v>
      </c>
      <c r="X36" s="57" t="str">
        <f>General!$B$5</f>
        <v>GW</v>
      </c>
      <c r="Y36" s="57" t="s">
        <v>723</v>
      </c>
      <c r="Z36" s="57"/>
      <c r="AA36" s="26"/>
      <c r="AC36" s="10"/>
    </row>
    <row r="37" spans="2:29" ht="13.8" x14ac:dyDescent="0.25">
      <c r="B37" s="26" t="str">
        <f t="shared" si="16"/>
        <v>RSD_APA3_SC_ELC_N_IM02</v>
      </c>
      <c r="C37" s="26" t="str">
        <f t="shared" si="16"/>
        <v>Apartment A3 SpCool A/C (Class A+) (N)</v>
      </c>
      <c r="D37" s="26" t="str">
        <f>Commodities!$D$341</f>
        <v>RSDELC</v>
      </c>
      <c r="E37" s="26" t="str">
        <f>E36</f>
        <v>RSD_APA3_SC</v>
      </c>
      <c r="F37" s="84">
        <f t="shared" si="17"/>
        <v>2030</v>
      </c>
      <c r="G37" s="62">
        <v>2030</v>
      </c>
      <c r="H37" s="72">
        <v>3.5</v>
      </c>
      <c r="I37" s="72"/>
      <c r="J37" s="118">
        <f t="shared" ref="J37:K38" si="18">J31</f>
        <v>689</v>
      </c>
      <c r="K37" s="118">
        <f t="shared" si="18"/>
        <v>3.4450000000000003</v>
      </c>
      <c r="L37" s="72">
        <v>0</v>
      </c>
      <c r="M37" s="57">
        <v>10</v>
      </c>
      <c r="N37" s="72">
        <v>31.536000000000001</v>
      </c>
      <c r="S37" s="11"/>
      <c r="T37" s="11"/>
      <c r="U37" s="11" t="str">
        <f>Commodities!$AD$36&amp;"_"&amp;RIGHT(Commodities!$D$340,3)&amp;"_"&amp;$U$3&amp;"_AD01"</f>
        <v>RSD_APA3_SC_ELC_N_AD01</v>
      </c>
      <c r="V37" s="11" t="s">
        <v>1039</v>
      </c>
      <c r="W37" s="22" t="str">
        <f>General!$B$2</f>
        <v>PJ</v>
      </c>
      <c r="X37" s="22" t="str">
        <f>General!$B$5</f>
        <v>GW</v>
      </c>
      <c r="Y37" s="22" t="s">
        <v>723</v>
      </c>
      <c r="Z37" s="22"/>
      <c r="AA37" s="11"/>
      <c r="AC37" s="10"/>
    </row>
    <row r="38" spans="2:29" ht="13.8" x14ac:dyDescent="0.25">
      <c r="B38" s="11" t="str">
        <f t="shared" si="16"/>
        <v>RSD_APA3_SC_ELC_N_AD01</v>
      </c>
      <c r="C38" s="11" t="str">
        <f t="shared" si="16"/>
        <v>Apartment A3 SpCool A/C (Class A++) (N)</v>
      </c>
      <c r="D38" s="11" t="str">
        <f>Commodities!$D$341</f>
        <v>RSDELC</v>
      </c>
      <c r="E38" s="11" t="str">
        <f>E37</f>
        <v>RSD_APA3_SC</v>
      </c>
      <c r="F38" s="89">
        <f t="shared" si="17"/>
        <v>2035</v>
      </c>
      <c r="G38" s="64">
        <v>2035</v>
      </c>
      <c r="H38" s="73">
        <v>4</v>
      </c>
      <c r="I38" s="73"/>
      <c r="J38" s="119">
        <f t="shared" si="18"/>
        <v>792.34999999999991</v>
      </c>
      <c r="K38" s="119">
        <f t="shared" si="18"/>
        <v>3.9617499999999994</v>
      </c>
      <c r="L38" s="73" t="s">
        <v>848</v>
      </c>
      <c r="M38" s="22">
        <v>15</v>
      </c>
      <c r="N38" s="73">
        <v>31.536000000000001</v>
      </c>
      <c r="S38" s="26"/>
      <c r="T38" s="26"/>
      <c r="U38" s="26" t="str">
        <f>Commodities!$AD$37&amp;"_"&amp;RIGHT(Commodities!$D$340,3)&amp;"_"&amp;$U$3&amp;"_ST01"</f>
        <v>RSD_DTA4_SC_ELC_N_ST01</v>
      </c>
      <c r="V38" s="26" t="s">
        <v>1040</v>
      </c>
      <c r="W38" s="57" t="str">
        <f>General!$B$2</f>
        <v>PJ</v>
      </c>
      <c r="X38" s="57" t="str">
        <f>General!$B$5</f>
        <v>GW</v>
      </c>
      <c r="Y38" s="57" t="s">
        <v>723</v>
      </c>
      <c r="Z38" s="57"/>
      <c r="AA38" s="26"/>
      <c r="AC38" s="10"/>
    </row>
    <row r="39" spans="2:29" ht="13.8" x14ac:dyDescent="0.25">
      <c r="B39" s="26" t="str">
        <f t="shared" si="16"/>
        <v>RSD_DTA4_SC_ELC_N_ST01</v>
      </c>
      <c r="C39" s="26" t="str">
        <f t="shared" si="16"/>
        <v>Detached A4   SpCool A/C (Class B) (N)</v>
      </c>
      <c r="D39" s="26" t="str">
        <f>Commodities!$D$341</f>
        <v>RSDELC</v>
      </c>
      <c r="E39" s="26" t="str">
        <f>Commodities!$AD$37</f>
        <v>RSD_DTA4_SC</v>
      </c>
      <c r="F39" s="84">
        <f t="shared" si="17"/>
        <v>2018</v>
      </c>
      <c r="G39" s="62">
        <f>BASE_YEAR+1</f>
        <v>2018</v>
      </c>
      <c r="H39" s="96">
        <v>2.5</v>
      </c>
      <c r="I39" s="72"/>
      <c r="J39" s="118">
        <f>J28</f>
        <v>472</v>
      </c>
      <c r="K39" s="118">
        <f>K28</f>
        <v>2.36</v>
      </c>
      <c r="L39" s="72">
        <v>0</v>
      </c>
      <c r="M39" s="57">
        <v>10</v>
      </c>
      <c r="N39" s="72">
        <v>31.536000000000001</v>
      </c>
      <c r="S39" s="26"/>
      <c r="T39" s="26"/>
      <c r="U39" s="26" t="str">
        <f>Commodities!$AD$37&amp;"_"&amp;RIGHT(Commodities!$D$340,3)&amp;"_"&amp;$U$3&amp;"_ST02"</f>
        <v>RSD_DTA4_SC_ELC_N_ST02</v>
      </c>
      <c r="V39" s="26" t="s">
        <v>1041</v>
      </c>
      <c r="W39" s="57" t="str">
        <f>General!$B$2</f>
        <v>PJ</v>
      </c>
      <c r="X39" s="57" t="str">
        <f>General!$B$5</f>
        <v>GW</v>
      </c>
      <c r="Y39" s="57" t="s">
        <v>723</v>
      </c>
      <c r="Z39" s="57"/>
      <c r="AA39" s="26"/>
      <c r="AC39" s="10"/>
    </row>
    <row r="40" spans="2:29" ht="13.8" x14ac:dyDescent="0.25">
      <c r="B40" s="26" t="str">
        <f t="shared" si="16"/>
        <v>RSD_DTA4_SC_ELC_N_ST02</v>
      </c>
      <c r="C40" s="26" t="str">
        <f t="shared" si="16"/>
        <v>Detached A4   SpCool Fans (N)</v>
      </c>
      <c r="D40" s="26" t="str">
        <f>Commodities!$D$341</f>
        <v>RSDELC</v>
      </c>
      <c r="E40" s="26" t="str">
        <f t="shared" ref="E40:E43" si="19">E39</f>
        <v>RSD_DTA4_SC</v>
      </c>
      <c r="F40" s="84">
        <f t="shared" si="17"/>
        <v>2018</v>
      </c>
      <c r="G40" s="62">
        <f>BASE_YEAR+1</f>
        <v>2018</v>
      </c>
      <c r="H40" s="72">
        <v>0.2</v>
      </c>
      <c r="I40" s="72"/>
      <c r="J40" s="118">
        <f t="shared" ref="J40:K43" si="20">J29</f>
        <v>55.555555555555557</v>
      </c>
      <c r="K40" s="118" t="str">
        <f t="shared" si="20"/>
        <v xml:space="preserve"> </v>
      </c>
      <c r="L40" s="72" t="s">
        <v>849</v>
      </c>
      <c r="M40" s="57">
        <v>10</v>
      </c>
      <c r="N40" s="72">
        <f>31.536/6</f>
        <v>5.2560000000000002</v>
      </c>
      <c r="S40" s="26"/>
      <c r="T40" s="26"/>
      <c r="U40" s="26" t="str">
        <f>Commodities!$AD$37&amp;"_"&amp;RIGHT(Commodities!$D$340,3)&amp;"_"&amp;$U$3&amp;"_IM01"</f>
        <v>RSD_DTA4_SC_ELC_N_IM01</v>
      </c>
      <c r="V40" s="26" t="s">
        <v>1042</v>
      </c>
      <c r="W40" s="57" t="str">
        <f>General!$B$2</f>
        <v>PJ</v>
      </c>
      <c r="X40" s="57" t="str">
        <f>General!$B$5</f>
        <v>GW</v>
      </c>
      <c r="Y40" s="57" t="s">
        <v>723</v>
      </c>
      <c r="Z40" s="57"/>
      <c r="AA40" s="26"/>
    </row>
    <row r="41" spans="2:29" ht="13.8" x14ac:dyDescent="0.25">
      <c r="B41" s="26" t="str">
        <f t="shared" ref="B41:C43" si="21">U40</f>
        <v>RSD_DTA4_SC_ELC_N_IM01</v>
      </c>
      <c r="C41" s="26" t="str">
        <f t="shared" si="21"/>
        <v>Detached A4   SpCool A/C (Class A) (N)</v>
      </c>
      <c r="D41" s="26" t="str">
        <f>Commodities!$D$341</f>
        <v>RSDELC</v>
      </c>
      <c r="E41" s="26" t="str">
        <f>E40</f>
        <v>RSD_DTA4_SC</v>
      </c>
      <c r="F41" s="84">
        <f t="shared" si="17"/>
        <v>2025</v>
      </c>
      <c r="G41" s="62">
        <v>2025</v>
      </c>
      <c r="H41" s="72">
        <v>3</v>
      </c>
      <c r="I41" s="72"/>
      <c r="J41" s="118">
        <f t="shared" si="20"/>
        <v>551.20000000000005</v>
      </c>
      <c r="K41" s="118">
        <f t="shared" si="20"/>
        <v>2.7560000000000002</v>
      </c>
      <c r="L41" s="72">
        <v>0</v>
      </c>
      <c r="M41" s="57">
        <v>10</v>
      </c>
      <c r="N41" s="72">
        <v>31.536000000000001</v>
      </c>
      <c r="S41" s="26"/>
      <c r="T41" s="26"/>
      <c r="U41" s="26" t="str">
        <f>Commodities!$AD$37&amp;"_"&amp;RIGHT(Commodities!$D$340,3)&amp;"_"&amp;$U$3&amp;"_IM02"</f>
        <v>RSD_DTA4_SC_ELC_N_IM02</v>
      </c>
      <c r="V41" s="26" t="s">
        <v>1043</v>
      </c>
      <c r="W41" s="57" t="str">
        <f>General!$B$2</f>
        <v>PJ</v>
      </c>
      <c r="X41" s="57" t="str">
        <f>General!$B$5</f>
        <v>GW</v>
      </c>
      <c r="Y41" s="57" t="s">
        <v>723</v>
      </c>
      <c r="Z41" s="57"/>
      <c r="AA41" s="26"/>
    </row>
    <row r="42" spans="2:29" ht="13.8" x14ac:dyDescent="0.25">
      <c r="B42" s="26" t="str">
        <f t="shared" si="21"/>
        <v>RSD_DTA4_SC_ELC_N_IM02</v>
      </c>
      <c r="C42" s="26" t="str">
        <f t="shared" si="21"/>
        <v>Detached A4   SpCool A/C (Class A+) (N)</v>
      </c>
      <c r="D42" s="26" t="str">
        <f>Commodities!$D$341</f>
        <v>RSDELC</v>
      </c>
      <c r="E42" s="26" t="str">
        <f t="shared" si="19"/>
        <v>RSD_DTA4_SC</v>
      </c>
      <c r="F42" s="84">
        <f t="shared" si="17"/>
        <v>2030</v>
      </c>
      <c r="G42" s="62">
        <v>2030</v>
      </c>
      <c r="H42" s="72">
        <v>3.5</v>
      </c>
      <c r="I42" s="72"/>
      <c r="J42" s="118">
        <f t="shared" si="20"/>
        <v>689</v>
      </c>
      <c r="K42" s="118">
        <f t="shared" si="20"/>
        <v>3.4450000000000003</v>
      </c>
      <c r="L42" s="72">
        <v>0</v>
      </c>
      <c r="M42" s="57">
        <v>10</v>
      </c>
      <c r="N42" s="72">
        <v>31.536000000000001</v>
      </c>
      <c r="S42" s="11"/>
      <c r="T42" s="11"/>
      <c r="U42" s="11" t="str">
        <f>Commodities!$AD$37&amp;"_"&amp;RIGHT(Commodities!$D$340,3)&amp;"_"&amp;$U$3&amp;"_AD01"</f>
        <v>RSD_DTA4_SC_ELC_N_AD01</v>
      </c>
      <c r="V42" s="11" t="s">
        <v>1044</v>
      </c>
      <c r="W42" s="22" t="str">
        <f>General!$B$2</f>
        <v>PJ</v>
      </c>
      <c r="X42" s="22" t="str">
        <f>General!$B$5</f>
        <v>GW</v>
      </c>
      <c r="Y42" s="22" t="s">
        <v>723</v>
      </c>
      <c r="Z42" s="22"/>
      <c r="AA42" s="11"/>
    </row>
    <row r="43" spans="2:29" ht="13.8" x14ac:dyDescent="0.25">
      <c r="B43" s="11" t="str">
        <f t="shared" si="21"/>
        <v>RSD_DTA4_SC_ELC_N_AD01</v>
      </c>
      <c r="C43" s="11" t="str">
        <f t="shared" si="21"/>
        <v>Detached A4   SpCool A/C (Class A++) (N)</v>
      </c>
      <c r="D43" s="11" t="str">
        <f>Commodities!$D$341</f>
        <v>RSDELC</v>
      </c>
      <c r="E43" s="11" t="str">
        <f t="shared" si="19"/>
        <v>RSD_DTA4_SC</v>
      </c>
      <c r="F43" s="89">
        <f t="shared" si="17"/>
        <v>2035</v>
      </c>
      <c r="G43" s="64">
        <v>2035</v>
      </c>
      <c r="H43" s="73">
        <v>4</v>
      </c>
      <c r="I43" s="73"/>
      <c r="J43" s="119">
        <f t="shared" si="20"/>
        <v>792.34999999999991</v>
      </c>
      <c r="K43" s="119">
        <f t="shared" si="20"/>
        <v>3.9617499999999994</v>
      </c>
      <c r="L43" s="73" t="s">
        <v>848</v>
      </c>
      <c r="M43" s="22">
        <v>10</v>
      </c>
      <c r="N43" s="73">
        <v>31.536000000000001</v>
      </c>
      <c r="S43" s="26"/>
      <c r="T43" s="26"/>
      <c r="U43" s="26" t="str">
        <f>Commodities!$AD$38&amp;"_"&amp;RIGHT(Commodities!$D$340,3)&amp;"_"&amp;$U$3&amp;"_ST01"</f>
        <v>RSD_APA4_SC_ELC_N_ST01</v>
      </c>
      <c r="V43" s="26" t="s">
        <v>1045</v>
      </c>
      <c r="W43" s="57" t="str">
        <f>General!$B$2</f>
        <v>PJ</v>
      </c>
      <c r="X43" s="57" t="str">
        <f>General!$B$5</f>
        <v>GW</v>
      </c>
      <c r="Y43" s="57" t="s">
        <v>723</v>
      </c>
      <c r="Z43" s="57"/>
      <c r="AA43" s="26"/>
    </row>
    <row r="44" spans="2:29" ht="13.8" x14ac:dyDescent="0.25">
      <c r="B44" s="26" t="str">
        <f t="shared" ref="B44:B45" si="22">U43</f>
        <v>RSD_APA4_SC_ELC_N_ST01</v>
      </c>
      <c r="C44" s="26" t="str">
        <f t="shared" ref="C44:C45" si="23">V43</f>
        <v>Apartment A4 SpCool A/C (Class B) (N)</v>
      </c>
      <c r="D44" s="26" t="str">
        <f>Commodities!$D$341</f>
        <v>RSDELC</v>
      </c>
      <c r="E44" s="26" t="str">
        <f>Commodities!$AD$38</f>
        <v>RSD_APA4_SC</v>
      </c>
      <c r="F44" s="84">
        <f t="shared" ref="F44:F48" si="24">G44</f>
        <v>2018</v>
      </c>
      <c r="G44" s="62">
        <f>BASE_YEAR+1</f>
        <v>2018</v>
      </c>
      <c r="H44" s="96">
        <v>2.5</v>
      </c>
      <c r="I44" s="72"/>
      <c r="J44" s="118">
        <f>J39</f>
        <v>472</v>
      </c>
      <c r="K44" s="118">
        <f>K39</f>
        <v>2.36</v>
      </c>
      <c r="L44" s="72">
        <v>0</v>
      </c>
      <c r="M44" s="57">
        <v>10</v>
      </c>
      <c r="N44" s="72">
        <v>31.536000000000001</v>
      </c>
      <c r="S44" s="26"/>
      <c r="T44" s="26"/>
      <c r="U44" s="26" t="str">
        <f>Commodities!$AD$38&amp;"_"&amp;RIGHT(Commodities!$D$340,3)&amp;"_"&amp;$U$3&amp;"_ST02"</f>
        <v>RSD_APA4_SC_ELC_N_ST02</v>
      </c>
      <c r="V44" s="26" t="s">
        <v>1046</v>
      </c>
      <c r="W44" s="57" t="str">
        <f>General!$B$2</f>
        <v>PJ</v>
      </c>
      <c r="X44" s="57" t="str">
        <f>General!$B$5</f>
        <v>GW</v>
      </c>
      <c r="Y44" s="57" t="s">
        <v>723</v>
      </c>
      <c r="Z44" s="57"/>
      <c r="AA44" s="26"/>
    </row>
    <row r="45" spans="2:29" ht="13.8" x14ac:dyDescent="0.25">
      <c r="B45" s="26" t="str">
        <f t="shared" si="22"/>
        <v>RSD_APA4_SC_ELC_N_ST02</v>
      </c>
      <c r="C45" s="26" t="str">
        <f t="shared" si="23"/>
        <v>Apartment A4 SpCool Fans (N)</v>
      </c>
      <c r="D45" s="26" t="str">
        <f>Commodities!$D$341</f>
        <v>RSDELC</v>
      </c>
      <c r="E45" s="26" t="str">
        <f>E44</f>
        <v>RSD_APA4_SC</v>
      </c>
      <c r="F45" s="84">
        <f t="shared" si="24"/>
        <v>2018</v>
      </c>
      <c r="G45" s="62">
        <f>BASE_YEAR+1</f>
        <v>2018</v>
      </c>
      <c r="H45" s="72">
        <v>0.2</v>
      </c>
      <c r="I45" s="72"/>
      <c r="J45" s="118">
        <f t="shared" ref="J45:K48" si="25">J40</f>
        <v>55.555555555555557</v>
      </c>
      <c r="K45" s="118" t="str">
        <f t="shared" si="25"/>
        <v xml:space="preserve"> </v>
      </c>
      <c r="L45" s="72" t="s">
        <v>849</v>
      </c>
      <c r="M45" s="57">
        <v>10</v>
      </c>
      <c r="N45" s="72">
        <f>31.536/6</f>
        <v>5.2560000000000002</v>
      </c>
      <c r="S45" s="26"/>
      <c r="T45" s="26"/>
      <c r="U45" s="26" t="str">
        <f>Commodities!$AD$38&amp;"_"&amp;RIGHT(Commodities!$D$340,3)&amp;"_"&amp;$U$3&amp;"_IM01"</f>
        <v>RSD_APA4_SC_ELC_N_IM01</v>
      </c>
      <c r="V45" s="26" t="s">
        <v>1047</v>
      </c>
      <c r="W45" s="57" t="str">
        <f>General!$B$2</f>
        <v>PJ</v>
      </c>
      <c r="X45" s="57" t="str">
        <f>General!$B$5</f>
        <v>GW</v>
      </c>
      <c r="Y45" s="57" t="s">
        <v>723</v>
      </c>
      <c r="Z45" s="57"/>
      <c r="AA45" s="26"/>
    </row>
    <row r="46" spans="2:29" ht="13.8" x14ac:dyDescent="0.25">
      <c r="B46" s="26" t="str">
        <f t="shared" ref="B46:C48" si="26">U45</f>
        <v>RSD_APA4_SC_ELC_N_IM01</v>
      </c>
      <c r="C46" s="26" t="str">
        <f t="shared" si="26"/>
        <v>Apartment A4 SpCool A/C (Class A) (N)</v>
      </c>
      <c r="D46" s="26" t="str">
        <f>Commodities!$D$341</f>
        <v>RSDELC</v>
      </c>
      <c r="E46" s="26" t="str">
        <f>E45</f>
        <v>RSD_APA4_SC</v>
      </c>
      <c r="F46" s="84">
        <f t="shared" si="24"/>
        <v>2025</v>
      </c>
      <c r="G46" s="62">
        <v>2025</v>
      </c>
      <c r="H46" s="72">
        <v>3</v>
      </c>
      <c r="I46" s="72"/>
      <c r="J46" s="118">
        <f t="shared" si="25"/>
        <v>551.20000000000005</v>
      </c>
      <c r="K46" s="118">
        <f t="shared" si="25"/>
        <v>2.7560000000000002</v>
      </c>
      <c r="L46" s="72">
        <v>0</v>
      </c>
      <c r="M46" s="57">
        <v>10</v>
      </c>
      <c r="N46" s="72">
        <v>31.536000000000001</v>
      </c>
      <c r="S46" s="26"/>
      <c r="T46" s="26"/>
      <c r="U46" s="26" t="str">
        <f>Commodities!$AD$38&amp;"_"&amp;RIGHT(Commodities!$D$340,3)&amp;"_"&amp;$U$3&amp;"_IM02"</f>
        <v>RSD_APA4_SC_ELC_N_IM02</v>
      </c>
      <c r="V46" s="26" t="s">
        <v>1048</v>
      </c>
      <c r="W46" s="57" t="str">
        <f>General!$B$2</f>
        <v>PJ</v>
      </c>
      <c r="X46" s="57" t="str">
        <f>General!$B$5</f>
        <v>GW</v>
      </c>
      <c r="Y46" s="57" t="s">
        <v>723</v>
      </c>
      <c r="Z46" s="57"/>
      <c r="AA46" s="26"/>
    </row>
    <row r="47" spans="2:29" ht="13.8" x14ac:dyDescent="0.25">
      <c r="B47" s="26" t="str">
        <f t="shared" si="26"/>
        <v>RSD_APA4_SC_ELC_N_IM02</v>
      </c>
      <c r="C47" s="26" t="str">
        <f t="shared" si="26"/>
        <v>Apartment A4 SpCool A/C (Class A+) (N)</v>
      </c>
      <c r="D47" s="26" t="str">
        <f>Commodities!$D$341</f>
        <v>RSDELC</v>
      </c>
      <c r="E47" s="26" t="str">
        <f>E46</f>
        <v>RSD_APA4_SC</v>
      </c>
      <c r="F47" s="84">
        <f t="shared" si="24"/>
        <v>2030</v>
      </c>
      <c r="G47" s="62">
        <v>2030</v>
      </c>
      <c r="H47" s="72">
        <v>3.5</v>
      </c>
      <c r="I47" s="72"/>
      <c r="J47" s="118">
        <f t="shared" si="25"/>
        <v>689</v>
      </c>
      <c r="K47" s="118">
        <f t="shared" si="25"/>
        <v>3.4450000000000003</v>
      </c>
      <c r="L47" s="72">
        <v>0</v>
      </c>
      <c r="M47" s="57">
        <v>10</v>
      </c>
      <c r="N47" s="72">
        <v>31.536000000000001</v>
      </c>
      <c r="S47" s="11"/>
      <c r="T47" s="11"/>
      <c r="U47" s="11" t="str">
        <f>Commodities!$AD$38&amp;"_"&amp;RIGHT(Commodities!$D$340,3)&amp;"_"&amp;$U$3&amp;"_AD01"</f>
        <v>RSD_APA4_SC_ELC_N_AD01</v>
      </c>
      <c r="V47" s="11" t="s">
        <v>1049</v>
      </c>
      <c r="W47" s="22" t="str">
        <f>General!$B$2</f>
        <v>PJ</v>
      </c>
      <c r="X47" s="22" t="str">
        <f>General!$B$5</f>
        <v>GW</v>
      </c>
      <c r="Y47" s="22" t="s">
        <v>723</v>
      </c>
      <c r="Z47" s="22"/>
      <c r="AA47" s="11"/>
    </row>
    <row r="48" spans="2:29" ht="13.8" x14ac:dyDescent="0.25">
      <c r="B48" s="11" t="str">
        <f t="shared" si="26"/>
        <v>RSD_APA4_SC_ELC_N_AD01</v>
      </c>
      <c r="C48" s="11" t="str">
        <f t="shared" si="26"/>
        <v>Apartment A4 SpCool A/C (Class A++) (N)</v>
      </c>
      <c r="D48" s="11" t="str">
        <f>Commodities!$D$341</f>
        <v>RSDELC</v>
      </c>
      <c r="E48" s="11" t="str">
        <f>E47</f>
        <v>RSD_APA4_SC</v>
      </c>
      <c r="F48" s="89">
        <f t="shared" si="24"/>
        <v>2035</v>
      </c>
      <c r="G48" s="64">
        <v>2035</v>
      </c>
      <c r="H48" s="73">
        <v>4</v>
      </c>
      <c r="I48" s="73"/>
      <c r="J48" s="119">
        <f t="shared" si="25"/>
        <v>792.34999999999991</v>
      </c>
      <c r="K48" s="119">
        <f t="shared" si="25"/>
        <v>3.9617499999999994</v>
      </c>
      <c r="L48" s="73" t="s">
        <v>848</v>
      </c>
      <c r="M48" s="22">
        <v>10</v>
      </c>
      <c r="N48" s="73">
        <v>31.536000000000001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103"/>
  <sheetViews>
    <sheetView topLeftCell="A34" zoomScale="60" zoomScaleNormal="60" workbookViewId="0">
      <selection activeCell="A34" sqref="A1:XFD1048576"/>
    </sheetView>
  </sheetViews>
  <sheetFormatPr defaultRowHeight="13.2" x14ac:dyDescent="0.25"/>
  <cols>
    <col min="1" max="1" width="8.88671875" style="60"/>
    <col min="2" max="2" width="34.44140625" style="60" customWidth="1"/>
    <col min="3" max="3" width="56.33203125" style="60" bestFit="1" customWidth="1"/>
    <col min="4" max="4" width="17.109375" style="60" bestFit="1" customWidth="1"/>
    <col min="5" max="5" width="19.109375" style="60" bestFit="1" customWidth="1"/>
    <col min="6" max="6" width="16.109375" style="60" customWidth="1"/>
    <col min="7" max="7" width="12" style="60" customWidth="1"/>
    <col min="8" max="8" width="29.109375" style="60" bestFit="1" customWidth="1"/>
    <col min="9" max="9" width="29.109375" style="60" customWidth="1"/>
    <col min="10" max="10" width="18.33203125" style="60" bestFit="1" customWidth="1"/>
    <col min="11" max="11" width="15.6640625" style="60" bestFit="1" customWidth="1"/>
    <col min="12" max="12" width="17.88671875" style="60" bestFit="1" customWidth="1"/>
    <col min="13" max="13" width="20.6640625" style="60" bestFit="1" customWidth="1"/>
    <col min="14" max="14" width="18.88671875" style="60" bestFit="1" customWidth="1"/>
    <col min="15" max="15" width="26.33203125" style="60" bestFit="1" customWidth="1"/>
    <col min="16" max="17" width="8.88671875" style="60"/>
    <col min="18" max="18" width="15" style="60" customWidth="1"/>
    <col min="19" max="19" width="6.5546875" style="60" customWidth="1"/>
    <col min="20" max="20" width="41.5546875" style="60" customWidth="1"/>
    <col min="21" max="21" width="54.88671875" style="60" customWidth="1"/>
    <col min="22" max="22" width="12.109375" style="60" bestFit="1" customWidth="1"/>
    <col min="23" max="23" width="14" style="60" bestFit="1" customWidth="1"/>
    <col min="24" max="25" width="26.44140625" style="60" bestFit="1" customWidth="1"/>
    <col min="26" max="26" width="17.44140625" style="60" bestFit="1" customWidth="1"/>
    <col min="27" max="16384" width="8.88671875" style="60"/>
  </cols>
  <sheetData>
    <row r="1" spans="2:31" s="10" customFormat="1" ht="17.399999999999999" x14ac:dyDescent="0.3">
      <c r="B1" s="27" t="s">
        <v>801</v>
      </c>
      <c r="C1" s="27"/>
      <c r="D1" s="27"/>
      <c r="E1" s="27"/>
      <c r="F1" s="27"/>
      <c r="G1" s="27"/>
      <c r="P1" s="26"/>
      <c r="R1" s="10" t="s">
        <v>791</v>
      </c>
    </row>
    <row r="2" spans="2:31" s="10" customFormat="1" ht="17.399999999999999" x14ac:dyDescent="0.3">
      <c r="B2" s="27" t="s">
        <v>817</v>
      </c>
      <c r="C2" s="27"/>
      <c r="D2" s="27"/>
      <c r="E2" s="27"/>
      <c r="F2" s="27"/>
      <c r="G2" s="27"/>
      <c r="H2" s="10" t="s">
        <v>1467</v>
      </c>
      <c r="K2" s="10" t="s">
        <v>1467</v>
      </c>
      <c r="L2" s="10" t="s">
        <v>1467</v>
      </c>
      <c r="P2" s="26"/>
    </row>
    <row r="3" spans="2:31" s="10" customFormat="1" ht="13.8" x14ac:dyDescent="0.25">
      <c r="B3" s="28"/>
      <c r="D3" s="29"/>
      <c r="E3" s="29"/>
      <c r="F3" s="29"/>
      <c r="G3" s="29"/>
      <c r="J3" s="74"/>
      <c r="K3" s="74"/>
      <c r="L3" s="74"/>
      <c r="M3" s="74"/>
      <c r="N3" s="75"/>
      <c r="P3" s="26"/>
      <c r="R3" s="14" t="s">
        <v>792</v>
      </c>
      <c r="S3" s="14"/>
      <c r="T3" s="14" t="s">
        <v>793</v>
      </c>
      <c r="U3" s="14"/>
      <c r="V3" s="14"/>
      <c r="W3" s="14"/>
      <c r="X3" s="14"/>
      <c r="Y3" s="14"/>
      <c r="Z3" s="14"/>
      <c r="AC3" s="26"/>
      <c r="AD3" s="26"/>
      <c r="AE3" s="26"/>
    </row>
    <row r="4" spans="2:31" s="10" customFormat="1" ht="13.8" x14ac:dyDescent="0.25">
      <c r="E4" s="30"/>
      <c r="F4" s="31" t="s">
        <v>0</v>
      </c>
      <c r="G4" s="31"/>
      <c r="H4" s="113">
        <v>4</v>
      </c>
      <c r="I4" s="74"/>
      <c r="K4" s="10">
        <v>7</v>
      </c>
      <c r="L4" s="10">
        <v>8</v>
      </c>
      <c r="M4" s="10">
        <v>9</v>
      </c>
      <c r="N4" s="10">
        <v>10</v>
      </c>
      <c r="P4" s="26"/>
      <c r="R4" s="13" t="s">
        <v>17</v>
      </c>
      <c r="S4" s="13"/>
      <c r="T4" s="14"/>
      <c r="U4" s="14"/>
      <c r="V4" s="14"/>
      <c r="W4" s="14"/>
      <c r="X4" s="14"/>
      <c r="Y4" s="14"/>
      <c r="Z4" s="14"/>
      <c r="AC4" s="32"/>
      <c r="AD4" s="26"/>
      <c r="AE4" s="26"/>
    </row>
    <row r="5" spans="2:31" s="10" customFormat="1" ht="13.8" x14ac:dyDescent="0.25">
      <c r="B5" s="33" t="s">
        <v>1</v>
      </c>
      <c r="C5" s="33" t="s">
        <v>794</v>
      </c>
      <c r="D5" s="33" t="s">
        <v>3</v>
      </c>
      <c r="E5" s="33" t="s">
        <v>4</v>
      </c>
      <c r="F5" s="34" t="s">
        <v>803</v>
      </c>
      <c r="G5" s="35" t="s">
        <v>14</v>
      </c>
      <c r="H5" s="36" t="s">
        <v>16</v>
      </c>
      <c r="I5" s="36" t="str">
        <f>"SHARE~"&amp;Commodities!$D$180</f>
        <v>SHARE~RSDRESSOL</v>
      </c>
      <c r="J5" s="36" t="s">
        <v>789</v>
      </c>
      <c r="K5" s="108" t="s">
        <v>36</v>
      </c>
      <c r="L5" s="36" t="s">
        <v>5</v>
      </c>
      <c r="M5" s="36" t="s">
        <v>34</v>
      </c>
      <c r="N5" s="36" t="s">
        <v>780</v>
      </c>
      <c r="O5" s="36" t="s">
        <v>773</v>
      </c>
      <c r="P5" s="26"/>
      <c r="R5" s="16" t="s">
        <v>15</v>
      </c>
      <c r="S5" s="16" t="s">
        <v>39</v>
      </c>
      <c r="T5" s="16" t="s">
        <v>1</v>
      </c>
      <c r="U5" s="16" t="s">
        <v>2</v>
      </c>
      <c r="V5" s="16" t="s">
        <v>18</v>
      </c>
      <c r="W5" s="16" t="s">
        <v>19</v>
      </c>
      <c r="X5" s="16" t="s">
        <v>20</v>
      </c>
      <c r="Y5" s="16" t="s">
        <v>21</v>
      </c>
      <c r="Z5" s="16" t="s">
        <v>22</v>
      </c>
      <c r="AC5" s="77"/>
      <c r="AD5" s="26"/>
      <c r="AE5" s="26"/>
    </row>
    <row r="6" spans="2:31" s="10" customFormat="1" ht="30.75" customHeight="1" thickBot="1" x14ac:dyDescent="0.3">
      <c r="B6" s="41" t="s">
        <v>795</v>
      </c>
      <c r="C6" s="41" t="s">
        <v>28</v>
      </c>
      <c r="D6" s="41" t="s">
        <v>32</v>
      </c>
      <c r="E6" s="41" t="s">
        <v>33</v>
      </c>
      <c r="F6" s="42"/>
      <c r="G6" s="43" t="s">
        <v>35</v>
      </c>
      <c r="H6" s="41" t="s">
        <v>822</v>
      </c>
      <c r="I6" s="41" t="s">
        <v>818</v>
      </c>
      <c r="J6" s="41" t="s">
        <v>805</v>
      </c>
      <c r="K6" s="43" t="s">
        <v>806</v>
      </c>
      <c r="L6" s="41" t="s">
        <v>37</v>
      </c>
      <c r="M6" s="41" t="s">
        <v>38</v>
      </c>
      <c r="N6" s="41" t="s">
        <v>781</v>
      </c>
      <c r="O6" s="41" t="s">
        <v>807</v>
      </c>
      <c r="P6" s="26"/>
      <c r="R6" s="50" t="s">
        <v>796</v>
      </c>
      <c r="S6" s="50" t="s">
        <v>42</v>
      </c>
      <c r="T6" s="50" t="s">
        <v>27</v>
      </c>
      <c r="U6" s="50" t="s">
        <v>28</v>
      </c>
      <c r="V6" s="50" t="s">
        <v>29</v>
      </c>
      <c r="W6" s="50" t="s">
        <v>30</v>
      </c>
      <c r="X6" s="50" t="s">
        <v>797</v>
      </c>
      <c r="Y6" s="50" t="s">
        <v>798</v>
      </c>
      <c r="Z6" s="50" t="s">
        <v>31</v>
      </c>
      <c r="AC6" s="79"/>
      <c r="AD6" s="26"/>
      <c r="AE6" s="26"/>
    </row>
    <row r="7" spans="2:31" s="10" customFormat="1" ht="17.25" customHeight="1" x14ac:dyDescent="0.25">
      <c r="B7" s="47"/>
      <c r="C7" s="48"/>
      <c r="D7" s="48"/>
      <c r="E7" s="48" t="s">
        <v>799</v>
      </c>
      <c r="F7" s="49"/>
      <c r="G7" s="48"/>
      <c r="H7" s="48" t="s">
        <v>808</v>
      </c>
      <c r="I7" s="48" t="s">
        <v>808</v>
      </c>
      <c r="J7" s="48" t="s">
        <v>808</v>
      </c>
      <c r="K7" s="48" t="str">
        <f>General!$D$14</f>
        <v>$/kW</v>
      </c>
      <c r="L7" s="48" t="str">
        <f>General!$D$14</f>
        <v>$/kW</v>
      </c>
      <c r="M7" s="48" t="str">
        <f>General!$D$15</f>
        <v>$/GJ</v>
      </c>
      <c r="N7" s="48" t="str">
        <f>General!$D$21</f>
        <v>Years</v>
      </c>
      <c r="O7" s="48" t="str">
        <f>General!$E$16</f>
        <v>PJ/GW</v>
      </c>
      <c r="P7" s="26"/>
      <c r="Q7" s="26"/>
      <c r="R7" s="26" t="s">
        <v>809</v>
      </c>
      <c r="S7" s="26"/>
      <c r="T7" s="26" t="str">
        <f>Commodities!$AD$23&amp;"_"&amp;RIGHT(Commodities!$D$340,3)&amp;"_"&amp;$T$3&amp;"_ST"</f>
        <v>RSD_DTA1_WH_ELC_N_ST</v>
      </c>
      <c r="U7" s="26" t="s">
        <v>1080</v>
      </c>
      <c r="V7" s="57" t="str">
        <f>General!$B$2</f>
        <v>PJ</v>
      </c>
      <c r="W7" s="57" t="str">
        <f>General!$B$5</f>
        <v>GW</v>
      </c>
      <c r="X7" s="57" t="s">
        <v>723</v>
      </c>
      <c r="Y7" s="57"/>
      <c r="Z7" s="26"/>
      <c r="AC7" s="83"/>
      <c r="AD7" s="26"/>
      <c r="AE7" s="26"/>
    </row>
    <row r="8" spans="2:31" s="10" customFormat="1" ht="13.8" x14ac:dyDescent="0.25">
      <c r="B8" s="26" t="str">
        <f t="shared" ref="B8:C9" si="0">T7</f>
        <v>RSD_DTA1_WH_ELC_N_ST</v>
      </c>
      <c r="C8" s="26" t="str">
        <f t="shared" si="0"/>
        <v>Detached A1 WaterHeat Electric Standard (N)</v>
      </c>
      <c r="D8" s="26" t="str">
        <f>Commodities!$D$341</f>
        <v>RSDELC</v>
      </c>
      <c r="E8" s="26" t="str">
        <f>Commodities!$AD$23</f>
        <v>RSD_DTA1_WH</v>
      </c>
      <c r="F8" s="84">
        <f>G8</f>
        <v>2018</v>
      </c>
      <c r="G8" s="57">
        <f>BASE_YEAR+1</f>
        <v>2018</v>
      </c>
      <c r="H8" s="111">
        <v>0.9</v>
      </c>
      <c r="I8" s="72"/>
      <c r="J8" s="114"/>
      <c r="K8" s="111">
        <f>ROUNDUP(159.983454545455*(1/0.9)*0.8,0)</f>
        <v>143</v>
      </c>
      <c r="L8" s="111">
        <v>1</v>
      </c>
      <c r="M8" s="111">
        <f t="shared" ref="M8:M14" si="1">0*(1/0.9)</f>
        <v>0</v>
      </c>
      <c r="N8" s="72">
        <v>15</v>
      </c>
      <c r="O8" s="72">
        <v>31.536000000000001</v>
      </c>
      <c r="P8" s="26"/>
      <c r="R8" s="26"/>
      <c r="S8" s="26"/>
      <c r="T8" s="26" t="str">
        <f>Commodities!$AD$23&amp;"_"&amp;RIGHT(Commodities!$D$340,3)&amp;"_"&amp;$T$3&amp;"_IM"</f>
        <v>RSD_DTA1_WH_ELC_N_IM</v>
      </c>
      <c r="U8" s="26" t="s">
        <v>1081</v>
      </c>
      <c r="V8" s="57" t="str">
        <f>General!$B$2</f>
        <v>PJ</v>
      </c>
      <c r="W8" s="57" t="str">
        <f>General!$B$5</f>
        <v>GW</v>
      </c>
      <c r="X8" s="57" t="s">
        <v>723</v>
      </c>
      <c r="Y8" s="57"/>
      <c r="Z8" s="26"/>
      <c r="AC8" s="83"/>
      <c r="AD8" s="26"/>
      <c r="AE8" s="26"/>
    </row>
    <row r="9" spans="2:31" s="10" customFormat="1" ht="13.8" x14ac:dyDescent="0.25">
      <c r="B9" s="26" t="str">
        <f t="shared" si="0"/>
        <v>RSD_DTA1_WH_ELC_N_IM</v>
      </c>
      <c r="C9" s="26" t="str">
        <f t="shared" si="0"/>
        <v>Detached A1 WaterHeat Electric Improved (N)</v>
      </c>
      <c r="D9" s="26" t="str">
        <f>Commodities!$D$341</f>
        <v>RSDELC</v>
      </c>
      <c r="E9" s="26" t="str">
        <f>E8</f>
        <v>RSD_DTA1_WH</v>
      </c>
      <c r="F9" s="84">
        <f t="shared" ref="F9:F16" si="2">G9</f>
        <v>2018</v>
      </c>
      <c r="G9" s="57">
        <f>BASE_YEAR+1</f>
        <v>2018</v>
      </c>
      <c r="H9" s="111">
        <v>0.94500000000000006</v>
      </c>
      <c r="I9" s="72"/>
      <c r="J9" s="114"/>
      <c r="K9" s="72">
        <f>ROUNDUP(171.182296363636*(1/0.9)*0.9,0)</f>
        <v>172</v>
      </c>
      <c r="L9" s="111">
        <v>1</v>
      </c>
      <c r="M9" s="72">
        <f t="shared" si="1"/>
        <v>0</v>
      </c>
      <c r="N9" s="72">
        <v>15</v>
      </c>
      <c r="O9" s="72">
        <v>31.536000000000001</v>
      </c>
      <c r="P9" s="26"/>
      <c r="R9" s="26"/>
      <c r="S9" s="26"/>
      <c r="T9" s="26" t="str">
        <f>Commodities!$AD$23&amp;"_"&amp;LEFT(RIGHT(Commodities!$D$166,6),3)&amp;"_"&amp;$T$3&amp;"_ST"</f>
        <v>RSD_DTA1_WH_GAS_N_ST</v>
      </c>
      <c r="U9" s="26" t="s">
        <v>1082</v>
      </c>
      <c r="V9" s="57" t="str">
        <f>General!$B$2</f>
        <v>PJ</v>
      </c>
      <c r="W9" s="57" t="str">
        <f>General!$B$5</f>
        <v>GW</v>
      </c>
      <c r="X9" s="57" t="s">
        <v>723</v>
      </c>
      <c r="Y9" s="57"/>
      <c r="Z9" s="26"/>
      <c r="AC9" s="83"/>
      <c r="AD9" s="26"/>
      <c r="AE9" s="26"/>
    </row>
    <row r="10" spans="2:31" s="10" customFormat="1" ht="13.8" x14ac:dyDescent="0.25">
      <c r="B10" s="26" t="str">
        <f t="shared" ref="B10:C14" si="3">T9</f>
        <v>RSD_DTA1_WH_GAS_N_ST</v>
      </c>
      <c r="C10" s="26" t="str">
        <f t="shared" si="3"/>
        <v>Detached A1 WaterHear Gas Standard (N)</v>
      </c>
      <c r="D10" s="26" t="str">
        <f>Commodities!$D$166</f>
        <v>RSDGASNAT</v>
      </c>
      <c r="E10" s="26" t="str">
        <f>E8</f>
        <v>RSD_DTA1_WH</v>
      </c>
      <c r="F10" s="84">
        <f t="shared" si="2"/>
        <v>2018</v>
      </c>
      <c r="G10" s="57">
        <f>BASE_YEAR+1</f>
        <v>2018</v>
      </c>
      <c r="H10" s="111">
        <v>0.8</v>
      </c>
      <c r="I10" s="72"/>
      <c r="J10" s="114"/>
      <c r="K10" s="72">
        <f>ROUNDUP(150*(1/0.9)*1,0)</f>
        <v>167</v>
      </c>
      <c r="L10" s="111">
        <v>3.5</v>
      </c>
      <c r="M10" s="72">
        <f t="shared" si="1"/>
        <v>0</v>
      </c>
      <c r="N10" s="72">
        <v>20</v>
      </c>
      <c r="O10" s="72">
        <v>31.536000000000001</v>
      </c>
      <c r="P10" s="26"/>
      <c r="R10" s="26"/>
      <c r="S10" s="26"/>
      <c r="T10" s="26" t="str">
        <f>Commodities!$AD$23&amp;"_"&amp;LEFT(RIGHT(Commodities!$D$166,6),3)&amp;"_"&amp;$T$3&amp;"_IM"</f>
        <v>RSD_DTA1_WH_GAS_N_IM</v>
      </c>
      <c r="U10" s="26" t="s">
        <v>1083</v>
      </c>
      <c r="V10" s="57" t="str">
        <f>General!$B$2</f>
        <v>PJ</v>
      </c>
      <c r="W10" s="57" t="str">
        <f>General!$B$5</f>
        <v>GW</v>
      </c>
      <c r="X10" s="57" t="s">
        <v>723</v>
      </c>
      <c r="Y10" s="57"/>
      <c r="Z10" s="26"/>
      <c r="AC10" s="40"/>
    </row>
    <row r="11" spans="2:31" s="10" customFormat="1" ht="13.8" x14ac:dyDescent="0.25">
      <c r="B11" s="26" t="str">
        <f t="shared" si="3"/>
        <v>RSD_DTA1_WH_GAS_N_IM</v>
      </c>
      <c r="C11" s="26" t="str">
        <f t="shared" si="3"/>
        <v>Detached A1 WaterHear Gas Improved (N)</v>
      </c>
      <c r="D11" s="26" t="str">
        <f>Commodities!$D$166</f>
        <v>RSDGASNAT</v>
      </c>
      <c r="E11" s="26" t="str">
        <f>E8</f>
        <v>RSD_DTA1_WH</v>
      </c>
      <c r="F11" s="84">
        <f t="shared" si="2"/>
        <v>2025</v>
      </c>
      <c r="G11" s="57">
        <f>BASE_YEAR+8</f>
        <v>2025</v>
      </c>
      <c r="H11" s="111">
        <v>0.9</v>
      </c>
      <c r="I11" s="72"/>
      <c r="J11" s="87"/>
      <c r="K11" s="72">
        <f>ROUNDUP((K10*1.07)*(1/0.9)*1.2,0)</f>
        <v>239</v>
      </c>
      <c r="L11" s="111">
        <v>3.5</v>
      </c>
      <c r="M11" s="72">
        <f t="shared" si="1"/>
        <v>0</v>
      </c>
      <c r="N11" s="72">
        <v>20</v>
      </c>
      <c r="O11" s="72">
        <v>31.536000000000001</v>
      </c>
      <c r="P11" s="26"/>
      <c r="R11" s="26"/>
      <c r="S11" s="26"/>
      <c r="T11" s="26" t="str">
        <f>Commodities!$AD$23&amp;"_"&amp;LEFT(RIGHT(Commodities!$D$166,6),3)&amp;"_"&amp;$T$3&amp;"_AD"</f>
        <v>RSD_DTA1_WH_GAS_N_AD</v>
      </c>
      <c r="U11" s="26" t="s">
        <v>1084</v>
      </c>
      <c r="V11" s="57" t="str">
        <f>General!$B$2</f>
        <v>PJ</v>
      </c>
      <c r="W11" s="57" t="str">
        <f>General!$B$5</f>
        <v>GW</v>
      </c>
      <c r="X11" s="57" t="s">
        <v>723</v>
      </c>
      <c r="Y11" s="57"/>
      <c r="Z11" s="26"/>
      <c r="AC11" s="40"/>
    </row>
    <row r="12" spans="2:31" s="10" customFormat="1" ht="13.8" x14ac:dyDescent="0.25">
      <c r="B12" s="26" t="str">
        <f t="shared" si="3"/>
        <v>RSD_DTA1_WH_GAS_N_AD</v>
      </c>
      <c r="C12" s="26" t="str">
        <f t="shared" si="3"/>
        <v>Detached A1 WaterHear Advanced Gas (N)</v>
      </c>
      <c r="D12" s="26" t="str">
        <f>Commodities!$D$166</f>
        <v>RSDGASNAT</v>
      </c>
      <c r="E12" s="26" t="str">
        <f>E8</f>
        <v>RSD_DTA1_WH</v>
      </c>
      <c r="F12" s="84">
        <f t="shared" si="2"/>
        <v>2030</v>
      </c>
      <c r="G12" s="57">
        <v>2030</v>
      </c>
      <c r="H12" s="111">
        <v>0.95</v>
      </c>
      <c r="I12" s="72"/>
      <c r="J12" s="87"/>
      <c r="K12" s="72">
        <f>ROUNDUP((K11*1.07)*(1/0.9)*1.1,0)</f>
        <v>313</v>
      </c>
      <c r="L12" s="111">
        <v>3.5</v>
      </c>
      <c r="M12" s="72">
        <f t="shared" si="1"/>
        <v>0</v>
      </c>
      <c r="N12" s="72">
        <v>20</v>
      </c>
      <c r="O12" s="72">
        <v>31.536000000000001</v>
      </c>
      <c r="P12" s="26"/>
      <c r="R12" s="26"/>
      <c r="S12" s="26"/>
      <c r="T12" s="26" t="str">
        <f>Commodities!$AD$23&amp;"_"&amp;RIGHT(Commodities!$D$347,3)&amp;"_"&amp;$T$3&amp;"_IM"</f>
        <v>RSD_DTA1_WH_LTH_N_IM</v>
      </c>
      <c r="U12" s="26" t="s">
        <v>1085</v>
      </c>
      <c r="V12" s="57" t="str">
        <f>General!$B$2</f>
        <v>PJ</v>
      </c>
      <c r="W12" s="57" t="str">
        <f>General!$B$5</f>
        <v>GW</v>
      </c>
      <c r="X12" s="57" t="s">
        <v>723</v>
      </c>
      <c r="Y12" s="57"/>
      <c r="Z12" s="26"/>
      <c r="AC12" s="40"/>
    </row>
    <row r="13" spans="2:31" s="10" customFormat="1" ht="13.8" x14ac:dyDescent="0.25">
      <c r="B13" s="26" t="str">
        <f t="shared" si="3"/>
        <v>RSD_DTA1_WH_LTH_N_IM</v>
      </c>
      <c r="C13" s="26" t="str">
        <f t="shared" si="3"/>
        <v>Detached A1 WaterHear Dist. Heating Improved (N)</v>
      </c>
      <c r="D13" s="26" t="str">
        <f>Commodities!$D$350</f>
        <v>RSDLTHA1</v>
      </c>
      <c r="E13" s="26" t="str">
        <f>E8</f>
        <v>RSD_DTA1_WH</v>
      </c>
      <c r="F13" s="84">
        <f>G13</f>
        <v>2018</v>
      </c>
      <c r="G13" s="57">
        <f>BASE_YEAR+1</f>
        <v>2018</v>
      </c>
      <c r="H13" s="111">
        <v>0.95</v>
      </c>
      <c r="I13" s="72"/>
      <c r="J13" s="114"/>
      <c r="K13" s="72">
        <f>ROUNDUP(75.852*(1/0.9)*1.4,0)</f>
        <v>118</v>
      </c>
      <c r="L13" s="72">
        <f>9.234*(1/0.9)</f>
        <v>10.26</v>
      </c>
      <c r="M13" s="72">
        <f t="shared" si="1"/>
        <v>0</v>
      </c>
      <c r="N13" s="72">
        <v>20</v>
      </c>
      <c r="O13" s="72">
        <v>31.536000000000001</v>
      </c>
      <c r="P13" s="26"/>
      <c r="R13" s="26"/>
      <c r="S13" s="26"/>
      <c r="T13" s="26" t="str">
        <f>Commodities!$AD$23&amp;"_"&amp;RIGHT(Commodities!$D$180,3)&amp;"_"&amp;$T$3&amp;"_IM01"</f>
        <v>RSD_DTA1_WH_SOL_N_IM01</v>
      </c>
      <c r="U13" s="26" t="s">
        <v>1086</v>
      </c>
      <c r="V13" s="57" t="str">
        <f>General!$B$2</f>
        <v>PJ</v>
      </c>
      <c r="W13" s="57" t="str">
        <f>General!$B$5</f>
        <v>GW</v>
      </c>
      <c r="X13" s="57" t="s">
        <v>723</v>
      </c>
      <c r="Y13" s="57"/>
      <c r="Z13" s="26"/>
      <c r="AC13" s="40"/>
    </row>
    <row r="14" spans="2:31" s="10" customFormat="1" ht="13.8" x14ac:dyDescent="0.25">
      <c r="B14" s="26" t="str">
        <f t="shared" si="3"/>
        <v>RSD_DTA1_WH_SOL_N_IM01</v>
      </c>
      <c r="C14" s="26" t="str">
        <f t="shared" si="3"/>
        <v>Detached A1 WaterHeat Solar-Electric Improved (N)</v>
      </c>
      <c r="D14" s="26" t="str">
        <f>Commodities!$D$341</f>
        <v>RSDELC</v>
      </c>
      <c r="E14" s="26" t="str">
        <f>E8</f>
        <v>RSD_DTA1_WH</v>
      </c>
      <c r="F14" s="84">
        <f>G14</f>
        <v>2020</v>
      </c>
      <c r="G14" s="57">
        <f>BASE_YEAR+3</f>
        <v>2020</v>
      </c>
      <c r="H14" s="111">
        <v>0.9</v>
      </c>
      <c r="I14" s="72"/>
      <c r="J14" s="114"/>
      <c r="K14" s="72">
        <f>ROUNDUP(773.015873015873*(1/0.9),0)</f>
        <v>859</v>
      </c>
      <c r="L14" s="72">
        <f>14.6875*(1/0.9)</f>
        <v>16.319444444444446</v>
      </c>
      <c r="M14" s="72">
        <f t="shared" si="1"/>
        <v>0</v>
      </c>
      <c r="N14" s="72">
        <v>15</v>
      </c>
      <c r="O14" s="72">
        <v>31.536000000000001</v>
      </c>
      <c r="P14" s="26"/>
      <c r="R14" s="26"/>
      <c r="S14" s="26"/>
      <c r="T14" s="26" t="str">
        <f>Commodities!$AD$23&amp;"_"&amp;RIGHT(Commodities!$D$180,3)&amp;"_"&amp;$T$3&amp;"_IM02"</f>
        <v>RSD_DTA1_WH_SOL_N_IM02</v>
      </c>
      <c r="U14" s="26" t="s">
        <v>1087</v>
      </c>
      <c r="V14" s="57" t="str">
        <f>General!$B$2</f>
        <v>PJ</v>
      </c>
      <c r="W14" s="57" t="str">
        <f>General!$B$5</f>
        <v>GW</v>
      </c>
      <c r="X14" s="57" t="s">
        <v>723</v>
      </c>
      <c r="Y14" s="57"/>
      <c r="Z14" s="26"/>
      <c r="AC14" s="40"/>
    </row>
    <row r="15" spans="2:31" s="10" customFormat="1" ht="13.8" x14ac:dyDescent="0.25">
      <c r="B15" s="26"/>
      <c r="C15" s="26"/>
      <c r="D15" s="26" t="str">
        <f>Commodities!$D$180</f>
        <v>RSDRESSOL</v>
      </c>
      <c r="E15" s="26"/>
      <c r="F15" s="84">
        <f>F14</f>
        <v>2020</v>
      </c>
      <c r="G15" s="57"/>
      <c r="H15" s="111" t="s">
        <v>848</v>
      </c>
      <c r="I15" s="72">
        <v>0.5</v>
      </c>
      <c r="J15" s="114"/>
      <c r="K15" s="72" t="s">
        <v>848</v>
      </c>
      <c r="L15" s="72" t="s">
        <v>848</v>
      </c>
      <c r="M15" s="72" t="s">
        <v>848</v>
      </c>
      <c r="N15" s="72" t="s">
        <v>848</v>
      </c>
      <c r="O15" s="72"/>
      <c r="P15" s="26"/>
      <c r="R15" s="26"/>
      <c r="S15" s="26"/>
      <c r="T15" s="26" t="str">
        <f>Commodities!$AD$23&amp;"_"&amp;RIGHT(Commodities!$D$153,3)&amp;"_"&amp;$T$3&amp;"_IM02"</f>
        <v>RSD_DTA1_WH_BIC_N_IM02</v>
      </c>
      <c r="U15" s="26" t="s">
        <v>1088</v>
      </c>
      <c r="V15" s="57" t="str">
        <f>General!$B$2</f>
        <v>PJ</v>
      </c>
      <c r="W15" s="57" t="str">
        <f>General!$B$5</f>
        <v>GW</v>
      </c>
      <c r="X15" s="57" t="s">
        <v>723</v>
      </c>
      <c r="Y15" s="57"/>
      <c r="Z15" s="26"/>
      <c r="AC15" s="40"/>
    </row>
    <row r="16" spans="2:31" s="10" customFormat="1" ht="13.8" x14ac:dyDescent="0.25">
      <c r="B16" s="26" t="str">
        <f>T14</f>
        <v>RSD_DTA1_WH_SOL_N_IM02</v>
      </c>
      <c r="C16" s="26" t="str">
        <f>U14</f>
        <v>Detached A1 WaterHeat Solar-Gas Improved (N)</v>
      </c>
      <c r="D16" s="26" t="str">
        <f>Commodities!$D$166</f>
        <v>RSDGASNAT</v>
      </c>
      <c r="E16" s="26" t="str">
        <f>E8</f>
        <v>RSD_DTA1_WH</v>
      </c>
      <c r="F16" s="84">
        <f t="shared" si="2"/>
        <v>2020</v>
      </c>
      <c r="G16" s="57">
        <f>BASE_YEAR+3</f>
        <v>2020</v>
      </c>
      <c r="H16" s="111">
        <v>0.9</v>
      </c>
      <c r="I16" s="72"/>
      <c r="J16" s="114"/>
      <c r="K16" s="72">
        <f>ROUNDUP(887.961299282303*(1/0.9),0)</f>
        <v>987</v>
      </c>
      <c r="L16" s="72">
        <f>19.1778666340693*(1/0.9)</f>
        <v>21.308740704521497</v>
      </c>
      <c r="M16" s="72">
        <f>0*(1/0.9)</f>
        <v>0</v>
      </c>
      <c r="N16" s="72">
        <v>15</v>
      </c>
      <c r="O16" s="72">
        <v>31.536000000000001</v>
      </c>
      <c r="P16" s="26"/>
      <c r="R16" s="11"/>
      <c r="S16" s="11"/>
      <c r="T16" s="11" t="str">
        <f>Commodities!$AD$23&amp;"_"&amp;RIGHT(Commodities!$D$161,3)&amp;"_"&amp;$T$3&amp;"_IM02"</f>
        <v>RSD_DTA1_WH_LPG_N_IM02</v>
      </c>
      <c r="U16" s="11" t="s">
        <v>1089</v>
      </c>
      <c r="V16" s="22" t="str">
        <f>General!$B$2</f>
        <v>PJ</v>
      </c>
      <c r="W16" s="22" t="str">
        <f>General!$B$5</f>
        <v>GW</v>
      </c>
      <c r="X16" s="22" t="s">
        <v>723</v>
      </c>
      <c r="Y16" s="22"/>
      <c r="Z16" s="11"/>
      <c r="AC16" s="40"/>
    </row>
    <row r="17" spans="1:29" s="10" customFormat="1" ht="13.8" x14ac:dyDescent="0.25">
      <c r="B17" s="26"/>
      <c r="C17" s="26"/>
      <c r="D17" s="26" t="str">
        <f>Commodities!$D$180</f>
        <v>RSDRESSOL</v>
      </c>
      <c r="E17" s="26"/>
      <c r="F17" s="84">
        <f>F16</f>
        <v>2020</v>
      </c>
      <c r="G17" s="57"/>
      <c r="H17" s="111" t="s">
        <v>848</v>
      </c>
      <c r="I17" s="72">
        <v>0.3</v>
      </c>
      <c r="J17" s="114"/>
      <c r="K17" s="72" t="s">
        <v>848</v>
      </c>
      <c r="L17" s="72" t="s">
        <v>848</v>
      </c>
      <c r="M17" s="72" t="s">
        <v>848</v>
      </c>
      <c r="N17" s="72" t="s">
        <v>848</v>
      </c>
      <c r="O17" s="72"/>
      <c r="P17" s="26"/>
      <c r="R17" s="26"/>
      <c r="S17" s="26"/>
      <c r="T17" s="26" t="str">
        <f>Commodities!$AD$24&amp;"_"&amp;RIGHT(Commodities!$D$340,3)&amp;"_"&amp;$T$3&amp;"_ST"</f>
        <v>RSD_APA1_WH_ELC_N_ST</v>
      </c>
      <c r="U17" s="26" t="s">
        <v>1090</v>
      </c>
      <c r="V17" s="57" t="str">
        <f>General!$B$2</f>
        <v>PJ</v>
      </c>
      <c r="W17" s="57" t="str">
        <f>General!$B$5</f>
        <v>GW</v>
      </c>
      <c r="X17" s="57" t="s">
        <v>723</v>
      </c>
      <c r="Y17" s="57"/>
      <c r="Z17" s="26"/>
      <c r="AC17" s="40"/>
    </row>
    <row r="18" spans="1:29" s="10" customFormat="1" ht="13.8" x14ac:dyDescent="0.25">
      <c r="B18" s="26" t="str">
        <f>T15</f>
        <v>RSD_DTA1_WH_BIC_N_IM02</v>
      </c>
      <c r="C18" s="26" t="str">
        <f>U15</f>
        <v>Detached A1 WaterHeat Coal Standard (N)</v>
      </c>
      <c r="D18" s="26" t="str">
        <f>Commodities!$D$153</f>
        <v>RSDCOABIC</v>
      </c>
      <c r="E18" s="26" t="str">
        <f>E16</f>
        <v>RSD_DTA1_WH</v>
      </c>
      <c r="F18" s="84">
        <f>G18</f>
        <v>2100</v>
      </c>
      <c r="G18" s="57">
        <v>2100</v>
      </c>
      <c r="H18" s="111">
        <v>0.7</v>
      </c>
      <c r="I18" s="72"/>
      <c r="J18" s="114"/>
      <c r="K18" s="72">
        <f>ROUNDUP(68.9672557598582*(1/0.9)*1.2,0)</f>
        <v>92</v>
      </c>
      <c r="L18" s="72">
        <v>3.5</v>
      </c>
      <c r="M18" s="72">
        <f t="shared" ref="M18:M26" si="4">0*(1/0.9)</f>
        <v>0</v>
      </c>
      <c r="N18" s="72">
        <v>15</v>
      </c>
      <c r="O18" s="72">
        <v>31.536000000000001</v>
      </c>
      <c r="P18" s="26"/>
      <c r="R18" s="26"/>
      <c r="S18" s="26"/>
      <c r="T18" s="26" t="str">
        <f>Commodities!$AD$24&amp;"_"&amp;RIGHT(Commodities!$D$340,3)&amp;"_"&amp;$T$3&amp;"_IM"</f>
        <v>RSD_APA1_WH_ELC_N_IM</v>
      </c>
      <c r="U18" s="26" t="s">
        <v>1091</v>
      </c>
      <c r="V18" s="57" t="str">
        <f>General!$B$2</f>
        <v>PJ</v>
      </c>
      <c r="W18" s="57" t="str">
        <f>General!$B$5</f>
        <v>GW</v>
      </c>
      <c r="X18" s="57" t="s">
        <v>723</v>
      </c>
      <c r="Y18" s="57"/>
      <c r="Z18" s="26"/>
      <c r="AC18" s="40"/>
    </row>
    <row r="19" spans="1:29" s="10" customFormat="1" ht="13.8" x14ac:dyDescent="0.25">
      <c r="B19" s="11" t="str">
        <f>T16</f>
        <v>RSD_DTA1_WH_LPG_N_IM02</v>
      </c>
      <c r="C19" s="11" t="str">
        <f>U16</f>
        <v>Detached A1 WaterHeat LPG Standard (N)</v>
      </c>
      <c r="D19" s="11" t="str">
        <f>Commodities!$D$161</f>
        <v>RSDOILLPG</v>
      </c>
      <c r="E19" s="11" t="str">
        <f>E18</f>
        <v>RSD_DTA1_WH</v>
      </c>
      <c r="F19" s="89">
        <f>G19</f>
        <v>2018</v>
      </c>
      <c r="G19" s="22">
        <f>BASE_YEAR+1</f>
        <v>2018</v>
      </c>
      <c r="H19" s="112">
        <v>0.85</v>
      </c>
      <c r="I19" s="73"/>
      <c r="J19" s="115"/>
      <c r="K19" s="73">
        <f>ROUNDUP(68.9672557598582*(1/0.9)*1.2,0)</f>
        <v>92</v>
      </c>
      <c r="L19" s="73">
        <v>3.5</v>
      </c>
      <c r="M19" s="73">
        <f t="shared" si="4"/>
        <v>0</v>
      </c>
      <c r="N19" s="73">
        <v>15</v>
      </c>
      <c r="O19" s="73">
        <v>31.536000000000001</v>
      </c>
      <c r="P19" s="26"/>
      <c r="R19" s="26"/>
      <c r="S19" s="26"/>
      <c r="T19" s="26" t="str">
        <f>Commodities!$AD$24&amp;"_"&amp;LEFT(RIGHT(Commodities!$D$166,6),3)&amp;"_"&amp;$T$3&amp;"_ST"</f>
        <v>RSD_APA1_WH_GAS_N_ST</v>
      </c>
      <c r="U19" s="26" t="s">
        <v>1092</v>
      </c>
      <c r="V19" s="57" t="str">
        <f>General!$B$2</f>
        <v>PJ</v>
      </c>
      <c r="W19" s="57" t="str">
        <f>General!$B$5</f>
        <v>GW</v>
      </c>
      <c r="X19" s="57" t="s">
        <v>723</v>
      </c>
      <c r="Y19" s="57"/>
      <c r="Z19" s="26"/>
      <c r="AC19" s="40"/>
    </row>
    <row r="20" spans="1:29" ht="13.8" x14ac:dyDescent="0.25">
      <c r="A20" s="10"/>
      <c r="B20" s="26" t="str">
        <f t="shared" ref="B20:C21" si="5">T17</f>
        <v>RSD_APA1_WH_ELC_N_ST</v>
      </c>
      <c r="C20" s="26" t="str">
        <f t="shared" si="5"/>
        <v>Apartment A1 WaterHeat Electric Standard (N)</v>
      </c>
      <c r="D20" s="26" t="str">
        <f>Commodities!$D$341</f>
        <v>RSDELC</v>
      </c>
      <c r="E20" s="26" t="str">
        <f>Commodities!$AD$24</f>
        <v>RSD_APA1_WH</v>
      </c>
      <c r="F20" s="84">
        <f>G20</f>
        <v>2018</v>
      </c>
      <c r="G20" s="57">
        <f>BASE_YEAR+1</f>
        <v>2018</v>
      </c>
      <c r="H20" s="111">
        <v>0.9</v>
      </c>
      <c r="I20" s="72"/>
      <c r="J20" s="114"/>
      <c r="K20" s="111">
        <f>ROUNDUP(159.983454545455*(1/0.9)*0.8,0)</f>
        <v>143</v>
      </c>
      <c r="L20" s="111">
        <v>1</v>
      </c>
      <c r="M20" s="111">
        <f t="shared" si="4"/>
        <v>0</v>
      </c>
      <c r="N20" s="72">
        <v>15</v>
      </c>
      <c r="O20" s="72">
        <v>31.536000000000001</v>
      </c>
      <c r="P20" s="26"/>
      <c r="R20" s="26"/>
      <c r="S20" s="26"/>
      <c r="T20" s="26" t="str">
        <f>Commodities!$AD$24&amp;"_"&amp;LEFT(RIGHT(Commodities!$D$166,6),3)&amp;"_"&amp;$T$3&amp;"_IM"</f>
        <v>RSD_APA1_WH_GAS_N_IM</v>
      </c>
      <c r="U20" s="26" t="s">
        <v>1093</v>
      </c>
      <c r="V20" s="57" t="str">
        <f>General!$B$2</f>
        <v>PJ</v>
      </c>
      <c r="W20" s="57" t="str">
        <f>General!$B$5</f>
        <v>GW</v>
      </c>
      <c r="X20" s="57" t="s">
        <v>723</v>
      </c>
      <c r="Y20" s="57"/>
      <c r="Z20" s="26"/>
      <c r="AA20" s="10"/>
      <c r="AB20" s="10"/>
      <c r="AC20" s="40"/>
    </row>
    <row r="21" spans="1:29" ht="13.8" x14ac:dyDescent="0.25">
      <c r="A21" s="10"/>
      <c r="B21" s="26" t="str">
        <f t="shared" si="5"/>
        <v>RSD_APA1_WH_ELC_N_IM</v>
      </c>
      <c r="C21" s="26" t="str">
        <f t="shared" si="5"/>
        <v>Apartment A1 WaterHeat Electric Improved (N)</v>
      </c>
      <c r="D21" s="26" t="str">
        <f>Commodities!$D$341</f>
        <v>RSDELC</v>
      </c>
      <c r="E21" s="26" t="str">
        <f>E20</f>
        <v>RSD_APA1_WH</v>
      </c>
      <c r="F21" s="84">
        <f t="shared" ref="F21:F24" si="6">G21</f>
        <v>2018</v>
      </c>
      <c r="G21" s="57">
        <f>BASE_YEAR+1</f>
        <v>2018</v>
      </c>
      <c r="H21" s="111">
        <v>0.94500000000000006</v>
      </c>
      <c r="I21" s="72"/>
      <c r="J21" s="114"/>
      <c r="K21" s="72">
        <f>ROUNDUP(171.182296363636*(1/0.9)*0.9,0)</f>
        <v>172</v>
      </c>
      <c r="L21" s="111">
        <v>1</v>
      </c>
      <c r="M21" s="72">
        <f t="shared" si="4"/>
        <v>0</v>
      </c>
      <c r="N21" s="72">
        <v>15</v>
      </c>
      <c r="O21" s="72">
        <v>31.536000000000001</v>
      </c>
      <c r="P21" s="26"/>
      <c r="R21" s="26"/>
      <c r="S21" s="26"/>
      <c r="T21" s="26" t="str">
        <f>Commodities!$AD$24&amp;"_"&amp;LEFT(RIGHT(Commodities!$D$166,6),3)&amp;"_"&amp;$T$3&amp;"_AD"</f>
        <v>RSD_APA1_WH_GAS_N_AD</v>
      </c>
      <c r="U21" s="26" t="s">
        <v>1094</v>
      </c>
      <c r="V21" s="57" t="str">
        <f>General!$B$2</f>
        <v>PJ</v>
      </c>
      <c r="W21" s="57" t="str">
        <f>General!$B$5</f>
        <v>GW</v>
      </c>
      <c r="X21" s="57" t="s">
        <v>723</v>
      </c>
      <c r="Y21" s="57"/>
      <c r="Z21" s="26"/>
      <c r="AA21" s="10"/>
      <c r="AB21" s="10"/>
      <c r="AC21" s="40"/>
    </row>
    <row r="22" spans="1:29" ht="13.8" x14ac:dyDescent="0.25">
      <c r="A22" s="10"/>
      <c r="B22" s="26" t="str">
        <f t="shared" ref="B22:C26" si="7">T19</f>
        <v>RSD_APA1_WH_GAS_N_ST</v>
      </c>
      <c r="C22" s="26" t="str">
        <f t="shared" si="7"/>
        <v>Apartment A1 WaterHear Gas Standard (N)</v>
      </c>
      <c r="D22" s="26" t="str">
        <f>Commodities!$D$166</f>
        <v>RSDGASNAT</v>
      </c>
      <c r="E22" s="26" t="str">
        <f>E20</f>
        <v>RSD_APA1_WH</v>
      </c>
      <c r="F22" s="84">
        <f t="shared" si="6"/>
        <v>2018</v>
      </c>
      <c r="G22" s="57">
        <f>BASE_YEAR+1</f>
        <v>2018</v>
      </c>
      <c r="H22" s="111">
        <v>0.8</v>
      </c>
      <c r="I22" s="72"/>
      <c r="J22" s="114"/>
      <c r="K22" s="72">
        <f>ROUNDUP(150*(1/0.9)*1,0)</f>
        <v>167</v>
      </c>
      <c r="L22" s="111">
        <v>3.5</v>
      </c>
      <c r="M22" s="72">
        <f t="shared" si="4"/>
        <v>0</v>
      </c>
      <c r="N22" s="72">
        <v>20</v>
      </c>
      <c r="O22" s="72">
        <v>31.536000000000001</v>
      </c>
      <c r="P22" s="26"/>
      <c r="R22" s="26"/>
      <c r="S22" s="26"/>
      <c r="T22" s="26" t="str">
        <f>Commodities!$AD$24&amp;"_"&amp;RIGHT(Commodities!$D$347,3)&amp;"_"&amp;$T$3&amp;"_IM"</f>
        <v>RSD_APA1_WH_LTH_N_IM</v>
      </c>
      <c r="U22" s="26" t="s">
        <v>1095</v>
      </c>
      <c r="V22" s="57" t="str">
        <f>General!$B$2</f>
        <v>PJ</v>
      </c>
      <c r="W22" s="57" t="str">
        <f>General!$B$5</f>
        <v>GW</v>
      </c>
      <c r="X22" s="57" t="s">
        <v>723</v>
      </c>
      <c r="Y22" s="57"/>
      <c r="Z22" s="26"/>
    </row>
    <row r="23" spans="1:29" ht="13.8" x14ac:dyDescent="0.25">
      <c r="A23" s="10"/>
      <c r="B23" s="26" t="str">
        <f t="shared" si="7"/>
        <v>RSD_APA1_WH_GAS_N_IM</v>
      </c>
      <c r="C23" s="26" t="str">
        <f t="shared" si="7"/>
        <v>Apartment A1 WaterHear Gas Improved (N)</v>
      </c>
      <c r="D23" s="26" t="str">
        <f>Commodities!$D$166</f>
        <v>RSDGASNAT</v>
      </c>
      <c r="E23" s="26" t="str">
        <f>E20</f>
        <v>RSD_APA1_WH</v>
      </c>
      <c r="F23" s="84">
        <f t="shared" si="6"/>
        <v>2025</v>
      </c>
      <c r="G23" s="57">
        <f>BASE_YEAR+8</f>
        <v>2025</v>
      </c>
      <c r="H23" s="111">
        <v>0.9</v>
      </c>
      <c r="I23" s="72"/>
      <c r="J23" s="87"/>
      <c r="K23" s="72">
        <f>ROUNDUP((K22*1.07)*(1/0.9)*1.2,0)</f>
        <v>239</v>
      </c>
      <c r="L23" s="111">
        <v>3.5</v>
      </c>
      <c r="M23" s="72">
        <f t="shared" si="4"/>
        <v>0</v>
      </c>
      <c r="N23" s="72">
        <v>20</v>
      </c>
      <c r="O23" s="72">
        <v>31.536000000000001</v>
      </c>
      <c r="P23" s="26"/>
      <c r="R23" s="26"/>
      <c r="S23" s="26"/>
      <c r="T23" s="26" t="str">
        <f>Commodities!$AD$24&amp;"_"&amp;RIGHT(Commodities!$D$180,3)&amp;"_"&amp;$T$3&amp;"_IM01"</f>
        <v>RSD_APA1_WH_SOL_N_IM01</v>
      </c>
      <c r="U23" s="26" t="s">
        <v>1096</v>
      </c>
      <c r="V23" s="57" t="str">
        <f>General!$B$2</f>
        <v>PJ</v>
      </c>
      <c r="W23" s="57" t="str">
        <f>General!$B$5</f>
        <v>GW</v>
      </c>
      <c r="X23" s="57" t="s">
        <v>723</v>
      </c>
      <c r="Y23" s="57"/>
      <c r="Z23" s="26"/>
    </row>
    <row r="24" spans="1:29" ht="13.8" x14ac:dyDescent="0.25">
      <c r="A24" s="10"/>
      <c r="B24" s="26" t="str">
        <f t="shared" si="7"/>
        <v>RSD_APA1_WH_GAS_N_AD</v>
      </c>
      <c r="C24" s="26" t="str">
        <f t="shared" si="7"/>
        <v>Apartment A1 WaterHear Gas Advanced (N)</v>
      </c>
      <c r="D24" s="26" t="str">
        <f>Commodities!$D$166</f>
        <v>RSDGASNAT</v>
      </c>
      <c r="E24" s="26" t="str">
        <f>E20</f>
        <v>RSD_APA1_WH</v>
      </c>
      <c r="F24" s="84">
        <f t="shared" si="6"/>
        <v>2030</v>
      </c>
      <c r="G24" s="57">
        <v>2030</v>
      </c>
      <c r="H24" s="111">
        <v>0.95</v>
      </c>
      <c r="I24" s="72"/>
      <c r="J24" s="87"/>
      <c r="K24" s="72">
        <f>ROUNDUP((K23*1.07)*(1/0.9)*1.1,0)</f>
        <v>313</v>
      </c>
      <c r="L24" s="111">
        <v>3.5</v>
      </c>
      <c r="M24" s="72">
        <f t="shared" si="4"/>
        <v>0</v>
      </c>
      <c r="N24" s="72">
        <v>20</v>
      </c>
      <c r="O24" s="72">
        <v>31.536000000000001</v>
      </c>
      <c r="P24" s="26"/>
      <c r="R24" s="26"/>
      <c r="S24" s="26"/>
      <c r="T24" s="26" t="str">
        <f>Commodities!$AD$24&amp;"_"&amp;RIGHT(Commodities!$D$180,3)&amp;"_"&amp;$T$3&amp;"_IM02"</f>
        <v>RSD_APA1_WH_SOL_N_IM02</v>
      </c>
      <c r="U24" s="26" t="s">
        <v>1097</v>
      </c>
      <c r="V24" s="57" t="str">
        <f>General!$B$2</f>
        <v>PJ</v>
      </c>
      <c r="W24" s="57" t="str">
        <f>General!$B$5</f>
        <v>GW</v>
      </c>
      <c r="X24" s="57" t="s">
        <v>723</v>
      </c>
      <c r="Y24" s="57"/>
      <c r="Z24" s="26"/>
    </row>
    <row r="25" spans="1:29" ht="13.8" x14ac:dyDescent="0.25">
      <c r="A25" s="10"/>
      <c r="B25" s="26" t="str">
        <f t="shared" si="7"/>
        <v>RSD_APA1_WH_LTH_N_IM</v>
      </c>
      <c r="C25" s="26" t="str">
        <f t="shared" si="7"/>
        <v>Apartment A1 WaterHeat Dist. Heating  Improved (N)</v>
      </c>
      <c r="D25" s="26" t="str">
        <f>Commodities!$D$350</f>
        <v>RSDLTHA1</v>
      </c>
      <c r="E25" s="26" t="str">
        <f>E20</f>
        <v>RSD_APA1_WH</v>
      </c>
      <c r="F25" s="84">
        <f>G25</f>
        <v>2018</v>
      </c>
      <c r="G25" s="57">
        <f>BASE_YEAR+1</f>
        <v>2018</v>
      </c>
      <c r="H25" s="111">
        <v>0.95</v>
      </c>
      <c r="I25" s="72"/>
      <c r="J25" s="114"/>
      <c r="K25" s="72">
        <f>ROUNDUP(75.852*(1/0.9)*1.4,0)</f>
        <v>118</v>
      </c>
      <c r="L25" s="72">
        <f>9.234*(1/0.9)</f>
        <v>10.26</v>
      </c>
      <c r="M25" s="72">
        <f t="shared" si="4"/>
        <v>0</v>
      </c>
      <c r="N25" s="72">
        <v>20</v>
      </c>
      <c r="O25" s="72">
        <v>31.536000000000001</v>
      </c>
      <c r="P25" s="26"/>
      <c r="R25" s="26"/>
      <c r="S25" s="26"/>
      <c r="T25" s="26" t="str">
        <f>Commodities!$AD$24&amp;"_"&amp;RIGHT(Commodities!$D$153,3)&amp;"_"&amp;$T$3&amp;"_IM02"</f>
        <v>RSD_APA1_WH_BIC_N_IM02</v>
      </c>
      <c r="U25" s="26" t="s">
        <v>1098</v>
      </c>
      <c r="V25" s="57" t="str">
        <f>General!$B$2</f>
        <v>PJ</v>
      </c>
      <c r="W25" s="57" t="str">
        <f>General!$B$5</f>
        <v>GW</v>
      </c>
      <c r="X25" s="57" t="s">
        <v>723</v>
      </c>
      <c r="Y25" s="57"/>
      <c r="Z25" s="26"/>
    </row>
    <row r="26" spans="1:29" ht="13.8" x14ac:dyDescent="0.25">
      <c r="A26" s="10"/>
      <c r="B26" s="26" t="str">
        <f t="shared" si="7"/>
        <v>RSD_APA1_WH_SOL_N_IM01</v>
      </c>
      <c r="C26" s="26" t="str">
        <f t="shared" si="7"/>
        <v>Apartment A1 WaterHeat Solar-Electric Improved (N)</v>
      </c>
      <c r="D26" s="26" t="str">
        <f>Commodities!$D$341</f>
        <v>RSDELC</v>
      </c>
      <c r="E26" s="26" t="str">
        <f>E20</f>
        <v>RSD_APA1_WH</v>
      </c>
      <c r="F26" s="84">
        <f>G26</f>
        <v>2020</v>
      </c>
      <c r="G26" s="57">
        <f>BASE_YEAR+3</f>
        <v>2020</v>
      </c>
      <c r="H26" s="111">
        <v>0.9</v>
      </c>
      <c r="I26" s="72"/>
      <c r="J26" s="114"/>
      <c r="K26" s="72">
        <f>ROUNDUP(773.015873015873*(1/0.9),0)</f>
        <v>859</v>
      </c>
      <c r="L26" s="72">
        <f>14.6875*(1/0.9)</f>
        <v>16.319444444444446</v>
      </c>
      <c r="M26" s="72">
        <f t="shared" si="4"/>
        <v>0</v>
      </c>
      <c r="N26" s="72">
        <v>15</v>
      </c>
      <c r="O26" s="72">
        <v>31.536000000000001</v>
      </c>
      <c r="P26" s="26"/>
      <c r="R26" s="11"/>
      <c r="S26" s="11"/>
      <c r="T26" s="11" t="str">
        <f>Commodities!$AD$24&amp;"_"&amp;RIGHT(Commodities!$D$161,3)&amp;"_"&amp;$T$3&amp;"_IM02"</f>
        <v>RSD_APA1_WH_LPG_N_IM02</v>
      </c>
      <c r="U26" s="11" t="s">
        <v>1099</v>
      </c>
      <c r="V26" s="22" t="str">
        <f>General!$B$2</f>
        <v>PJ</v>
      </c>
      <c r="W26" s="22" t="str">
        <f>General!$B$5</f>
        <v>GW</v>
      </c>
      <c r="X26" s="22" t="s">
        <v>723</v>
      </c>
      <c r="Y26" s="22"/>
      <c r="Z26" s="11"/>
    </row>
    <row r="27" spans="1:29" ht="13.8" x14ac:dyDescent="0.25">
      <c r="A27" s="10"/>
      <c r="B27" s="26"/>
      <c r="C27" s="26"/>
      <c r="D27" s="26" t="str">
        <f>Commodities!$D$180</f>
        <v>RSDRESSOL</v>
      </c>
      <c r="E27" s="26"/>
      <c r="F27" s="84">
        <f>F26</f>
        <v>2020</v>
      </c>
      <c r="G27" s="57"/>
      <c r="H27" s="111" t="s">
        <v>848</v>
      </c>
      <c r="I27" s="72">
        <v>0.5</v>
      </c>
      <c r="J27" s="114"/>
      <c r="K27" s="72" t="s">
        <v>848</v>
      </c>
      <c r="L27" s="72" t="s">
        <v>848</v>
      </c>
      <c r="M27" s="72" t="s">
        <v>848</v>
      </c>
      <c r="N27" s="72" t="s">
        <v>848</v>
      </c>
      <c r="O27" s="72"/>
      <c r="P27" s="26"/>
      <c r="R27" s="26"/>
      <c r="S27" s="26"/>
      <c r="T27" s="26" t="str">
        <f>Commodities!$AD$25&amp;"_"&amp;RIGHT(Commodities!$D$340,3)&amp;"_"&amp;$T$3&amp;"_ST"</f>
        <v>RSD_DTA2_WH_ELC_N_ST</v>
      </c>
      <c r="U27" s="26" t="s">
        <v>1070</v>
      </c>
      <c r="V27" s="57" t="str">
        <f>General!$B$2</f>
        <v>PJ</v>
      </c>
      <c r="W27" s="57" t="str">
        <f>General!$B$5</f>
        <v>GW</v>
      </c>
      <c r="X27" s="57" t="s">
        <v>723</v>
      </c>
      <c r="Y27" s="57"/>
      <c r="Z27" s="26"/>
    </row>
    <row r="28" spans="1:29" ht="13.8" x14ac:dyDescent="0.25">
      <c r="A28" s="10"/>
      <c r="B28" s="26" t="str">
        <f>T24</f>
        <v>RSD_APA1_WH_SOL_N_IM02</v>
      </c>
      <c r="C28" s="26" t="str">
        <f>U24</f>
        <v>Apartment A1 WaterHeat Solar-Gas Improved (N)</v>
      </c>
      <c r="D28" s="26" t="str">
        <f>Commodities!$D$341</f>
        <v>RSDELC</v>
      </c>
      <c r="E28" s="26" t="str">
        <f>E20</f>
        <v>RSD_APA1_WH</v>
      </c>
      <c r="F28" s="84">
        <f t="shared" ref="F28" si="8">G28</f>
        <v>2020</v>
      </c>
      <c r="G28" s="57">
        <f>BASE_YEAR+3</f>
        <v>2020</v>
      </c>
      <c r="H28" s="111">
        <v>0.9</v>
      </c>
      <c r="I28" s="72"/>
      <c r="J28" s="114"/>
      <c r="K28" s="72">
        <f>ROUNDUP(887.961299282303*(1/0.9),0)</f>
        <v>987</v>
      </c>
      <c r="L28" s="72">
        <f>19.1778666340693*(1/0.9)</f>
        <v>21.308740704521444</v>
      </c>
      <c r="M28" s="72">
        <f>0*(1/0.9)</f>
        <v>0</v>
      </c>
      <c r="N28" s="72">
        <v>15</v>
      </c>
      <c r="O28" s="72">
        <v>31.536000000000001</v>
      </c>
      <c r="P28" s="26"/>
      <c r="R28" s="26"/>
      <c r="S28" s="26"/>
      <c r="T28" s="26" t="str">
        <f>Commodities!$AD$25&amp;"_"&amp;RIGHT(Commodities!$D$340,3)&amp;"_"&amp;$T$3&amp;"_IM"</f>
        <v>RSD_DTA2_WH_ELC_N_IM</v>
      </c>
      <c r="U28" s="26" t="s">
        <v>1071</v>
      </c>
      <c r="V28" s="57" t="str">
        <f>General!$B$2</f>
        <v>PJ</v>
      </c>
      <c r="W28" s="57" t="str">
        <f>General!$B$5</f>
        <v>GW</v>
      </c>
      <c r="X28" s="57" t="s">
        <v>723</v>
      </c>
      <c r="Y28" s="57"/>
      <c r="Z28" s="26"/>
    </row>
    <row r="29" spans="1:29" ht="13.8" x14ac:dyDescent="0.25">
      <c r="A29" s="10"/>
      <c r="B29" s="26"/>
      <c r="C29" s="26"/>
      <c r="D29" s="26" t="str">
        <f>Commodities!$D$180</f>
        <v>RSDRESSOL</v>
      </c>
      <c r="E29" s="26"/>
      <c r="F29" s="84">
        <f>F28</f>
        <v>2020</v>
      </c>
      <c r="G29" s="57"/>
      <c r="H29" s="111" t="s">
        <v>848</v>
      </c>
      <c r="I29" s="72">
        <v>0.3</v>
      </c>
      <c r="J29" s="114"/>
      <c r="K29" s="72" t="s">
        <v>848</v>
      </c>
      <c r="L29" s="72" t="s">
        <v>848</v>
      </c>
      <c r="M29" s="72" t="s">
        <v>848</v>
      </c>
      <c r="N29" s="72" t="s">
        <v>848</v>
      </c>
      <c r="O29" s="72"/>
      <c r="P29" s="26"/>
      <c r="R29" s="26"/>
      <c r="S29" s="26"/>
      <c r="T29" s="26" t="str">
        <f>Commodities!$AD$25&amp;"_"&amp;LEFT(RIGHT(Commodities!$D$166,6),3)&amp;"_"&amp;$T$3&amp;"_ST"</f>
        <v>RSD_DTA2_WH_GAS_N_ST</v>
      </c>
      <c r="U29" s="26" t="s">
        <v>1072</v>
      </c>
      <c r="V29" s="57" t="str">
        <f>General!$B$2</f>
        <v>PJ</v>
      </c>
      <c r="W29" s="57" t="str">
        <f>General!$B$5</f>
        <v>GW</v>
      </c>
      <c r="X29" s="57" t="s">
        <v>723</v>
      </c>
      <c r="Y29" s="57"/>
      <c r="Z29" s="26"/>
    </row>
    <row r="30" spans="1:29" ht="13.8" x14ac:dyDescent="0.25">
      <c r="A30" s="10"/>
      <c r="B30" s="26" t="str">
        <f>T25</f>
        <v>RSD_APA1_WH_BIC_N_IM02</v>
      </c>
      <c r="C30" s="26" t="str">
        <f>U25</f>
        <v>Apartment A1  WaterHeat Coal Standard (N)</v>
      </c>
      <c r="D30" s="26" t="str">
        <f>Commodities!$D$153</f>
        <v>RSDCOABIC</v>
      </c>
      <c r="E30" s="26" t="str">
        <f>E28</f>
        <v>RSD_APA1_WH</v>
      </c>
      <c r="F30" s="84">
        <f>G30</f>
        <v>2100</v>
      </c>
      <c r="G30" s="57">
        <v>2100</v>
      </c>
      <c r="H30" s="111">
        <v>0.7</v>
      </c>
      <c r="I30" s="72"/>
      <c r="J30" s="114"/>
      <c r="K30" s="72">
        <f>ROUNDUP(68.9672557598582*(1/0.9)*1.2,0)</f>
        <v>92</v>
      </c>
      <c r="L30" s="72">
        <v>3.5</v>
      </c>
      <c r="M30" s="72">
        <f t="shared" ref="M30:M38" si="9">0*(1/0.9)</f>
        <v>0</v>
      </c>
      <c r="N30" s="72">
        <v>15</v>
      </c>
      <c r="O30" s="72">
        <v>31.536000000000001</v>
      </c>
      <c r="P30" s="26"/>
      <c r="R30" s="26"/>
      <c r="S30" s="26"/>
      <c r="T30" s="26" t="str">
        <f>Commodities!$AD$25&amp;"_"&amp;LEFT(RIGHT(Commodities!$D$166,6),3)&amp;"_"&amp;$T$3&amp;"_IM"</f>
        <v>RSD_DTA2_WH_GAS_N_IM</v>
      </c>
      <c r="U30" s="26" t="s">
        <v>1073</v>
      </c>
      <c r="V30" s="57" t="str">
        <f>General!$B$2</f>
        <v>PJ</v>
      </c>
      <c r="W30" s="57" t="str">
        <f>General!$B$5</f>
        <v>GW</v>
      </c>
      <c r="X30" s="57" t="s">
        <v>723</v>
      </c>
      <c r="Y30" s="57"/>
      <c r="Z30" s="26"/>
    </row>
    <row r="31" spans="1:29" ht="13.8" x14ac:dyDescent="0.25">
      <c r="A31" s="10"/>
      <c r="B31" s="11" t="str">
        <f>T26</f>
        <v>RSD_APA1_WH_LPG_N_IM02</v>
      </c>
      <c r="C31" s="11" t="str">
        <f>U26</f>
        <v>Apartment A1 WaterHeat LPG Standard (N)</v>
      </c>
      <c r="D31" s="11" t="str">
        <f>Commodities!$D$161</f>
        <v>RSDOILLPG</v>
      </c>
      <c r="E31" s="11" t="str">
        <f>E30</f>
        <v>RSD_APA1_WH</v>
      </c>
      <c r="F31" s="89">
        <f>G31</f>
        <v>2018</v>
      </c>
      <c r="G31" s="22">
        <f>BASE_YEAR+1</f>
        <v>2018</v>
      </c>
      <c r="H31" s="112">
        <v>0.85</v>
      </c>
      <c r="I31" s="73"/>
      <c r="J31" s="115"/>
      <c r="K31" s="73">
        <f>ROUNDUP(68.9672557598582*(1/0.9)*1.2,0)</f>
        <v>92</v>
      </c>
      <c r="L31" s="73">
        <v>3.5</v>
      </c>
      <c r="M31" s="73">
        <f t="shared" si="9"/>
        <v>0</v>
      </c>
      <c r="N31" s="73">
        <v>15</v>
      </c>
      <c r="O31" s="73">
        <v>31.536000000000001</v>
      </c>
      <c r="P31" s="26"/>
      <c r="R31" s="26"/>
      <c r="S31" s="26"/>
      <c r="T31" s="26" t="str">
        <f>Commodities!$AD$25&amp;"_"&amp;LEFT(RIGHT(Commodities!$D$166,6),3)&amp;"_"&amp;$T$3&amp;"_AD"</f>
        <v>RSD_DTA2_WH_GAS_N_AD</v>
      </c>
      <c r="U31" s="26" t="s">
        <v>1074</v>
      </c>
      <c r="V31" s="57" t="str">
        <f>General!$B$2</f>
        <v>PJ</v>
      </c>
      <c r="W31" s="57" t="str">
        <f>General!$B$5</f>
        <v>GW</v>
      </c>
      <c r="X31" s="57" t="s">
        <v>723</v>
      </c>
      <c r="Y31" s="57"/>
      <c r="Z31" s="26"/>
    </row>
    <row r="32" spans="1:29" ht="13.8" x14ac:dyDescent="0.25">
      <c r="A32" s="10"/>
      <c r="B32" s="26" t="str">
        <f t="shared" ref="B32:C33" si="10">T27</f>
        <v>RSD_DTA2_WH_ELC_N_ST</v>
      </c>
      <c r="C32" s="26" t="str">
        <f t="shared" si="10"/>
        <v>Detached A2 WaterHeat Electric Standard (N)</v>
      </c>
      <c r="D32" s="26" t="str">
        <f>Commodities!$D$341</f>
        <v>RSDELC</v>
      </c>
      <c r="E32" s="26" t="str">
        <f>Commodities!$AD$25</f>
        <v>RSD_DTA2_WH</v>
      </c>
      <c r="F32" s="84">
        <f>G32</f>
        <v>2018</v>
      </c>
      <c r="G32" s="57">
        <f>BASE_YEAR+1</f>
        <v>2018</v>
      </c>
      <c r="H32" s="111">
        <v>0.9</v>
      </c>
      <c r="I32" s="72"/>
      <c r="J32" s="114"/>
      <c r="K32" s="111">
        <f>ROUNDUP(159.983454545455*(1/0.9)*0.8,0)</f>
        <v>143</v>
      </c>
      <c r="L32" s="111">
        <v>1</v>
      </c>
      <c r="M32" s="111">
        <f t="shared" si="9"/>
        <v>0</v>
      </c>
      <c r="N32" s="72">
        <v>15</v>
      </c>
      <c r="O32" s="72">
        <v>31.536000000000001</v>
      </c>
      <c r="R32" s="26"/>
      <c r="S32" s="26"/>
      <c r="T32" s="26" t="str">
        <f>Commodities!$AD$25&amp;"_"&amp;RIGHT(Commodities!$D$347,3)&amp;"_"&amp;$T$3&amp;"_IM"</f>
        <v>RSD_DTA2_WH_LTH_N_IM</v>
      </c>
      <c r="U32" s="26" t="s">
        <v>1075</v>
      </c>
      <c r="V32" s="57" t="str">
        <f>General!$B$2</f>
        <v>PJ</v>
      </c>
      <c r="W32" s="57" t="str">
        <f>General!$B$5</f>
        <v>GW</v>
      </c>
      <c r="X32" s="57" t="s">
        <v>723</v>
      </c>
      <c r="Y32" s="57"/>
      <c r="Z32" s="26"/>
    </row>
    <row r="33" spans="1:26" ht="13.8" x14ac:dyDescent="0.25">
      <c r="A33" s="10"/>
      <c r="B33" s="26" t="str">
        <f t="shared" si="10"/>
        <v>RSD_DTA2_WH_ELC_N_IM</v>
      </c>
      <c r="C33" s="26" t="str">
        <f t="shared" si="10"/>
        <v>Detached A2 WaterHeat Electric Improved (N)</v>
      </c>
      <c r="D33" s="26" t="str">
        <f>Commodities!$D$341</f>
        <v>RSDELC</v>
      </c>
      <c r="E33" s="26" t="str">
        <f>E32</f>
        <v>RSD_DTA2_WH</v>
      </c>
      <c r="F33" s="84">
        <f t="shared" ref="F33:F36" si="11">G33</f>
        <v>2018</v>
      </c>
      <c r="G33" s="57">
        <f>BASE_YEAR+1</f>
        <v>2018</v>
      </c>
      <c r="H33" s="111">
        <v>0.94500000000000006</v>
      </c>
      <c r="I33" s="72"/>
      <c r="J33" s="114"/>
      <c r="K33" s="72">
        <f>ROUNDUP(171.182296363636*(1/0.9)*0.9,0)</f>
        <v>172</v>
      </c>
      <c r="L33" s="111">
        <v>1</v>
      </c>
      <c r="M33" s="72">
        <f t="shared" si="9"/>
        <v>0</v>
      </c>
      <c r="N33" s="72">
        <v>15</v>
      </c>
      <c r="O33" s="72">
        <v>31.536000000000001</v>
      </c>
      <c r="R33" s="26"/>
      <c r="S33" s="26"/>
      <c r="T33" s="26" t="str">
        <f>Commodities!$AD$25&amp;"_"&amp;RIGHT(Commodities!$D$180,3)&amp;"_"&amp;$T$3&amp;"_IM01"</f>
        <v>RSD_DTA2_WH_SOL_N_IM01</v>
      </c>
      <c r="U33" s="26" t="s">
        <v>1076</v>
      </c>
      <c r="V33" s="57" t="str">
        <f>General!$B$2</f>
        <v>PJ</v>
      </c>
      <c r="W33" s="57" t="str">
        <f>General!$B$5</f>
        <v>GW</v>
      </c>
      <c r="X33" s="57" t="s">
        <v>723</v>
      </c>
      <c r="Y33" s="57"/>
      <c r="Z33" s="26"/>
    </row>
    <row r="34" spans="1:26" ht="13.8" x14ac:dyDescent="0.25">
      <c r="B34" s="26" t="str">
        <f t="shared" ref="B34:C38" si="12">T29</f>
        <v>RSD_DTA2_WH_GAS_N_ST</v>
      </c>
      <c r="C34" s="26" t="str">
        <f t="shared" si="12"/>
        <v>Detached A2 WaterHear Gas Standard (N)</v>
      </c>
      <c r="D34" s="26" t="str">
        <f>Commodities!$D$166</f>
        <v>RSDGASNAT</v>
      </c>
      <c r="E34" s="26" t="str">
        <f>E32</f>
        <v>RSD_DTA2_WH</v>
      </c>
      <c r="F34" s="84">
        <f t="shared" si="11"/>
        <v>2018</v>
      </c>
      <c r="G34" s="57">
        <f>BASE_YEAR+1</f>
        <v>2018</v>
      </c>
      <c r="H34" s="111">
        <v>0.8</v>
      </c>
      <c r="I34" s="72"/>
      <c r="J34" s="114"/>
      <c r="K34" s="72">
        <f>ROUNDUP(150*(1/0.9)*1,0)</f>
        <v>167</v>
      </c>
      <c r="L34" s="111">
        <v>3.5</v>
      </c>
      <c r="M34" s="72">
        <f t="shared" si="9"/>
        <v>0</v>
      </c>
      <c r="N34" s="72">
        <v>20</v>
      </c>
      <c r="O34" s="72">
        <v>31.536000000000001</v>
      </c>
      <c r="R34" s="26"/>
      <c r="S34" s="26"/>
      <c r="T34" s="26" t="str">
        <f>Commodities!$AD$25&amp;"_"&amp;RIGHT(Commodities!$D$180,3)&amp;"_"&amp;$T$3&amp;"_IM02"</f>
        <v>RSD_DTA2_WH_SOL_N_IM02</v>
      </c>
      <c r="U34" s="26" t="s">
        <v>1077</v>
      </c>
      <c r="V34" s="57" t="str">
        <f>General!$B$2</f>
        <v>PJ</v>
      </c>
      <c r="W34" s="57" t="str">
        <f>General!$B$5</f>
        <v>GW</v>
      </c>
      <c r="X34" s="57" t="s">
        <v>723</v>
      </c>
      <c r="Y34" s="57"/>
      <c r="Z34" s="26"/>
    </row>
    <row r="35" spans="1:26" ht="13.8" x14ac:dyDescent="0.25">
      <c r="B35" s="26" t="str">
        <f t="shared" si="12"/>
        <v>RSD_DTA2_WH_GAS_N_IM</v>
      </c>
      <c r="C35" s="26" t="str">
        <f t="shared" si="12"/>
        <v>Detached A2 WaterHear Gas Improved (N)</v>
      </c>
      <c r="D35" s="26" t="str">
        <f>Commodities!$D$166</f>
        <v>RSDGASNAT</v>
      </c>
      <c r="E35" s="26" t="str">
        <f>E32</f>
        <v>RSD_DTA2_WH</v>
      </c>
      <c r="F35" s="84">
        <f t="shared" si="11"/>
        <v>2025</v>
      </c>
      <c r="G35" s="57">
        <f>BASE_YEAR+8</f>
        <v>2025</v>
      </c>
      <c r="H35" s="111">
        <v>0.9</v>
      </c>
      <c r="I35" s="72"/>
      <c r="J35" s="87"/>
      <c r="K35" s="72">
        <f>ROUNDUP((K34*1.07)*(1/0.9)*1.2,0)</f>
        <v>239</v>
      </c>
      <c r="L35" s="111">
        <v>3.5</v>
      </c>
      <c r="M35" s="72">
        <f t="shared" si="9"/>
        <v>0</v>
      </c>
      <c r="N35" s="72">
        <v>20</v>
      </c>
      <c r="O35" s="72">
        <v>31.536000000000001</v>
      </c>
      <c r="R35" s="26"/>
      <c r="S35" s="26"/>
      <c r="T35" s="26" t="str">
        <f>Commodities!$AD$25&amp;"_"&amp;RIGHT(Commodities!$D$153,3)&amp;"_"&amp;$T$3&amp;"_IM02"</f>
        <v>RSD_DTA2_WH_BIC_N_IM02</v>
      </c>
      <c r="U35" s="26" t="s">
        <v>1078</v>
      </c>
      <c r="V35" s="57" t="str">
        <f>General!$B$2</f>
        <v>PJ</v>
      </c>
      <c r="W35" s="57" t="str">
        <f>General!$B$5</f>
        <v>GW</v>
      </c>
      <c r="X35" s="57" t="s">
        <v>723</v>
      </c>
      <c r="Y35" s="57"/>
      <c r="Z35" s="26"/>
    </row>
    <row r="36" spans="1:26" ht="13.8" x14ac:dyDescent="0.25">
      <c r="B36" s="26" t="str">
        <f t="shared" si="12"/>
        <v>RSD_DTA2_WH_GAS_N_AD</v>
      </c>
      <c r="C36" s="26" t="str">
        <f t="shared" si="12"/>
        <v>Detached A2 WaterHear Gas Advanced (N)</v>
      </c>
      <c r="D36" s="26" t="str">
        <f>Commodities!$D$166</f>
        <v>RSDGASNAT</v>
      </c>
      <c r="E36" s="26" t="str">
        <f>E32</f>
        <v>RSD_DTA2_WH</v>
      </c>
      <c r="F36" s="84">
        <f t="shared" si="11"/>
        <v>2030</v>
      </c>
      <c r="G36" s="57">
        <v>2030</v>
      </c>
      <c r="H36" s="111">
        <v>0.95</v>
      </c>
      <c r="I36" s="72"/>
      <c r="J36" s="87"/>
      <c r="K36" s="72">
        <f>ROUNDUP((K35*1.07)*(1/0.9)*1.1,0)</f>
        <v>313</v>
      </c>
      <c r="L36" s="111">
        <v>3.5</v>
      </c>
      <c r="M36" s="72">
        <f t="shared" si="9"/>
        <v>0</v>
      </c>
      <c r="N36" s="72">
        <v>20</v>
      </c>
      <c r="O36" s="72">
        <v>31.536000000000001</v>
      </c>
      <c r="R36" s="11"/>
      <c r="S36" s="11"/>
      <c r="T36" s="11" t="str">
        <f>Commodities!$AD$25&amp;"_"&amp;RIGHT(Commodities!$D$161,3)&amp;"_"&amp;$T$3&amp;"_IM02"</f>
        <v>RSD_DTA2_WH_LPG_N_IM02</v>
      </c>
      <c r="U36" s="11" t="s">
        <v>1079</v>
      </c>
      <c r="V36" s="22" t="str">
        <f>General!$B$2</f>
        <v>PJ</v>
      </c>
      <c r="W36" s="22" t="str">
        <f>General!$B$5</f>
        <v>GW</v>
      </c>
      <c r="X36" s="22" t="s">
        <v>723</v>
      </c>
      <c r="Y36" s="22"/>
      <c r="Z36" s="11"/>
    </row>
    <row r="37" spans="1:26" ht="13.8" x14ac:dyDescent="0.25">
      <c r="B37" s="26" t="str">
        <f t="shared" si="12"/>
        <v>RSD_DTA2_WH_LTH_N_IM</v>
      </c>
      <c r="C37" s="26" t="str">
        <f t="shared" si="12"/>
        <v>Detached A2 WaterHeat Dist. Heating  Improved (N)</v>
      </c>
      <c r="D37" s="26" t="str">
        <f>Commodities!$D$351</f>
        <v>RSDLTHA2</v>
      </c>
      <c r="E37" s="26" t="str">
        <f>E32</f>
        <v>RSD_DTA2_WH</v>
      </c>
      <c r="F37" s="84">
        <f>G37</f>
        <v>2018</v>
      </c>
      <c r="G37" s="57">
        <f>BASE_YEAR+1</f>
        <v>2018</v>
      </c>
      <c r="H37" s="111">
        <v>0.95</v>
      </c>
      <c r="I37" s="72"/>
      <c r="J37" s="114"/>
      <c r="K37" s="72">
        <f>ROUNDUP(75.852*(1/0.9)*1.4,0)</f>
        <v>118</v>
      </c>
      <c r="L37" s="72">
        <f>9.234*(1/0.9)</f>
        <v>10.26</v>
      </c>
      <c r="M37" s="72">
        <f t="shared" si="9"/>
        <v>0</v>
      </c>
      <c r="N37" s="72">
        <v>20</v>
      </c>
      <c r="O37" s="72">
        <v>31.536000000000001</v>
      </c>
      <c r="R37" s="26"/>
      <c r="S37" s="26"/>
      <c r="T37" s="26" t="str">
        <f>Commodities!$AD$26&amp;"_"&amp;RIGHT(Commodities!$D$340,3)&amp;"_"&amp;$T$3&amp;"_ST"</f>
        <v>RSD_APA2_WH_ELC_N_ST</v>
      </c>
      <c r="U37" s="26" t="s">
        <v>1100</v>
      </c>
      <c r="V37" s="57" t="str">
        <f>General!$B$2</f>
        <v>PJ</v>
      </c>
      <c r="W37" s="57" t="str">
        <f>General!$B$5</f>
        <v>GW</v>
      </c>
      <c r="X37" s="57" t="s">
        <v>723</v>
      </c>
      <c r="Y37" s="57"/>
      <c r="Z37" s="26"/>
    </row>
    <row r="38" spans="1:26" ht="13.8" x14ac:dyDescent="0.25">
      <c r="B38" s="26" t="str">
        <f t="shared" si="12"/>
        <v>RSD_DTA2_WH_SOL_N_IM01</v>
      </c>
      <c r="C38" s="26" t="str">
        <f t="shared" si="12"/>
        <v>Detached A2 WaterHeat Solar-Electric Improved (N)</v>
      </c>
      <c r="D38" s="26" t="str">
        <f>Commodities!$D$341</f>
        <v>RSDELC</v>
      </c>
      <c r="E38" s="26" t="str">
        <f>E32</f>
        <v>RSD_DTA2_WH</v>
      </c>
      <c r="F38" s="84">
        <f>G38</f>
        <v>2020</v>
      </c>
      <c r="G38" s="57">
        <f>BASE_YEAR+3</f>
        <v>2020</v>
      </c>
      <c r="H38" s="111">
        <v>0.9</v>
      </c>
      <c r="I38" s="72"/>
      <c r="J38" s="114"/>
      <c r="K38" s="72">
        <f>ROUNDUP(773.015873015873*(1/0.9),0)</f>
        <v>859</v>
      </c>
      <c r="L38" s="72">
        <f>14.6875*(1/0.9)</f>
        <v>16.319444444444446</v>
      </c>
      <c r="M38" s="72">
        <f t="shared" si="9"/>
        <v>0</v>
      </c>
      <c r="N38" s="72">
        <v>15</v>
      </c>
      <c r="O38" s="72">
        <v>31.536000000000001</v>
      </c>
      <c r="R38" s="26"/>
      <c r="S38" s="26"/>
      <c r="T38" s="26" t="str">
        <f>Commodities!$AD$26&amp;"_"&amp;RIGHT(Commodities!$D$340,3)&amp;"_"&amp;$T$3&amp;"_IM"</f>
        <v>RSD_APA2_WH_ELC_N_IM</v>
      </c>
      <c r="U38" s="26" t="s">
        <v>1101</v>
      </c>
      <c r="V38" s="57" t="str">
        <f>General!$B$2</f>
        <v>PJ</v>
      </c>
      <c r="W38" s="57" t="str">
        <f>General!$B$5</f>
        <v>GW</v>
      </c>
      <c r="X38" s="57" t="s">
        <v>723</v>
      </c>
      <c r="Y38" s="57"/>
      <c r="Z38" s="26"/>
    </row>
    <row r="39" spans="1:26" ht="13.8" x14ac:dyDescent="0.25">
      <c r="B39" s="26"/>
      <c r="C39" s="26"/>
      <c r="D39" s="26" t="str">
        <f>Commodities!$D$180</f>
        <v>RSDRESSOL</v>
      </c>
      <c r="E39" s="26"/>
      <c r="F39" s="84">
        <f>F38</f>
        <v>2020</v>
      </c>
      <c r="G39" s="57"/>
      <c r="H39" s="111" t="s">
        <v>848</v>
      </c>
      <c r="I39" s="72">
        <v>0.5</v>
      </c>
      <c r="J39" s="114"/>
      <c r="K39" s="72" t="s">
        <v>848</v>
      </c>
      <c r="L39" s="72" t="s">
        <v>848</v>
      </c>
      <c r="M39" s="72" t="s">
        <v>848</v>
      </c>
      <c r="N39" s="72" t="s">
        <v>848</v>
      </c>
      <c r="O39" s="72"/>
      <c r="R39" s="26"/>
      <c r="S39" s="26"/>
      <c r="T39" s="26" t="str">
        <f>Commodities!$AD$26&amp;"_"&amp;LEFT(RIGHT(Commodities!$D$166,6),3)&amp;"_"&amp;$T$3&amp;"_ST"</f>
        <v>RSD_APA2_WH_GAS_N_ST</v>
      </c>
      <c r="U39" s="26" t="s">
        <v>1102</v>
      </c>
      <c r="V39" s="57" t="str">
        <f>General!$B$2</f>
        <v>PJ</v>
      </c>
      <c r="W39" s="57" t="str">
        <f>General!$B$5</f>
        <v>GW</v>
      </c>
      <c r="X39" s="57" t="s">
        <v>723</v>
      </c>
      <c r="Y39" s="57"/>
      <c r="Z39" s="26"/>
    </row>
    <row r="40" spans="1:26" ht="13.8" x14ac:dyDescent="0.25">
      <c r="B40" s="26" t="str">
        <f>T34</f>
        <v>RSD_DTA2_WH_SOL_N_IM02</v>
      </c>
      <c r="C40" s="26" t="str">
        <f>U34</f>
        <v>Detached A2 WaterHeat Solar-Gas Improved (N)</v>
      </c>
      <c r="D40" s="26" t="str">
        <f>Commodities!$D$166</f>
        <v>RSDGASNAT</v>
      </c>
      <c r="E40" s="26" t="str">
        <f>E32</f>
        <v>RSD_DTA2_WH</v>
      </c>
      <c r="F40" s="84">
        <f t="shared" ref="F40" si="13">G40</f>
        <v>2020</v>
      </c>
      <c r="G40" s="57">
        <f>BASE_YEAR+3</f>
        <v>2020</v>
      </c>
      <c r="H40" s="111">
        <v>0.9</v>
      </c>
      <c r="I40" s="72"/>
      <c r="J40" s="114"/>
      <c r="K40" s="72">
        <f>ROUNDUP(887.961299282303*(1/0.9),0)</f>
        <v>987</v>
      </c>
      <c r="L40" s="72">
        <f>19.1778666340693*(1/0.9)</f>
        <v>21.308740704521444</v>
      </c>
      <c r="M40" s="72">
        <f>0*(1/0.9)</f>
        <v>0</v>
      </c>
      <c r="N40" s="72">
        <v>15</v>
      </c>
      <c r="O40" s="72">
        <v>31.536000000000001</v>
      </c>
      <c r="R40" s="26"/>
      <c r="S40" s="26"/>
      <c r="T40" s="26" t="str">
        <f>Commodities!$AD$26&amp;"_"&amp;LEFT(RIGHT(Commodities!$D$166,6),3)&amp;"_"&amp;$T$3&amp;"_IM"</f>
        <v>RSD_APA2_WH_GAS_N_IM</v>
      </c>
      <c r="U40" s="26" t="s">
        <v>1103</v>
      </c>
      <c r="V40" s="57" t="str">
        <f>General!$B$2</f>
        <v>PJ</v>
      </c>
      <c r="W40" s="57" t="str">
        <f>General!$B$5</f>
        <v>GW</v>
      </c>
      <c r="X40" s="57" t="s">
        <v>723</v>
      </c>
      <c r="Y40" s="57"/>
      <c r="Z40" s="26"/>
    </row>
    <row r="41" spans="1:26" ht="13.8" x14ac:dyDescent="0.25">
      <c r="B41" s="26"/>
      <c r="C41" s="26"/>
      <c r="D41" s="26" t="str">
        <f>Commodities!$D$180</f>
        <v>RSDRESSOL</v>
      </c>
      <c r="E41" s="26"/>
      <c r="F41" s="84">
        <f>F40</f>
        <v>2020</v>
      </c>
      <c r="G41" s="57"/>
      <c r="H41" s="111" t="s">
        <v>848</v>
      </c>
      <c r="I41" s="72">
        <v>0.3</v>
      </c>
      <c r="J41" s="114"/>
      <c r="K41" s="72" t="s">
        <v>848</v>
      </c>
      <c r="L41" s="72" t="s">
        <v>848</v>
      </c>
      <c r="M41" s="72" t="s">
        <v>848</v>
      </c>
      <c r="N41" s="72" t="s">
        <v>848</v>
      </c>
      <c r="O41" s="72"/>
      <c r="R41" s="26"/>
      <c r="S41" s="26"/>
      <c r="T41" s="26" t="str">
        <f>Commodities!$AD$26&amp;"_"&amp;LEFT(RIGHT(Commodities!$D$166,6),3)&amp;"_"&amp;$T$3&amp;"_AD"</f>
        <v>RSD_APA2_WH_GAS_N_AD</v>
      </c>
      <c r="U41" s="26" t="s">
        <v>1104</v>
      </c>
      <c r="V41" s="57" t="str">
        <f>General!$B$2</f>
        <v>PJ</v>
      </c>
      <c r="W41" s="57" t="str">
        <f>General!$B$5</f>
        <v>GW</v>
      </c>
      <c r="X41" s="57" t="s">
        <v>723</v>
      </c>
      <c r="Y41" s="57"/>
      <c r="Z41" s="26"/>
    </row>
    <row r="42" spans="1:26" ht="13.8" x14ac:dyDescent="0.25">
      <c r="B42" s="26" t="str">
        <f t="shared" ref="B42:C44" si="14">T35</f>
        <v>RSD_DTA2_WH_BIC_N_IM02</v>
      </c>
      <c r="C42" s="26" t="str">
        <f t="shared" si="14"/>
        <v>Detached A2 WaterHeat Coal Standard (N)</v>
      </c>
      <c r="D42" s="26" t="str">
        <f>Commodities!$D$153</f>
        <v>RSDCOABIC</v>
      </c>
      <c r="E42" s="26" t="str">
        <f>E40</f>
        <v>RSD_DTA2_WH</v>
      </c>
      <c r="F42" s="84">
        <f>G42</f>
        <v>2100</v>
      </c>
      <c r="G42" s="57">
        <v>2100</v>
      </c>
      <c r="H42" s="111">
        <v>0.7</v>
      </c>
      <c r="I42" s="72"/>
      <c r="J42" s="114"/>
      <c r="K42" s="72">
        <f>ROUNDUP(68.9672557598582*(1/0.9)*1.2,0)</f>
        <v>92</v>
      </c>
      <c r="L42" s="72">
        <v>3.5</v>
      </c>
      <c r="M42" s="72">
        <f t="shared" ref="M42:M50" si="15">0*(1/0.9)</f>
        <v>0</v>
      </c>
      <c r="N42" s="72">
        <v>15</v>
      </c>
      <c r="O42" s="72">
        <v>31.536000000000001</v>
      </c>
      <c r="R42" s="26"/>
      <c r="S42" s="26"/>
      <c r="T42" s="26" t="str">
        <f>Commodities!$AD$26&amp;"_"&amp;RIGHT(Commodities!$D$347,3)&amp;"_"&amp;$T$3&amp;"_IM"</f>
        <v>RSD_APA2_WH_LTH_N_IM</v>
      </c>
      <c r="U42" s="26" t="s">
        <v>1105</v>
      </c>
      <c r="V42" s="57" t="str">
        <f>General!$B$2</f>
        <v>PJ</v>
      </c>
      <c r="W42" s="57" t="str">
        <f>General!$B$5</f>
        <v>GW</v>
      </c>
      <c r="X42" s="57" t="s">
        <v>723</v>
      </c>
      <c r="Y42" s="57"/>
      <c r="Z42" s="26"/>
    </row>
    <row r="43" spans="1:26" ht="13.8" x14ac:dyDescent="0.25">
      <c r="B43" s="11" t="str">
        <f t="shared" si="14"/>
        <v>RSD_DTA2_WH_LPG_N_IM02</v>
      </c>
      <c r="C43" s="11" t="str">
        <f t="shared" si="14"/>
        <v>Detached A2 WaterHeat LPG Standard (N)</v>
      </c>
      <c r="D43" s="11" t="str">
        <f>Commodities!$D$161</f>
        <v>RSDOILLPG</v>
      </c>
      <c r="E43" s="11" t="str">
        <f>E42</f>
        <v>RSD_DTA2_WH</v>
      </c>
      <c r="F43" s="89">
        <f>G43</f>
        <v>2018</v>
      </c>
      <c r="G43" s="22">
        <f>BASE_YEAR+1</f>
        <v>2018</v>
      </c>
      <c r="H43" s="112">
        <v>0.85</v>
      </c>
      <c r="I43" s="73"/>
      <c r="J43" s="115"/>
      <c r="K43" s="73">
        <f>ROUNDUP(68.9672557598582*(1/0.9)*1.2,0)</f>
        <v>92</v>
      </c>
      <c r="L43" s="73">
        <v>3.5</v>
      </c>
      <c r="M43" s="73">
        <f t="shared" si="15"/>
        <v>0</v>
      </c>
      <c r="N43" s="73">
        <v>15</v>
      </c>
      <c r="O43" s="73">
        <v>31.536000000000001</v>
      </c>
      <c r="R43" s="26"/>
      <c r="S43" s="26"/>
      <c r="T43" s="26" t="str">
        <f>Commodities!$AD$26&amp;"_"&amp;RIGHT(Commodities!$D$180,3)&amp;"_"&amp;$T$3&amp;"_IM01"</f>
        <v>RSD_APA2_WH_SOL_N_IM01</v>
      </c>
      <c r="U43" s="26" t="s">
        <v>1106</v>
      </c>
      <c r="V43" s="57" t="str">
        <f>General!$B$2</f>
        <v>PJ</v>
      </c>
      <c r="W43" s="57" t="str">
        <f>General!$B$5</f>
        <v>GW</v>
      </c>
      <c r="X43" s="57" t="s">
        <v>723</v>
      </c>
      <c r="Y43" s="57"/>
      <c r="Z43" s="26"/>
    </row>
    <row r="44" spans="1:26" ht="13.8" x14ac:dyDescent="0.25">
      <c r="B44" s="26" t="str">
        <f t="shared" si="14"/>
        <v>RSD_APA2_WH_ELC_N_ST</v>
      </c>
      <c r="C44" s="26" t="str">
        <f t="shared" si="14"/>
        <v>Apartment A2 WaterHeat Electric Standard (N)</v>
      </c>
      <c r="D44" s="26" t="str">
        <f>Commodities!$D$341</f>
        <v>RSDELC</v>
      </c>
      <c r="E44" s="26" t="str">
        <f>Commodities!$AD$26</f>
        <v>RSD_APA2_WH</v>
      </c>
      <c r="F44" s="84">
        <f>G44</f>
        <v>2018</v>
      </c>
      <c r="G44" s="57">
        <f>BASE_YEAR+1</f>
        <v>2018</v>
      </c>
      <c r="H44" s="111">
        <v>0.9</v>
      </c>
      <c r="I44" s="72"/>
      <c r="J44" s="114"/>
      <c r="K44" s="111">
        <f>ROUNDUP(159.983454545455*(1/0.9)*0.8,0)</f>
        <v>143</v>
      </c>
      <c r="L44" s="111">
        <v>1</v>
      </c>
      <c r="M44" s="111">
        <f t="shared" si="15"/>
        <v>0</v>
      </c>
      <c r="N44" s="72">
        <v>15</v>
      </c>
      <c r="O44" s="72">
        <v>31.536000000000001</v>
      </c>
      <c r="R44" s="26"/>
      <c r="S44" s="26"/>
      <c r="T44" s="26" t="str">
        <f>Commodities!$AD$26&amp;"_"&amp;RIGHT(Commodities!$D$180,3)&amp;"_"&amp;$T$3&amp;"_IM02"</f>
        <v>RSD_APA2_WH_SOL_N_IM02</v>
      </c>
      <c r="U44" s="26" t="s">
        <v>1107</v>
      </c>
      <c r="V44" s="57" t="str">
        <f>General!$B$2</f>
        <v>PJ</v>
      </c>
      <c r="W44" s="57" t="str">
        <f>General!$B$5</f>
        <v>GW</v>
      </c>
      <c r="X44" s="57" t="s">
        <v>723</v>
      </c>
      <c r="Y44" s="57"/>
      <c r="Z44" s="26"/>
    </row>
    <row r="45" spans="1:26" ht="13.8" x14ac:dyDescent="0.25">
      <c r="B45" s="26" t="str">
        <f t="shared" ref="B45:C50" si="16">T38</f>
        <v>RSD_APA2_WH_ELC_N_IM</v>
      </c>
      <c r="C45" s="26" t="str">
        <f t="shared" si="16"/>
        <v>Apartment A2 WaterHeat Electric Improved (N)</v>
      </c>
      <c r="D45" s="26" t="str">
        <f>Commodities!$D$341</f>
        <v>RSDELC</v>
      </c>
      <c r="E45" s="26" t="str">
        <f>E44</f>
        <v>RSD_APA2_WH</v>
      </c>
      <c r="F45" s="84">
        <f t="shared" ref="F45:F48" si="17">G45</f>
        <v>2018</v>
      </c>
      <c r="G45" s="57">
        <f>BASE_YEAR+1</f>
        <v>2018</v>
      </c>
      <c r="H45" s="111">
        <v>0.94500000000000006</v>
      </c>
      <c r="I45" s="72"/>
      <c r="J45" s="114"/>
      <c r="K45" s="72">
        <f>ROUNDUP(171.182296363636*(1/0.9)*0.9,0)</f>
        <v>172</v>
      </c>
      <c r="L45" s="111">
        <v>1</v>
      </c>
      <c r="M45" s="72">
        <f t="shared" si="15"/>
        <v>0</v>
      </c>
      <c r="N45" s="72">
        <v>15</v>
      </c>
      <c r="O45" s="72">
        <v>31.536000000000001</v>
      </c>
      <c r="R45" s="26"/>
      <c r="S45" s="26"/>
      <c r="T45" s="26" t="str">
        <f>Commodities!$AD$26&amp;"_"&amp;RIGHT(Commodities!$D$153,3)&amp;"_"&amp;$T$3&amp;"_IM02"</f>
        <v>RSD_APA2_WH_BIC_N_IM02</v>
      </c>
      <c r="U45" s="26" t="s">
        <v>1108</v>
      </c>
      <c r="V45" s="57" t="str">
        <f>General!$B$2</f>
        <v>PJ</v>
      </c>
      <c r="W45" s="57" t="str">
        <f>General!$B$5</f>
        <v>GW</v>
      </c>
      <c r="X45" s="57" t="s">
        <v>723</v>
      </c>
      <c r="Y45" s="57"/>
      <c r="Z45" s="26"/>
    </row>
    <row r="46" spans="1:26" ht="13.8" x14ac:dyDescent="0.25">
      <c r="B46" s="26" t="str">
        <f t="shared" si="16"/>
        <v>RSD_APA2_WH_GAS_N_ST</v>
      </c>
      <c r="C46" s="26" t="str">
        <f t="shared" si="16"/>
        <v>Apartment A2 WaterHear Gas Standard (N)</v>
      </c>
      <c r="D46" s="26" t="str">
        <f>Commodities!$D$166</f>
        <v>RSDGASNAT</v>
      </c>
      <c r="E46" s="26" t="str">
        <f>E44</f>
        <v>RSD_APA2_WH</v>
      </c>
      <c r="F46" s="84">
        <f t="shared" si="17"/>
        <v>2018</v>
      </c>
      <c r="G46" s="57">
        <f>BASE_YEAR+1</f>
        <v>2018</v>
      </c>
      <c r="H46" s="111">
        <v>0.8</v>
      </c>
      <c r="I46" s="72"/>
      <c r="J46" s="114"/>
      <c r="K46" s="72">
        <f>ROUNDUP(150*(1/0.9)*1,0)</f>
        <v>167</v>
      </c>
      <c r="L46" s="111">
        <v>3.5</v>
      </c>
      <c r="M46" s="72">
        <f t="shared" si="15"/>
        <v>0</v>
      </c>
      <c r="N46" s="72">
        <v>20</v>
      </c>
      <c r="O46" s="72">
        <v>31.536000000000001</v>
      </c>
      <c r="R46" s="11"/>
      <c r="S46" s="11"/>
      <c r="T46" s="11" t="str">
        <f>Commodities!$AD$26&amp;"_"&amp;RIGHT(Commodities!$D$161,3)&amp;"_"&amp;$T$3&amp;"_IM02"</f>
        <v>RSD_APA2_WH_LPG_N_IM02</v>
      </c>
      <c r="U46" s="11" t="s">
        <v>1109</v>
      </c>
      <c r="V46" s="22" t="str">
        <f>General!$B$2</f>
        <v>PJ</v>
      </c>
      <c r="W46" s="22" t="str">
        <f>General!$B$5</f>
        <v>GW</v>
      </c>
      <c r="X46" s="22" t="s">
        <v>723</v>
      </c>
      <c r="Y46" s="22"/>
      <c r="Z46" s="11"/>
    </row>
    <row r="47" spans="1:26" ht="13.8" x14ac:dyDescent="0.25">
      <c r="B47" s="26" t="str">
        <f t="shared" si="16"/>
        <v>RSD_APA2_WH_GAS_N_IM</v>
      </c>
      <c r="C47" s="26" t="str">
        <f t="shared" si="16"/>
        <v>Apartment A2 WaterHear Gas Improved (N)</v>
      </c>
      <c r="D47" s="26" t="str">
        <f>Commodities!$D$166</f>
        <v>RSDGASNAT</v>
      </c>
      <c r="E47" s="26" t="str">
        <f>E44</f>
        <v>RSD_APA2_WH</v>
      </c>
      <c r="F47" s="84">
        <f t="shared" si="17"/>
        <v>2025</v>
      </c>
      <c r="G47" s="57">
        <f>BASE_YEAR+8</f>
        <v>2025</v>
      </c>
      <c r="H47" s="111">
        <v>0.9</v>
      </c>
      <c r="I47" s="72"/>
      <c r="J47" s="87"/>
      <c r="K47" s="72">
        <f>ROUNDUP((K46*1.07)*(1/0.9)*1.2,0)</f>
        <v>239</v>
      </c>
      <c r="L47" s="111">
        <v>3.5</v>
      </c>
      <c r="M47" s="72">
        <f t="shared" si="15"/>
        <v>0</v>
      </c>
      <c r="N47" s="72">
        <v>20</v>
      </c>
      <c r="O47" s="72">
        <v>31.536000000000001</v>
      </c>
      <c r="R47" s="26"/>
      <c r="S47" s="26"/>
      <c r="T47" s="26" t="str">
        <f>Commodities!$AD$27&amp;"_"&amp;RIGHT(Commodities!$D$340,3)&amp;"_"&amp;$T$3&amp;"_ST"</f>
        <v>RSD_DTA3_WH_ELC_N_ST</v>
      </c>
      <c r="U47" s="26" t="s">
        <v>1060</v>
      </c>
      <c r="V47" s="57" t="str">
        <f>General!$B$2</f>
        <v>PJ</v>
      </c>
      <c r="W47" s="57" t="str">
        <f>General!$B$5</f>
        <v>GW</v>
      </c>
      <c r="X47" s="57" t="s">
        <v>723</v>
      </c>
      <c r="Y47" s="57"/>
      <c r="Z47" s="26"/>
    </row>
    <row r="48" spans="1:26" ht="13.8" x14ac:dyDescent="0.25">
      <c r="B48" s="26" t="str">
        <f t="shared" si="16"/>
        <v>RSD_APA2_WH_GAS_N_AD</v>
      </c>
      <c r="C48" s="26" t="str">
        <f t="shared" si="16"/>
        <v>Apartment A2 WaterHear Gas Advanced (N)</v>
      </c>
      <c r="D48" s="26" t="str">
        <f>Commodities!$D$166</f>
        <v>RSDGASNAT</v>
      </c>
      <c r="E48" s="26" t="str">
        <f>E44</f>
        <v>RSD_APA2_WH</v>
      </c>
      <c r="F48" s="84">
        <f t="shared" si="17"/>
        <v>2030</v>
      </c>
      <c r="G48" s="57">
        <v>2030</v>
      </c>
      <c r="H48" s="111">
        <v>0.95</v>
      </c>
      <c r="I48" s="72"/>
      <c r="J48" s="87"/>
      <c r="K48" s="72">
        <f>ROUNDUP((K47*1.07)*(1/0.9)*1.1,0)</f>
        <v>313</v>
      </c>
      <c r="L48" s="111">
        <v>3.5</v>
      </c>
      <c r="M48" s="72">
        <f t="shared" si="15"/>
        <v>0</v>
      </c>
      <c r="N48" s="72">
        <v>20</v>
      </c>
      <c r="O48" s="72">
        <v>31.536000000000001</v>
      </c>
      <c r="R48" s="26"/>
      <c r="S48" s="26"/>
      <c r="T48" s="26" t="str">
        <f>Commodities!$AD$27&amp;"_"&amp;RIGHT(Commodities!$D$340,3)&amp;"_"&amp;$T$3&amp;"_IM"</f>
        <v>RSD_DTA3_WH_ELC_N_IM</v>
      </c>
      <c r="U48" s="26" t="s">
        <v>1061</v>
      </c>
      <c r="V48" s="57" t="str">
        <f>General!$B$2</f>
        <v>PJ</v>
      </c>
      <c r="W48" s="57" t="str">
        <f>General!$B$5</f>
        <v>GW</v>
      </c>
      <c r="X48" s="57" t="s">
        <v>723</v>
      </c>
      <c r="Y48" s="57"/>
      <c r="Z48" s="26"/>
    </row>
    <row r="49" spans="2:26" ht="13.8" x14ac:dyDescent="0.25">
      <c r="B49" s="26" t="str">
        <f t="shared" si="16"/>
        <v>RSD_APA2_WH_LTH_N_IM</v>
      </c>
      <c r="C49" s="26" t="str">
        <f t="shared" si="16"/>
        <v>Apartment A2 WaterHeat Dist. Heating  Improved (N)</v>
      </c>
      <c r="D49" s="26" t="str">
        <f>Commodities!$D$351</f>
        <v>RSDLTHA2</v>
      </c>
      <c r="E49" s="26" t="str">
        <f>E44</f>
        <v>RSD_APA2_WH</v>
      </c>
      <c r="F49" s="84">
        <f>G49</f>
        <v>2018</v>
      </c>
      <c r="G49" s="57">
        <f>BASE_YEAR+1</f>
        <v>2018</v>
      </c>
      <c r="H49" s="111">
        <v>0.95</v>
      </c>
      <c r="I49" s="72"/>
      <c r="J49" s="114"/>
      <c r="K49" s="72">
        <f>ROUNDUP(75.852*(1/0.9)*1.4,0)</f>
        <v>118</v>
      </c>
      <c r="L49" s="72">
        <f>9.234*(1/0.9)</f>
        <v>10.26</v>
      </c>
      <c r="M49" s="72">
        <f t="shared" si="15"/>
        <v>0</v>
      </c>
      <c r="N49" s="72">
        <v>20</v>
      </c>
      <c r="O49" s="72">
        <v>31.536000000000001</v>
      </c>
      <c r="R49" s="26"/>
      <c r="S49" s="26"/>
      <c r="T49" s="26" t="str">
        <f>Commodities!$AD$27&amp;"_"&amp;LEFT(RIGHT(Commodities!$D$166,6),3)&amp;"_"&amp;$T$3&amp;"_ST"</f>
        <v>RSD_DTA3_WH_GAS_N_ST</v>
      </c>
      <c r="U49" s="26" t="s">
        <v>1062</v>
      </c>
      <c r="V49" s="57" t="str">
        <f>General!$B$2</f>
        <v>PJ</v>
      </c>
      <c r="W49" s="57" t="str">
        <f>General!$B$5</f>
        <v>GW</v>
      </c>
      <c r="X49" s="57" t="s">
        <v>723</v>
      </c>
      <c r="Y49" s="57"/>
      <c r="Z49" s="26"/>
    </row>
    <row r="50" spans="2:26" ht="13.8" x14ac:dyDescent="0.25">
      <c r="B50" s="26" t="str">
        <f t="shared" si="16"/>
        <v>RSD_APA2_WH_SOL_N_IM01</v>
      </c>
      <c r="C50" s="26" t="str">
        <f t="shared" si="16"/>
        <v>Apartment A2 WaterHeat Solar-Electric Improved (N)</v>
      </c>
      <c r="D50" s="26" t="str">
        <f>Commodities!$D$341</f>
        <v>RSDELC</v>
      </c>
      <c r="E50" s="26" t="str">
        <f>E44</f>
        <v>RSD_APA2_WH</v>
      </c>
      <c r="F50" s="84">
        <f>G50</f>
        <v>2020</v>
      </c>
      <c r="G50" s="57">
        <f>BASE_YEAR+3</f>
        <v>2020</v>
      </c>
      <c r="H50" s="111">
        <v>0.9</v>
      </c>
      <c r="I50" s="72"/>
      <c r="J50" s="114"/>
      <c r="K50" s="72">
        <f>ROUNDUP(773.015873015873*(1/0.9),0)</f>
        <v>859</v>
      </c>
      <c r="L50" s="72">
        <f>14.6875*(1/0.9)</f>
        <v>16.319444444444446</v>
      </c>
      <c r="M50" s="72">
        <f t="shared" si="15"/>
        <v>0</v>
      </c>
      <c r="N50" s="72">
        <v>15</v>
      </c>
      <c r="O50" s="72">
        <v>31.536000000000001</v>
      </c>
      <c r="R50" s="26"/>
      <c r="S50" s="26"/>
      <c r="T50" s="26" t="str">
        <f>Commodities!$AD$27&amp;"_"&amp;LEFT(RIGHT(Commodities!$D$166,6),3)&amp;"_"&amp;$T$3&amp;"_IM"</f>
        <v>RSD_DTA3_WH_GAS_N_IM</v>
      </c>
      <c r="U50" s="26" t="s">
        <v>1063</v>
      </c>
      <c r="V50" s="57" t="str">
        <f>General!$B$2</f>
        <v>PJ</v>
      </c>
      <c r="W50" s="57" t="str">
        <f>General!$B$5</f>
        <v>GW</v>
      </c>
      <c r="X50" s="57" t="s">
        <v>723</v>
      </c>
      <c r="Y50" s="57"/>
      <c r="Z50" s="26"/>
    </row>
    <row r="51" spans="2:26" ht="13.8" x14ac:dyDescent="0.25">
      <c r="B51" s="26"/>
      <c r="C51" s="26"/>
      <c r="D51" s="26" t="str">
        <f>Commodities!$D$180</f>
        <v>RSDRESSOL</v>
      </c>
      <c r="E51" s="26"/>
      <c r="F51" s="84">
        <f>F50</f>
        <v>2020</v>
      </c>
      <c r="G51" s="57"/>
      <c r="H51" s="111" t="s">
        <v>848</v>
      </c>
      <c r="I51" s="72">
        <v>0.5</v>
      </c>
      <c r="J51" s="114"/>
      <c r="K51" s="72" t="s">
        <v>848</v>
      </c>
      <c r="L51" s="72" t="s">
        <v>848</v>
      </c>
      <c r="M51" s="72" t="s">
        <v>848</v>
      </c>
      <c r="N51" s="72" t="s">
        <v>848</v>
      </c>
      <c r="O51" s="72"/>
      <c r="R51" s="26"/>
      <c r="S51" s="26"/>
      <c r="T51" s="26" t="str">
        <f>Commodities!$AD$27&amp;"_"&amp;LEFT(RIGHT(Commodities!$D$166,6),3)&amp;"_"&amp;$T$3&amp;"_AD"</f>
        <v>RSD_DTA3_WH_GAS_N_AD</v>
      </c>
      <c r="U51" s="26" t="s">
        <v>1064</v>
      </c>
      <c r="V51" s="57" t="str">
        <f>General!$B$2</f>
        <v>PJ</v>
      </c>
      <c r="W51" s="57" t="str">
        <f>General!$B$5</f>
        <v>GW</v>
      </c>
      <c r="X51" s="57" t="s">
        <v>723</v>
      </c>
      <c r="Y51" s="57"/>
      <c r="Z51" s="26"/>
    </row>
    <row r="52" spans="2:26" ht="13.8" x14ac:dyDescent="0.25">
      <c r="B52" s="26" t="str">
        <f>T44</f>
        <v>RSD_APA2_WH_SOL_N_IM02</v>
      </c>
      <c r="C52" s="26" t="str">
        <f>U44</f>
        <v>Apartment A2 WaterHeat Solar-Gas Improved (N)</v>
      </c>
      <c r="D52" s="26" t="str">
        <f>Commodities!$D$166</f>
        <v>RSDGASNAT</v>
      </c>
      <c r="E52" s="26" t="str">
        <f>E44</f>
        <v>RSD_APA2_WH</v>
      </c>
      <c r="F52" s="84">
        <f t="shared" ref="F52" si="18">G52</f>
        <v>2020</v>
      </c>
      <c r="G52" s="57">
        <f>BASE_YEAR+3</f>
        <v>2020</v>
      </c>
      <c r="H52" s="111">
        <v>0.9</v>
      </c>
      <c r="I52" s="72"/>
      <c r="J52" s="114"/>
      <c r="K52" s="72">
        <f>ROUNDUP(887.961299282303*(1/0.9),0)</f>
        <v>987</v>
      </c>
      <c r="L52" s="72">
        <f>19.1778666340693*(1/0.9)</f>
        <v>21.308740704521444</v>
      </c>
      <c r="M52" s="72">
        <f>0*(1/0.9)</f>
        <v>0</v>
      </c>
      <c r="N52" s="72">
        <v>15</v>
      </c>
      <c r="O52" s="72">
        <v>31.536000000000001</v>
      </c>
      <c r="R52" s="26"/>
      <c r="S52" s="26"/>
      <c r="T52" s="26" t="str">
        <f>Commodities!$AD$27&amp;"_"&amp;RIGHT(Commodities!$D$347,3)&amp;"_"&amp;$T$3&amp;"_IM"</f>
        <v>RSD_DTA3_WH_LTH_N_IM</v>
      </c>
      <c r="U52" s="26" t="s">
        <v>1065</v>
      </c>
      <c r="V52" s="57" t="str">
        <f>General!$B$2</f>
        <v>PJ</v>
      </c>
      <c r="W52" s="57" t="str">
        <f>General!$B$5</f>
        <v>GW</v>
      </c>
      <c r="X52" s="57" t="s">
        <v>723</v>
      </c>
      <c r="Y52" s="57"/>
      <c r="Z52" s="26"/>
    </row>
    <row r="53" spans="2:26" ht="13.8" x14ac:dyDescent="0.25">
      <c r="B53" s="26"/>
      <c r="C53" s="26"/>
      <c r="D53" s="26" t="str">
        <f>Commodities!$D$180</f>
        <v>RSDRESSOL</v>
      </c>
      <c r="E53" s="26"/>
      <c r="F53" s="84">
        <f>F52</f>
        <v>2020</v>
      </c>
      <c r="G53" s="57"/>
      <c r="H53" s="111" t="s">
        <v>848</v>
      </c>
      <c r="I53" s="72">
        <v>0.3</v>
      </c>
      <c r="J53" s="114"/>
      <c r="K53" s="72" t="s">
        <v>848</v>
      </c>
      <c r="L53" s="72" t="s">
        <v>848</v>
      </c>
      <c r="M53" s="72" t="s">
        <v>848</v>
      </c>
      <c r="N53" s="72" t="s">
        <v>848</v>
      </c>
      <c r="O53" s="72"/>
      <c r="R53" s="26"/>
      <c r="S53" s="26"/>
      <c r="T53" s="26" t="str">
        <f>Commodities!$AD$27&amp;"_"&amp;RIGHT(Commodities!$D$180,3)&amp;"_"&amp;$T$3&amp;"_IM01"</f>
        <v>RSD_DTA3_WH_SOL_N_IM01</v>
      </c>
      <c r="U53" s="26" t="s">
        <v>1066</v>
      </c>
      <c r="V53" s="57" t="str">
        <f>General!$B$2</f>
        <v>PJ</v>
      </c>
      <c r="W53" s="57" t="str">
        <f>General!$B$5</f>
        <v>GW</v>
      </c>
      <c r="X53" s="57" t="s">
        <v>723</v>
      </c>
      <c r="Y53" s="57"/>
      <c r="Z53" s="26"/>
    </row>
    <row r="54" spans="2:26" ht="13.8" x14ac:dyDescent="0.25">
      <c r="B54" s="26" t="str">
        <f t="shared" ref="B54:C56" si="19">T45</f>
        <v>RSD_APA2_WH_BIC_N_IM02</v>
      </c>
      <c r="C54" s="26" t="str">
        <f t="shared" si="19"/>
        <v>Apartment A2 WaterHeat Coal Standard (N)</v>
      </c>
      <c r="D54" s="26" t="str">
        <f>Commodities!$D$153</f>
        <v>RSDCOABIC</v>
      </c>
      <c r="E54" s="26" t="str">
        <f>E52</f>
        <v>RSD_APA2_WH</v>
      </c>
      <c r="F54" s="84">
        <f>G54</f>
        <v>2100</v>
      </c>
      <c r="G54" s="57">
        <v>2100</v>
      </c>
      <c r="H54" s="111">
        <v>0.7</v>
      </c>
      <c r="I54" s="72"/>
      <c r="J54" s="114"/>
      <c r="K54" s="72">
        <f>ROUNDUP(68.9672557598582*(1/0.9)*1.2,0)</f>
        <v>92</v>
      </c>
      <c r="L54" s="72">
        <v>3.5</v>
      </c>
      <c r="M54" s="72">
        <f t="shared" ref="M54:M62" si="20">0*(1/0.9)</f>
        <v>0</v>
      </c>
      <c r="N54" s="72">
        <v>15</v>
      </c>
      <c r="O54" s="72">
        <v>31.536000000000001</v>
      </c>
      <c r="R54" s="26"/>
      <c r="S54" s="26"/>
      <c r="T54" s="26" t="str">
        <f>Commodities!$AD$27&amp;"_"&amp;RIGHT(Commodities!$D$180,3)&amp;"_"&amp;$T$3&amp;"_IM02"</f>
        <v>RSD_DTA3_WH_SOL_N_IM02</v>
      </c>
      <c r="U54" s="26" t="s">
        <v>1067</v>
      </c>
      <c r="V54" s="57" t="str">
        <f>General!$B$2</f>
        <v>PJ</v>
      </c>
      <c r="W54" s="57" t="str">
        <f>General!$B$5</f>
        <v>GW</v>
      </c>
      <c r="X54" s="57" t="s">
        <v>723</v>
      </c>
      <c r="Y54" s="57"/>
      <c r="Z54" s="26"/>
    </row>
    <row r="55" spans="2:26" ht="13.8" x14ac:dyDescent="0.25">
      <c r="B55" s="63" t="str">
        <f t="shared" si="19"/>
        <v>RSD_APA2_WH_LPG_N_IM02</v>
      </c>
      <c r="C55" s="63" t="str">
        <f t="shared" si="19"/>
        <v>Apartment A2 WaterHeat LPG Standard (N)</v>
      </c>
      <c r="D55" s="11" t="str">
        <f>Commodities!$D$161</f>
        <v>RSDOILLPG</v>
      </c>
      <c r="E55" s="11" t="str">
        <f>E54</f>
        <v>RSD_APA2_WH</v>
      </c>
      <c r="F55" s="89">
        <f>G55</f>
        <v>2018</v>
      </c>
      <c r="G55" s="22">
        <f>BASE_YEAR+1</f>
        <v>2018</v>
      </c>
      <c r="H55" s="112">
        <v>0.85</v>
      </c>
      <c r="I55" s="73"/>
      <c r="J55" s="115"/>
      <c r="K55" s="73">
        <f>ROUNDUP(68.9672557598582*(1/0.9)*1.2,0)</f>
        <v>92</v>
      </c>
      <c r="L55" s="73">
        <v>3.5</v>
      </c>
      <c r="M55" s="73">
        <f t="shared" si="20"/>
        <v>0</v>
      </c>
      <c r="N55" s="73">
        <v>15</v>
      </c>
      <c r="O55" s="73">
        <v>31.536000000000001</v>
      </c>
      <c r="R55" s="26"/>
      <c r="S55" s="26"/>
      <c r="T55" s="26" t="str">
        <f>Commodities!$AD$27&amp;"_"&amp;RIGHT(Commodities!$D$153,3)&amp;"_"&amp;$T$3&amp;"_IM02"</f>
        <v>RSD_DTA3_WH_BIC_N_IM02</v>
      </c>
      <c r="U55" s="26" t="s">
        <v>1068</v>
      </c>
      <c r="V55" s="57" t="str">
        <f>General!$B$2</f>
        <v>PJ</v>
      </c>
      <c r="W55" s="57" t="str">
        <f>General!$B$5</f>
        <v>GW</v>
      </c>
      <c r="X55" s="57" t="s">
        <v>723</v>
      </c>
      <c r="Y55" s="57"/>
      <c r="Z55" s="26"/>
    </row>
    <row r="56" spans="2:26" ht="13.8" x14ac:dyDescent="0.25">
      <c r="B56" s="26" t="str">
        <f t="shared" si="19"/>
        <v>RSD_DTA3_WH_ELC_N_ST</v>
      </c>
      <c r="C56" s="26" t="str">
        <f t="shared" si="19"/>
        <v>Detached A3   WaterHeat Electric Standard (N)</v>
      </c>
      <c r="D56" s="26" t="str">
        <f>Commodities!$D$341</f>
        <v>RSDELC</v>
      </c>
      <c r="E56" s="26" t="str">
        <f>Commodities!$AD$27</f>
        <v>RSD_DTA3_WH</v>
      </c>
      <c r="F56" s="84">
        <f>G56</f>
        <v>2018</v>
      </c>
      <c r="G56" s="57">
        <f>BASE_YEAR+1</f>
        <v>2018</v>
      </c>
      <c r="H56" s="111">
        <v>0.9</v>
      </c>
      <c r="I56" s="72"/>
      <c r="J56" s="114"/>
      <c r="K56" s="111">
        <f>ROUNDUP(159.983454545455*(1/0.9)*0.8,0)</f>
        <v>143</v>
      </c>
      <c r="L56" s="111">
        <v>1</v>
      </c>
      <c r="M56" s="111">
        <f t="shared" si="20"/>
        <v>0</v>
      </c>
      <c r="N56" s="72">
        <v>15</v>
      </c>
      <c r="O56" s="72">
        <v>31.536000000000001</v>
      </c>
      <c r="R56" s="11"/>
      <c r="S56" s="11"/>
      <c r="T56" s="11" t="str">
        <f>Commodities!$AD$27&amp;"_"&amp;RIGHT(Commodities!$D$161,3)&amp;"_"&amp;$T$3&amp;"_IM02"</f>
        <v>RSD_DTA3_WH_LPG_N_IM02</v>
      </c>
      <c r="U56" s="11" t="s">
        <v>1069</v>
      </c>
      <c r="V56" s="22" t="str">
        <f>General!$B$2</f>
        <v>PJ</v>
      </c>
      <c r="W56" s="22" t="str">
        <f>General!$B$5</f>
        <v>GW</v>
      </c>
      <c r="X56" s="22" t="s">
        <v>723</v>
      </c>
      <c r="Y56" s="22"/>
      <c r="Z56" s="11"/>
    </row>
    <row r="57" spans="2:26" ht="13.8" x14ac:dyDescent="0.25">
      <c r="B57" s="26" t="str">
        <f t="shared" ref="B57:C62" si="21">T48</f>
        <v>RSD_DTA3_WH_ELC_N_IM</v>
      </c>
      <c r="C57" s="26" t="str">
        <f t="shared" si="21"/>
        <v>Detached A3   WaterHeat Electric Improved (N)</v>
      </c>
      <c r="D57" s="26" t="str">
        <f>Commodities!$D$341</f>
        <v>RSDELC</v>
      </c>
      <c r="E57" s="26" t="str">
        <f>E56</f>
        <v>RSD_DTA3_WH</v>
      </c>
      <c r="F57" s="84">
        <f t="shared" ref="F57:F60" si="22">G57</f>
        <v>2018</v>
      </c>
      <c r="G57" s="57">
        <f>BASE_YEAR+1</f>
        <v>2018</v>
      </c>
      <c r="H57" s="111">
        <v>0.94500000000000006</v>
      </c>
      <c r="I57" s="72"/>
      <c r="J57" s="114"/>
      <c r="K57" s="72">
        <f>ROUNDUP(171.182296363636*(1/0.9)*0.9,0)</f>
        <v>172</v>
      </c>
      <c r="L57" s="111">
        <v>1</v>
      </c>
      <c r="M57" s="72">
        <f t="shared" si="20"/>
        <v>0</v>
      </c>
      <c r="N57" s="72">
        <v>15</v>
      </c>
      <c r="O57" s="72">
        <v>31.536000000000001</v>
      </c>
      <c r="R57" s="26"/>
      <c r="S57" s="26"/>
      <c r="T57" s="26" t="str">
        <f>Commodities!$AD$28&amp;"_"&amp;RIGHT(Commodities!$D$340,3)&amp;"_"&amp;$T$3&amp;"_ST"</f>
        <v>RSD_APA3_WH_ELC_N_ST</v>
      </c>
      <c r="U57" s="26" t="s">
        <v>1110</v>
      </c>
      <c r="V57" s="57" t="str">
        <f>General!$B$2</f>
        <v>PJ</v>
      </c>
      <c r="W57" s="57" t="str">
        <f>General!$B$5</f>
        <v>GW</v>
      </c>
      <c r="X57" s="57" t="s">
        <v>723</v>
      </c>
      <c r="Y57" s="57"/>
      <c r="Z57" s="26"/>
    </row>
    <row r="58" spans="2:26" ht="13.8" x14ac:dyDescent="0.25">
      <c r="B58" s="26" t="str">
        <f t="shared" si="21"/>
        <v>RSD_DTA3_WH_GAS_N_ST</v>
      </c>
      <c r="C58" s="26" t="str">
        <f t="shared" si="21"/>
        <v>Detached A3   WaterHear Gas Standard (N)</v>
      </c>
      <c r="D58" s="26" t="str">
        <f>Commodities!$D$166</f>
        <v>RSDGASNAT</v>
      </c>
      <c r="E58" s="26" t="str">
        <f>E56</f>
        <v>RSD_DTA3_WH</v>
      </c>
      <c r="F58" s="84">
        <f t="shared" si="22"/>
        <v>2018</v>
      </c>
      <c r="G58" s="57">
        <f>BASE_YEAR+1</f>
        <v>2018</v>
      </c>
      <c r="H58" s="111">
        <v>0.8</v>
      </c>
      <c r="I58" s="72"/>
      <c r="J58" s="114"/>
      <c r="K58" s="72">
        <f>ROUNDUP(150*(1/0.9)*1,0)</f>
        <v>167</v>
      </c>
      <c r="L58" s="111">
        <v>3.5</v>
      </c>
      <c r="M58" s="72">
        <f t="shared" si="20"/>
        <v>0</v>
      </c>
      <c r="N58" s="72">
        <v>20</v>
      </c>
      <c r="O58" s="72">
        <v>31.536000000000001</v>
      </c>
      <c r="R58" s="26"/>
      <c r="S58" s="26"/>
      <c r="T58" s="26" t="str">
        <f>Commodities!$AD$28&amp;"_"&amp;RIGHT(Commodities!$D$340,3)&amp;"_"&amp;$T$3&amp;"_IM"</f>
        <v>RSD_APA3_WH_ELC_N_IM</v>
      </c>
      <c r="U58" s="26" t="s">
        <v>1111</v>
      </c>
      <c r="V58" s="57" t="str">
        <f>General!$B$2</f>
        <v>PJ</v>
      </c>
      <c r="W58" s="57" t="str">
        <f>General!$B$5</f>
        <v>GW</v>
      </c>
      <c r="X58" s="57" t="s">
        <v>723</v>
      </c>
      <c r="Y58" s="57"/>
      <c r="Z58" s="26"/>
    </row>
    <row r="59" spans="2:26" ht="13.8" x14ac:dyDescent="0.25">
      <c r="B59" s="26" t="str">
        <f t="shared" si="21"/>
        <v>RSD_DTA3_WH_GAS_N_IM</v>
      </c>
      <c r="C59" s="26" t="str">
        <f t="shared" si="21"/>
        <v>Detached A3   WaterHear Gas Improved (N)</v>
      </c>
      <c r="D59" s="26" t="str">
        <f>Commodities!$D$166</f>
        <v>RSDGASNAT</v>
      </c>
      <c r="E59" s="26" t="str">
        <f>E56</f>
        <v>RSD_DTA3_WH</v>
      </c>
      <c r="F59" s="84">
        <f t="shared" si="22"/>
        <v>2025</v>
      </c>
      <c r="G59" s="57">
        <f>BASE_YEAR+8</f>
        <v>2025</v>
      </c>
      <c r="H59" s="111">
        <v>0.9</v>
      </c>
      <c r="I59" s="72"/>
      <c r="J59" s="87"/>
      <c r="K59" s="72">
        <f>ROUNDUP((K58*1.07)*(1/0.9)*1.2,0)</f>
        <v>239</v>
      </c>
      <c r="L59" s="111">
        <v>3.5</v>
      </c>
      <c r="M59" s="72">
        <f t="shared" si="20"/>
        <v>0</v>
      </c>
      <c r="N59" s="72">
        <v>20</v>
      </c>
      <c r="O59" s="72">
        <v>31.536000000000001</v>
      </c>
      <c r="R59" s="26"/>
      <c r="S59" s="26"/>
      <c r="T59" s="26" t="str">
        <f>Commodities!$AD$28&amp;"_"&amp;LEFT(RIGHT(Commodities!$D$166,6),3)&amp;"_"&amp;$T$3&amp;"_ST"</f>
        <v>RSD_APA3_WH_GAS_N_ST</v>
      </c>
      <c r="U59" s="26" t="s">
        <v>1112</v>
      </c>
      <c r="V59" s="57" t="str">
        <f>General!$B$2</f>
        <v>PJ</v>
      </c>
      <c r="W59" s="57" t="str">
        <f>General!$B$5</f>
        <v>GW</v>
      </c>
      <c r="X59" s="57" t="s">
        <v>723</v>
      </c>
      <c r="Y59" s="57"/>
      <c r="Z59" s="26"/>
    </row>
    <row r="60" spans="2:26" ht="13.8" x14ac:dyDescent="0.25">
      <c r="B60" s="26" t="str">
        <f t="shared" si="21"/>
        <v>RSD_DTA3_WH_GAS_N_AD</v>
      </c>
      <c r="C60" s="26" t="str">
        <f t="shared" si="21"/>
        <v>Detached A3   WaterHear Gas Advanced (N)</v>
      </c>
      <c r="D60" s="26" t="str">
        <f>Commodities!$D$166</f>
        <v>RSDGASNAT</v>
      </c>
      <c r="E60" s="26" t="str">
        <f>E56</f>
        <v>RSD_DTA3_WH</v>
      </c>
      <c r="F60" s="84">
        <f t="shared" si="22"/>
        <v>2030</v>
      </c>
      <c r="G60" s="57">
        <v>2030</v>
      </c>
      <c r="H60" s="111">
        <v>0.95</v>
      </c>
      <c r="I60" s="72"/>
      <c r="J60" s="87"/>
      <c r="K60" s="72">
        <f>ROUNDUP((K59*1.07)*(1/0.9)*1.1,0)</f>
        <v>313</v>
      </c>
      <c r="L60" s="111">
        <v>3.5</v>
      </c>
      <c r="M60" s="72">
        <f t="shared" si="20"/>
        <v>0</v>
      </c>
      <c r="N60" s="72">
        <v>20</v>
      </c>
      <c r="O60" s="72">
        <v>31.536000000000001</v>
      </c>
      <c r="R60" s="26"/>
      <c r="S60" s="26"/>
      <c r="T60" s="26" t="str">
        <f>Commodities!$AD$28&amp;"_"&amp;LEFT(RIGHT(Commodities!$D$166,6),3)&amp;"_"&amp;$T$3&amp;"_IM"</f>
        <v>RSD_APA3_WH_GAS_N_IM</v>
      </c>
      <c r="U60" s="26" t="s">
        <v>1113</v>
      </c>
      <c r="V60" s="57" t="str">
        <f>General!$B$2</f>
        <v>PJ</v>
      </c>
      <c r="W60" s="57" t="str">
        <f>General!$B$5</f>
        <v>GW</v>
      </c>
      <c r="X60" s="57" t="s">
        <v>723</v>
      </c>
      <c r="Y60" s="57"/>
      <c r="Z60" s="26"/>
    </row>
    <row r="61" spans="2:26" ht="13.8" x14ac:dyDescent="0.25">
      <c r="B61" s="26" t="str">
        <f t="shared" si="21"/>
        <v>RSD_DTA3_WH_LTH_N_IM</v>
      </c>
      <c r="C61" s="26" t="str">
        <f t="shared" si="21"/>
        <v>Detached A3   WaterHeat Dist. Heating  Improved (N)</v>
      </c>
      <c r="D61" s="26" t="str">
        <f>Commodities!$D$352</f>
        <v>RSDLTHA3</v>
      </c>
      <c r="E61" s="26" t="str">
        <f>E56</f>
        <v>RSD_DTA3_WH</v>
      </c>
      <c r="F61" s="84">
        <f>G61</f>
        <v>2018</v>
      </c>
      <c r="G61" s="57">
        <f>BASE_YEAR+1</f>
        <v>2018</v>
      </c>
      <c r="H61" s="111">
        <v>0.95</v>
      </c>
      <c r="I61" s="72"/>
      <c r="J61" s="114"/>
      <c r="K61" s="72">
        <f>ROUNDUP(75.852*(1/0.9)*1.4,0)</f>
        <v>118</v>
      </c>
      <c r="L61" s="72">
        <f>9.234*(1/0.9)</f>
        <v>10.26</v>
      </c>
      <c r="M61" s="72">
        <f t="shared" si="20"/>
        <v>0</v>
      </c>
      <c r="N61" s="72">
        <v>20</v>
      </c>
      <c r="O61" s="72">
        <v>31.536000000000001</v>
      </c>
      <c r="R61" s="26"/>
      <c r="S61" s="26"/>
      <c r="T61" s="26" t="str">
        <f>Commodities!$AD$28&amp;"_"&amp;LEFT(RIGHT(Commodities!$D$166,6),3)&amp;"_"&amp;$T$3&amp;"_AD"</f>
        <v>RSD_APA3_WH_GAS_N_AD</v>
      </c>
      <c r="U61" s="26" t="s">
        <v>1114</v>
      </c>
      <c r="V61" s="57" t="str">
        <f>General!$B$2</f>
        <v>PJ</v>
      </c>
      <c r="W61" s="57" t="str">
        <f>General!$B$5</f>
        <v>GW</v>
      </c>
      <c r="X61" s="57" t="s">
        <v>723</v>
      </c>
      <c r="Y61" s="57"/>
      <c r="Z61" s="26"/>
    </row>
    <row r="62" spans="2:26" ht="13.8" x14ac:dyDescent="0.25">
      <c r="B62" s="26" t="str">
        <f t="shared" si="21"/>
        <v>RSD_DTA3_WH_SOL_N_IM01</v>
      </c>
      <c r="C62" s="26" t="str">
        <f t="shared" si="21"/>
        <v>Detached A3   WaterHeat Solar-Electric Improved (N)</v>
      </c>
      <c r="D62" s="26" t="str">
        <f>Commodities!$D$341</f>
        <v>RSDELC</v>
      </c>
      <c r="E62" s="26" t="str">
        <f>E56</f>
        <v>RSD_DTA3_WH</v>
      </c>
      <c r="F62" s="84">
        <f>G62</f>
        <v>2020</v>
      </c>
      <c r="G62" s="57">
        <f>BASE_YEAR+3</f>
        <v>2020</v>
      </c>
      <c r="H62" s="111">
        <v>0.9</v>
      </c>
      <c r="I62" s="72"/>
      <c r="J62" s="114"/>
      <c r="K62" s="72">
        <f>ROUNDUP(773.015873015873*(1/0.9),0)</f>
        <v>859</v>
      </c>
      <c r="L62" s="72">
        <f>14.6875*(1/0.9)</f>
        <v>16.319444444444446</v>
      </c>
      <c r="M62" s="72">
        <f t="shared" si="20"/>
        <v>0</v>
      </c>
      <c r="N62" s="72">
        <v>15</v>
      </c>
      <c r="O62" s="72">
        <v>31.536000000000001</v>
      </c>
      <c r="R62" s="26"/>
      <c r="S62" s="26"/>
      <c r="T62" s="26" t="str">
        <f>Commodities!$AD$28&amp;"_"&amp;RIGHT(Commodities!$D$347,3)&amp;"_"&amp;$T$3&amp;"_IM"</f>
        <v>RSD_APA3_WH_LTH_N_IM</v>
      </c>
      <c r="U62" s="26" t="s">
        <v>1115</v>
      </c>
      <c r="V62" s="57" t="str">
        <f>General!$B$2</f>
        <v>PJ</v>
      </c>
      <c r="W62" s="57" t="str">
        <f>General!$B$5</f>
        <v>GW</v>
      </c>
      <c r="X62" s="57" t="s">
        <v>723</v>
      </c>
      <c r="Y62" s="57"/>
      <c r="Z62" s="26"/>
    </row>
    <row r="63" spans="2:26" ht="13.8" x14ac:dyDescent="0.25">
      <c r="B63" s="26"/>
      <c r="C63" s="26"/>
      <c r="D63" s="26" t="str">
        <f>Commodities!$D$180</f>
        <v>RSDRESSOL</v>
      </c>
      <c r="E63" s="26"/>
      <c r="F63" s="84">
        <f>F62</f>
        <v>2020</v>
      </c>
      <c r="G63" s="57"/>
      <c r="H63" s="111" t="s">
        <v>848</v>
      </c>
      <c r="I63" s="72">
        <v>0.5</v>
      </c>
      <c r="J63" s="114"/>
      <c r="K63" s="72" t="s">
        <v>848</v>
      </c>
      <c r="L63" s="72" t="s">
        <v>848</v>
      </c>
      <c r="M63" s="72" t="s">
        <v>848</v>
      </c>
      <c r="N63" s="72" t="s">
        <v>848</v>
      </c>
      <c r="O63" s="72"/>
      <c r="R63" s="26"/>
      <c r="S63" s="26"/>
      <c r="T63" s="26" t="str">
        <f>Commodities!$AD$28&amp;"_"&amp;RIGHT(Commodities!$D$180,3)&amp;"_"&amp;$T$3&amp;"_IM01"</f>
        <v>RSD_APA3_WH_SOL_N_IM01</v>
      </c>
      <c r="U63" s="26" t="s">
        <v>1116</v>
      </c>
      <c r="V63" s="57" t="str">
        <f>General!$B$2</f>
        <v>PJ</v>
      </c>
      <c r="W63" s="57" t="str">
        <f>General!$B$5</f>
        <v>GW</v>
      </c>
      <c r="X63" s="57" t="s">
        <v>723</v>
      </c>
      <c r="Y63" s="57"/>
      <c r="Z63" s="26"/>
    </row>
    <row r="64" spans="2:26" ht="13.8" x14ac:dyDescent="0.25">
      <c r="B64" s="26" t="str">
        <f>T54</f>
        <v>RSD_DTA3_WH_SOL_N_IM02</v>
      </c>
      <c r="C64" s="26" t="str">
        <f>U54</f>
        <v>Detached A3   WaterHeat Solar-Gas Improved (N)</v>
      </c>
      <c r="D64" s="26" t="str">
        <f>Commodities!$D$166</f>
        <v>RSDGASNAT</v>
      </c>
      <c r="E64" s="26" t="str">
        <f>E56</f>
        <v>RSD_DTA3_WH</v>
      </c>
      <c r="F64" s="84">
        <f t="shared" ref="F64" si="23">G64</f>
        <v>2020</v>
      </c>
      <c r="G64" s="57">
        <f>BASE_YEAR+3</f>
        <v>2020</v>
      </c>
      <c r="H64" s="111">
        <v>0.9</v>
      </c>
      <c r="I64" s="72"/>
      <c r="J64" s="114"/>
      <c r="K64" s="72">
        <f>ROUNDUP(887.961299282303*(1/0.9),0)</f>
        <v>987</v>
      </c>
      <c r="L64" s="72">
        <f>19.1778666340693*(1/0.9)</f>
        <v>21.308740704521444</v>
      </c>
      <c r="M64" s="72">
        <f>0*(1/0.9)</f>
        <v>0</v>
      </c>
      <c r="N64" s="72">
        <v>15</v>
      </c>
      <c r="O64" s="72">
        <v>31.536000000000001</v>
      </c>
      <c r="P64" s="32"/>
      <c r="R64" s="26"/>
      <c r="S64" s="26"/>
      <c r="T64" s="26" t="str">
        <f>Commodities!$AD$28&amp;"_"&amp;RIGHT(Commodities!$D$180,3)&amp;"_"&amp;$T$3&amp;"_IM02"</f>
        <v>RSD_APA3_WH_SOL_N_IM02</v>
      </c>
      <c r="U64" s="26" t="s">
        <v>1117</v>
      </c>
      <c r="V64" s="57" t="str">
        <f>General!$B$2</f>
        <v>PJ</v>
      </c>
      <c r="W64" s="57" t="str">
        <f>General!$B$5</f>
        <v>GW</v>
      </c>
      <c r="X64" s="57" t="s">
        <v>723</v>
      </c>
      <c r="Y64" s="57"/>
      <c r="Z64" s="26"/>
    </row>
    <row r="65" spans="2:26" ht="13.8" x14ac:dyDescent="0.25">
      <c r="B65" s="26"/>
      <c r="C65" s="26"/>
      <c r="D65" s="26" t="str">
        <f>Commodities!$D$180</f>
        <v>RSDRESSOL</v>
      </c>
      <c r="E65" s="26"/>
      <c r="F65" s="84">
        <f>F64</f>
        <v>2020</v>
      </c>
      <c r="G65" s="57"/>
      <c r="H65" s="111" t="s">
        <v>848</v>
      </c>
      <c r="I65" s="72">
        <v>0.3</v>
      </c>
      <c r="J65" s="114"/>
      <c r="K65" s="72" t="s">
        <v>848</v>
      </c>
      <c r="L65" s="72" t="s">
        <v>848</v>
      </c>
      <c r="M65" s="72" t="s">
        <v>848</v>
      </c>
      <c r="N65" s="72" t="s">
        <v>848</v>
      </c>
      <c r="O65" s="72"/>
      <c r="P65" s="32"/>
      <c r="R65" s="26"/>
      <c r="S65" s="26"/>
      <c r="T65" s="26" t="str">
        <f>Commodities!$AD$28&amp;"_"&amp;RIGHT(Commodities!$D$153,3)&amp;"_"&amp;$T$3&amp;"_IM02"</f>
        <v>RSD_APA3_WH_BIC_N_IM02</v>
      </c>
      <c r="U65" s="26" t="s">
        <v>1118</v>
      </c>
      <c r="V65" s="57" t="str">
        <f>General!$B$2</f>
        <v>PJ</v>
      </c>
      <c r="W65" s="57" t="str">
        <f>General!$B$5</f>
        <v>GW</v>
      </c>
      <c r="X65" s="57" t="s">
        <v>723</v>
      </c>
      <c r="Y65" s="57"/>
      <c r="Z65" s="26"/>
    </row>
    <row r="66" spans="2:26" ht="13.8" x14ac:dyDescent="0.25">
      <c r="B66" s="26" t="str">
        <f>T55</f>
        <v>RSD_DTA3_WH_BIC_N_IM02</v>
      </c>
      <c r="C66" s="26" t="str">
        <f>U55</f>
        <v>Detached A3 WaterHeat Coal Standard (N)</v>
      </c>
      <c r="D66" s="26" t="str">
        <f>Commodities!$D$153</f>
        <v>RSDCOABIC</v>
      </c>
      <c r="E66" s="26" t="str">
        <f>E64</f>
        <v>RSD_DTA3_WH</v>
      </c>
      <c r="F66" s="84">
        <f>G66</f>
        <v>2100</v>
      </c>
      <c r="G66" s="57">
        <v>2100</v>
      </c>
      <c r="H66" s="111">
        <v>0.7</v>
      </c>
      <c r="I66" s="72"/>
      <c r="J66" s="114"/>
      <c r="K66" s="72">
        <f>ROUNDUP(68.9672557598582*(1/0.9)*1.2,0)</f>
        <v>92</v>
      </c>
      <c r="L66" s="72">
        <v>3.5</v>
      </c>
      <c r="M66" s="72">
        <f t="shared" ref="M66:M74" si="24">0*(1/0.9)</f>
        <v>0</v>
      </c>
      <c r="N66" s="72">
        <v>15</v>
      </c>
      <c r="O66" s="72">
        <v>31.536000000000001</v>
      </c>
      <c r="P66" s="32"/>
      <c r="R66" s="11"/>
      <c r="S66" s="11"/>
      <c r="T66" s="11" t="str">
        <f>Commodities!$AD$28&amp;"_"&amp;RIGHT(Commodities!$D$161,3)&amp;"_"&amp;$T$3&amp;"_IM02"</f>
        <v>RSD_APA3_WH_LPG_N_IM02</v>
      </c>
      <c r="U66" s="11" t="s">
        <v>1119</v>
      </c>
      <c r="V66" s="22" t="str">
        <f>General!$B$2</f>
        <v>PJ</v>
      </c>
      <c r="W66" s="22" t="str">
        <f>General!$B$5</f>
        <v>GW</v>
      </c>
      <c r="X66" s="22" t="s">
        <v>723</v>
      </c>
      <c r="Y66" s="22"/>
      <c r="Z66" s="11"/>
    </row>
    <row r="67" spans="2:26" ht="13.8" x14ac:dyDescent="0.25">
      <c r="B67" s="11" t="str">
        <f>T56</f>
        <v>RSD_DTA3_WH_LPG_N_IM02</v>
      </c>
      <c r="C67" s="11" t="str">
        <f>U56</f>
        <v>Detached A3 WaterHeat LPG Standard (N)</v>
      </c>
      <c r="D67" s="11" t="str">
        <f>Commodities!$D$161</f>
        <v>RSDOILLPG</v>
      </c>
      <c r="E67" s="11" t="str">
        <f>E66</f>
        <v>RSD_DTA3_WH</v>
      </c>
      <c r="F67" s="89">
        <f>G67</f>
        <v>2018</v>
      </c>
      <c r="G67" s="22">
        <f>BASE_YEAR+1</f>
        <v>2018</v>
      </c>
      <c r="H67" s="112">
        <v>0.85</v>
      </c>
      <c r="I67" s="73"/>
      <c r="J67" s="115"/>
      <c r="K67" s="73">
        <f>ROUNDUP(68.9672557598582*(1/0.9)*1.2,0)</f>
        <v>92</v>
      </c>
      <c r="L67" s="73">
        <v>3.5</v>
      </c>
      <c r="M67" s="73">
        <f t="shared" si="24"/>
        <v>0</v>
      </c>
      <c r="N67" s="73">
        <v>15</v>
      </c>
      <c r="O67" s="73">
        <v>31.536000000000001</v>
      </c>
      <c r="P67" s="32"/>
      <c r="R67" s="26"/>
      <c r="S67" s="26"/>
      <c r="T67" s="26" t="str">
        <f>Commodities!$AD$29&amp;"_"&amp;RIGHT(Commodities!$D$340,3)&amp;"_"&amp;$T$3&amp;"_ST"</f>
        <v>RSD_DTA4_WH_ELC_N_ST</v>
      </c>
      <c r="U67" s="26" t="s">
        <v>1050</v>
      </c>
      <c r="V67" s="57" t="str">
        <f>General!$B$2</f>
        <v>PJ</v>
      </c>
      <c r="W67" s="57" t="str">
        <f>General!$B$5</f>
        <v>GW</v>
      </c>
      <c r="X67" s="57" t="s">
        <v>723</v>
      </c>
      <c r="Y67" s="57"/>
      <c r="Z67" s="26"/>
    </row>
    <row r="68" spans="2:26" ht="13.8" x14ac:dyDescent="0.25">
      <c r="B68" s="26" t="str">
        <f t="shared" ref="B68:C74" si="25">T57</f>
        <v>RSD_APA3_WH_ELC_N_ST</v>
      </c>
      <c r="C68" s="26" t="str">
        <f t="shared" si="25"/>
        <v>Apartment A3 WaterHeat Electric Standard (N)</v>
      </c>
      <c r="D68" s="26" t="str">
        <f>Commodities!$D$341</f>
        <v>RSDELC</v>
      </c>
      <c r="E68" s="26" t="str">
        <f>Commodities!$AD$28</f>
        <v>RSD_APA3_WH</v>
      </c>
      <c r="F68" s="84">
        <f>G68</f>
        <v>2018</v>
      </c>
      <c r="G68" s="57">
        <f>BASE_YEAR+1</f>
        <v>2018</v>
      </c>
      <c r="H68" s="111">
        <v>0.9</v>
      </c>
      <c r="I68" s="72"/>
      <c r="J68" s="114"/>
      <c r="K68" s="111">
        <f>ROUNDUP(159.983454545455*(1/0.9)*0.8,0)</f>
        <v>143</v>
      </c>
      <c r="L68" s="111">
        <v>1</v>
      </c>
      <c r="M68" s="111">
        <f t="shared" si="24"/>
        <v>0</v>
      </c>
      <c r="N68" s="72">
        <v>15</v>
      </c>
      <c r="O68" s="72">
        <v>31.536000000000001</v>
      </c>
      <c r="P68" s="32"/>
      <c r="R68" s="26"/>
      <c r="S68" s="26"/>
      <c r="T68" s="26" t="str">
        <f>Commodities!$AD$29&amp;"_"&amp;RIGHT(Commodities!$D$340,3)&amp;"_"&amp;$T$3&amp;"_IM"</f>
        <v>RSD_DTA4_WH_ELC_N_IM</v>
      </c>
      <c r="U68" s="26" t="s">
        <v>1051</v>
      </c>
      <c r="V68" s="57" t="str">
        <f>General!$B$2</f>
        <v>PJ</v>
      </c>
      <c r="W68" s="57" t="str">
        <f>General!$B$5</f>
        <v>GW</v>
      </c>
      <c r="X68" s="57" t="s">
        <v>723</v>
      </c>
      <c r="Y68" s="57"/>
      <c r="Z68" s="26"/>
    </row>
    <row r="69" spans="2:26" ht="13.8" x14ac:dyDescent="0.25">
      <c r="B69" s="26" t="str">
        <f t="shared" si="25"/>
        <v>RSD_APA3_WH_ELC_N_IM</v>
      </c>
      <c r="C69" s="26" t="str">
        <f t="shared" si="25"/>
        <v>Apartment A3 WaterHeat Electric Improved (N)</v>
      </c>
      <c r="D69" s="26" t="str">
        <f>Commodities!$D$341</f>
        <v>RSDELC</v>
      </c>
      <c r="E69" s="26" t="str">
        <f>E68</f>
        <v>RSD_APA3_WH</v>
      </c>
      <c r="F69" s="84">
        <f t="shared" ref="F69:F72" si="26">G69</f>
        <v>2018</v>
      </c>
      <c r="G69" s="57">
        <f>BASE_YEAR+1</f>
        <v>2018</v>
      </c>
      <c r="H69" s="111">
        <v>0.94500000000000006</v>
      </c>
      <c r="I69" s="72"/>
      <c r="J69" s="114"/>
      <c r="K69" s="72">
        <f>ROUNDUP(171.182296363636*(1/0.9)*0.9,0)</f>
        <v>172</v>
      </c>
      <c r="L69" s="111">
        <v>1</v>
      </c>
      <c r="M69" s="72">
        <f t="shared" si="24"/>
        <v>0</v>
      </c>
      <c r="N69" s="72">
        <v>15</v>
      </c>
      <c r="O69" s="72">
        <v>31.536000000000001</v>
      </c>
      <c r="R69" s="26"/>
      <c r="S69" s="26"/>
      <c r="T69" s="26" t="str">
        <f>Commodities!$AD$29&amp;"_"&amp;LEFT(RIGHT(Commodities!$D$166,6),3)&amp;"_"&amp;$T$3&amp;"_ST"</f>
        <v>RSD_DTA4_WH_GAS_N_ST</v>
      </c>
      <c r="U69" s="26" t="s">
        <v>1052</v>
      </c>
      <c r="V69" s="57" t="str">
        <f>General!$B$2</f>
        <v>PJ</v>
      </c>
      <c r="W69" s="57" t="str">
        <f>General!$B$5</f>
        <v>GW</v>
      </c>
      <c r="X69" s="57" t="s">
        <v>723</v>
      </c>
      <c r="Y69" s="57"/>
      <c r="Z69" s="26"/>
    </row>
    <row r="70" spans="2:26" ht="13.8" x14ac:dyDescent="0.25">
      <c r="B70" s="26" t="str">
        <f t="shared" si="25"/>
        <v>RSD_APA3_WH_GAS_N_ST</v>
      </c>
      <c r="C70" s="26" t="str">
        <f t="shared" si="25"/>
        <v>Apartment A3 WaterHear Gas Standard (N)</v>
      </c>
      <c r="D70" s="26" t="str">
        <f>Commodities!$D$166</f>
        <v>RSDGASNAT</v>
      </c>
      <c r="E70" s="26" t="str">
        <f>E68</f>
        <v>RSD_APA3_WH</v>
      </c>
      <c r="F70" s="84">
        <f t="shared" si="26"/>
        <v>2018</v>
      </c>
      <c r="G70" s="57">
        <f>BASE_YEAR+1</f>
        <v>2018</v>
      </c>
      <c r="H70" s="111">
        <v>0.8</v>
      </c>
      <c r="I70" s="72"/>
      <c r="J70" s="114"/>
      <c r="K70" s="72">
        <f>ROUNDUP(150*(1/0.9)*1,0)</f>
        <v>167</v>
      </c>
      <c r="L70" s="111">
        <v>3.5</v>
      </c>
      <c r="M70" s="72">
        <f t="shared" si="24"/>
        <v>0</v>
      </c>
      <c r="N70" s="72">
        <v>20</v>
      </c>
      <c r="O70" s="72">
        <v>31.536000000000001</v>
      </c>
      <c r="R70" s="26"/>
      <c r="S70" s="26"/>
      <c r="T70" s="26" t="str">
        <f>Commodities!$AD$29&amp;"_"&amp;LEFT(RIGHT(Commodities!$D$166,6),3)&amp;"_"&amp;$T$3&amp;"_IM"</f>
        <v>RSD_DTA4_WH_GAS_N_IM</v>
      </c>
      <c r="U70" s="26" t="s">
        <v>1053</v>
      </c>
      <c r="V70" s="57" t="str">
        <f>General!$B$2</f>
        <v>PJ</v>
      </c>
      <c r="W70" s="57" t="str">
        <f>General!$B$5</f>
        <v>GW</v>
      </c>
      <c r="X70" s="57" t="s">
        <v>723</v>
      </c>
      <c r="Y70" s="57"/>
      <c r="Z70" s="26"/>
    </row>
    <row r="71" spans="2:26" ht="13.8" x14ac:dyDescent="0.25">
      <c r="B71" s="26" t="str">
        <f t="shared" si="25"/>
        <v>RSD_APA3_WH_GAS_N_IM</v>
      </c>
      <c r="C71" s="26" t="str">
        <f t="shared" si="25"/>
        <v>Apartment A3 WaterHear Gas Improved (N)</v>
      </c>
      <c r="D71" s="26" t="str">
        <f>Commodities!$D$166</f>
        <v>RSDGASNAT</v>
      </c>
      <c r="E71" s="26" t="str">
        <f>E68</f>
        <v>RSD_APA3_WH</v>
      </c>
      <c r="F71" s="84">
        <f t="shared" si="26"/>
        <v>2025</v>
      </c>
      <c r="G71" s="57">
        <f>BASE_YEAR+8</f>
        <v>2025</v>
      </c>
      <c r="H71" s="111">
        <v>0.9</v>
      </c>
      <c r="I71" s="72"/>
      <c r="J71" s="87"/>
      <c r="K71" s="72">
        <f>ROUNDUP((K70*1.07)*(1/0.9)*1.2,0)</f>
        <v>239</v>
      </c>
      <c r="L71" s="111">
        <v>3.5</v>
      </c>
      <c r="M71" s="72">
        <f t="shared" si="24"/>
        <v>0</v>
      </c>
      <c r="N71" s="72">
        <v>20</v>
      </c>
      <c r="O71" s="72">
        <v>31.536000000000001</v>
      </c>
      <c r="R71" s="26"/>
      <c r="S71" s="26"/>
      <c r="T71" s="26" t="str">
        <f>Commodities!$AD$29&amp;"_"&amp;LEFT(RIGHT(Commodities!$D$166,6),3)&amp;"_"&amp;$T$3&amp;"_AD"</f>
        <v>RSD_DTA4_WH_GAS_N_AD</v>
      </c>
      <c r="U71" s="26" t="s">
        <v>1054</v>
      </c>
      <c r="V71" s="57" t="str">
        <f>General!$B$2</f>
        <v>PJ</v>
      </c>
      <c r="W71" s="57" t="str">
        <f>General!$B$5</f>
        <v>GW</v>
      </c>
      <c r="X71" s="57" t="s">
        <v>723</v>
      </c>
      <c r="Y71" s="57"/>
      <c r="Z71" s="26"/>
    </row>
    <row r="72" spans="2:26" ht="13.8" x14ac:dyDescent="0.25">
      <c r="B72" s="26" t="str">
        <f t="shared" si="25"/>
        <v>RSD_APA3_WH_GAS_N_AD</v>
      </c>
      <c r="C72" s="26" t="str">
        <f t="shared" si="25"/>
        <v>Apartment A3 WaterHear Gas Advanced (N)</v>
      </c>
      <c r="D72" s="26" t="str">
        <f>Commodities!$D$166</f>
        <v>RSDGASNAT</v>
      </c>
      <c r="E72" s="26" t="str">
        <f>E68</f>
        <v>RSD_APA3_WH</v>
      </c>
      <c r="F72" s="84">
        <f t="shared" si="26"/>
        <v>2030</v>
      </c>
      <c r="G72" s="57">
        <v>2030</v>
      </c>
      <c r="H72" s="111">
        <v>0.95</v>
      </c>
      <c r="I72" s="72"/>
      <c r="J72" s="87"/>
      <c r="K72" s="72">
        <f>ROUNDUP((K71*1.07)*(1/0.9)*1.1,0)</f>
        <v>313</v>
      </c>
      <c r="L72" s="111">
        <v>3.5</v>
      </c>
      <c r="M72" s="72">
        <f t="shared" si="24"/>
        <v>0</v>
      </c>
      <c r="N72" s="72">
        <v>20</v>
      </c>
      <c r="O72" s="72">
        <v>31.536000000000001</v>
      </c>
      <c r="R72" s="26"/>
      <c r="S72" s="26"/>
      <c r="T72" s="26" t="str">
        <f>Commodities!$AD$29&amp;"_"&amp;RIGHT(Commodities!$D$347,3)&amp;"_"&amp;$T$3&amp;"_IM"</f>
        <v>RSD_DTA4_WH_LTH_N_IM</v>
      </c>
      <c r="U72" s="26" t="s">
        <v>1055</v>
      </c>
      <c r="V72" s="57" t="str">
        <f>General!$B$2</f>
        <v>PJ</v>
      </c>
      <c r="W72" s="57" t="str">
        <f>General!$B$5</f>
        <v>GW</v>
      </c>
      <c r="X72" s="57" t="s">
        <v>723</v>
      </c>
      <c r="Y72" s="57"/>
      <c r="Z72" s="26"/>
    </row>
    <row r="73" spans="2:26" ht="13.8" x14ac:dyDescent="0.25">
      <c r="B73" s="26" t="str">
        <f t="shared" si="25"/>
        <v>RSD_APA3_WH_LTH_N_IM</v>
      </c>
      <c r="C73" s="26" t="str">
        <f t="shared" si="25"/>
        <v>Apartment A3 WaterHeat Dist. Heating  Improved (N)</v>
      </c>
      <c r="D73" s="26" t="str">
        <f>Commodities!$D$352</f>
        <v>RSDLTHA3</v>
      </c>
      <c r="E73" s="26" t="str">
        <f>E68</f>
        <v>RSD_APA3_WH</v>
      </c>
      <c r="F73" s="84">
        <f>G73</f>
        <v>2018</v>
      </c>
      <c r="G73" s="57">
        <f>BASE_YEAR+1</f>
        <v>2018</v>
      </c>
      <c r="H73" s="111">
        <v>0.95</v>
      </c>
      <c r="I73" s="72"/>
      <c r="J73" s="114"/>
      <c r="K73" s="72">
        <f>ROUNDUP(75.852*(1/0.9)*1.4,0)</f>
        <v>118</v>
      </c>
      <c r="L73" s="72">
        <f>9.234*(1/0.9)</f>
        <v>10.26</v>
      </c>
      <c r="M73" s="72">
        <f t="shared" si="24"/>
        <v>0</v>
      </c>
      <c r="N73" s="72">
        <v>20</v>
      </c>
      <c r="O73" s="72">
        <v>31.536000000000001</v>
      </c>
      <c r="R73" s="26"/>
      <c r="S73" s="26"/>
      <c r="T73" s="26" t="str">
        <f>Commodities!$AD$29&amp;"_"&amp;RIGHT(Commodities!$D$180,3)&amp;"_"&amp;$T$3&amp;"_IM01"</f>
        <v>RSD_DTA4_WH_SOL_N_IM01</v>
      </c>
      <c r="U73" s="26" t="s">
        <v>1056</v>
      </c>
      <c r="V73" s="57" t="str">
        <f>General!$B$2</f>
        <v>PJ</v>
      </c>
      <c r="W73" s="57" t="str">
        <f>General!$B$5</f>
        <v>GW</v>
      </c>
      <c r="X73" s="57" t="s">
        <v>723</v>
      </c>
      <c r="Y73" s="57"/>
      <c r="Z73" s="26"/>
    </row>
    <row r="74" spans="2:26" ht="13.8" x14ac:dyDescent="0.25">
      <c r="B74" s="26" t="str">
        <f t="shared" si="25"/>
        <v>RSD_APA3_WH_SOL_N_IM01</v>
      </c>
      <c r="C74" s="26" t="str">
        <f t="shared" si="25"/>
        <v>Apartment A3 WaterHeat Solar-Electric Improved (N)</v>
      </c>
      <c r="D74" s="26" t="str">
        <f>Commodities!$D$341</f>
        <v>RSDELC</v>
      </c>
      <c r="E74" s="26" t="str">
        <f>E68</f>
        <v>RSD_APA3_WH</v>
      </c>
      <c r="F74" s="84">
        <f>G74</f>
        <v>2020</v>
      </c>
      <c r="G74" s="57">
        <f>BASE_YEAR+3</f>
        <v>2020</v>
      </c>
      <c r="H74" s="111">
        <v>0.9</v>
      </c>
      <c r="I74" s="72"/>
      <c r="J74" s="114"/>
      <c r="K74" s="72">
        <f>ROUNDUP(773.015873015873*(1/0.9),0)</f>
        <v>859</v>
      </c>
      <c r="L74" s="72">
        <f>14.6875*(1/0.9)</f>
        <v>16.319444444444446</v>
      </c>
      <c r="M74" s="72">
        <f t="shared" si="24"/>
        <v>0</v>
      </c>
      <c r="N74" s="72">
        <v>15</v>
      </c>
      <c r="O74" s="72">
        <v>31.536000000000001</v>
      </c>
      <c r="R74" s="26"/>
      <c r="S74" s="26"/>
      <c r="T74" s="26" t="str">
        <f>Commodities!$AD$29&amp;"_"&amp;RIGHT(Commodities!$D$180,3)&amp;"_"&amp;$T$3&amp;"_IM02"</f>
        <v>RSD_DTA4_WH_SOL_N_IM02</v>
      </c>
      <c r="U74" s="26" t="s">
        <v>1057</v>
      </c>
      <c r="V74" s="57" t="str">
        <f>General!$B$2</f>
        <v>PJ</v>
      </c>
      <c r="W74" s="57" t="str">
        <f>General!$B$5</f>
        <v>GW</v>
      </c>
      <c r="X74" s="57" t="s">
        <v>723</v>
      </c>
      <c r="Y74" s="57"/>
      <c r="Z74" s="26"/>
    </row>
    <row r="75" spans="2:26" ht="13.8" x14ac:dyDescent="0.25">
      <c r="B75" s="26"/>
      <c r="C75" s="26"/>
      <c r="D75" s="26" t="str">
        <f>Commodities!$D$180</f>
        <v>RSDRESSOL</v>
      </c>
      <c r="E75" s="26"/>
      <c r="F75" s="84">
        <f>F74</f>
        <v>2020</v>
      </c>
      <c r="G75" s="57"/>
      <c r="H75" s="111" t="s">
        <v>848</v>
      </c>
      <c r="I75" s="72">
        <v>0.5</v>
      </c>
      <c r="J75" s="114"/>
      <c r="K75" s="72" t="s">
        <v>848</v>
      </c>
      <c r="L75" s="72" t="s">
        <v>848</v>
      </c>
      <c r="M75" s="72" t="s">
        <v>848</v>
      </c>
      <c r="N75" s="72" t="s">
        <v>848</v>
      </c>
      <c r="O75" s="72"/>
      <c r="R75" s="26"/>
      <c r="S75" s="26"/>
      <c r="T75" s="26" t="str">
        <f>Commodities!$AD$29&amp;"_"&amp;RIGHT(Commodities!$D$153,3)&amp;"_"&amp;$T$3&amp;"_IM02"</f>
        <v>RSD_DTA4_WH_BIC_N_IM02</v>
      </c>
      <c r="U75" s="26" t="s">
        <v>1058</v>
      </c>
      <c r="V75" s="57" t="str">
        <f>General!$B$2</f>
        <v>PJ</v>
      </c>
      <c r="W75" s="57" t="str">
        <f>General!$B$5</f>
        <v>GW</v>
      </c>
      <c r="X75" s="57" t="s">
        <v>723</v>
      </c>
      <c r="Y75" s="57"/>
      <c r="Z75" s="26"/>
    </row>
    <row r="76" spans="2:26" ht="13.8" x14ac:dyDescent="0.25">
      <c r="B76" s="26" t="str">
        <f>T64</f>
        <v>RSD_APA3_WH_SOL_N_IM02</v>
      </c>
      <c r="C76" s="26" t="str">
        <f>U64</f>
        <v>Apartment A3 WaterHeat Solar-Gas Improved (N)</v>
      </c>
      <c r="D76" s="26" t="str">
        <f>Commodities!$D$166</f>
        <v>RSDGASNAT</v>
      </c>
      <c r="E76" s="26" t="str">
        <f>E68</f>
        <v>RSD_APA3_WH</v>
      </c>
      <c r="F76" s="84">
        <f t="shared" ref="F76" si="27">G76</f>
        <v>2020</v>
      </c>
      <c r="G76" s="57">
        <f>BASE_YEAR+3</f>
        <v>2020</v>
      </c>
      <c r="H76" s="111">
        <v>0.9</v>
      </c>
      <c r="I76" s="72"/>
      <c r="J76" s="114"/>
      <c r="K76" s="72">
        <f>ROUNDUP(887.961299282303*(1/0.9),0)</f>
        <v>987</v>
      </c>
      <c r="L76" s="72">
        <f>19.1778666340693*(1/0.9)</f>
        <v>21.308740704521444</v>
      </c>
      <c r="M76" s="72">
        <f>0*(1/0.9)</f>
        <v>0</v>
      </c>
      <c r="N76" s="72">
        <v>15</v>
      </c>
      <c r="O76" s="72">
        <v>31.536000000000001</v>
      </c>
      <c r="R76" s="11"/>
      <c r="S76" s="11"/>
      <c r="T76" s="11" t="str">
        <f>Commodities!$AD$29&amp;"_"&amp;RIGHT(Commodities!$D$161,3)&amp;"_"&amp;$T$3&amp;"_IM02"</f>
        <v>RSD_DTA4_WH_LPG_N_IM02</v>
      </c>
      <c r="U76" s="11" t="s">
        <v>1059</v>
      </c>
      <c r="V76" s="22" t="str">
        <f>General!$B$2</f>
        <v>PJ</v>
      </c>
      <c r="W76" s="22" t="str">
        <f>General!$B$5</f>
        <v>GW</v>
      </c>
      <c r="X76" s="22" t="s">
        <v>723</v>
      </c>
      <c r="Y76" s="22"/>
      <c r="Z76" s="11"/>
    </row>
    <row r="77" spans="2:26" ht="13.8" x14ac:dyDescent="0.25">
      <c r="B77" s="26"/>
      <c r="C77" s="26"/>
      <c r="D77" s="26" t="str">
        <f>Commodities!$D$180</f>
        <v>RSDRESSOL</v>
      </c>
      <c r="E77" s="26"/>
      <c r="F77" s="84">
        <f>F76</f>
        <v>2020</v>
      </c>
      <c r="G77" s="57"/>
      <c r="H77" s="111" t="s">
        <v>848</v>
      </c>
      <c r="I77" s="72">
        <v>0.3</v>
      </c>
      <c r="J77" s="114"/>
      <c r="K77" s="72" t="s">
        <v>848</v>
      </c>
      <c r="L77" s="72" t="s">
        <v>848</v>
      </c>
      <c r="M77" s="72" t="s">
        <v>848</v>
      </c>
      <c r="N77" s="72" t="s">
        <v>848</v>
      </c>
      <c r="O77" s="72"/>
      <c r="R77" s="26"/>
      <c r="S77" s="26"/>
      <c r="T77" s="26" t="str">
        <f>Commodities!$AD$30&amp;"_"&amp;RIGHT(Commodities!$D$340,3)&amp;"_"&amp;$T$3&amp;"_ST"</f>
        <v>RSD_APA4_WH_ELC_N_ST</v>
      </c>
      <c r="U77" s="26" t="s">
        <v>1120</v>
      </c>
      <c r="V77" s="57" t="str">
        <f>General!$B$2</f>
        <v>PJ</v>
      </c>
      <c r="W77" s="57" t="str">
        <f>General!$B$5</f>
        <v>GW</v>
      </c>
      <c r="X77" s="57" t="s">
        <v>723</v>
      </c>
      <c r="Y77" s="57"/>
      <c r="Z77" s="26"/>
    </row>
    <row r="78" spans="2:26" ht="13.8" x14ac:dyDescent="0.25">
      <c r="B78" s="26" t="str">
        <f t="shared" ref="B78:C80" si="28">T65</f>
        <v>RSD_APA3_WH_BIC_N_IM02</v>
      </c>
      <c r="C78" s="26" t="str">
        <f t="shared" si="28"/>
        <v>Apartment A3 WaterHeat Coal Standard (N)</v>
      </c>
      <c r="D78" s="26" t="str">
        <f>Commodities!$D$153</f>
        <v>RSDCOABIC</v>
      </c>
      <c r="E78" s="26" t="str">
        <f>E76</f>
        <v>RSD_APA3_WH</v>
      </c>
      <c r="F78" s="84">
        <f>G78</f>
        <v>2100</v>
      </c>
      <c r="G78" s="57">
        <v>2100</v>
      </c>
      <c r="H78" s="111">
        <v>0.7</v>
      </c>
      <c r="I78" s="72"/>
      <c r="J78" s="114"/>
      <c r="K78" s="72">
        <f>ROUNDUP(68.9672557598582*(1/0.9)*1.2,0)</f>
        <v>92</v>
      </c>
      <c r="L78" s="72">
        <v>3.5</v>
      </c>
      <c r="M78" s="72">
        <f t="shared" ref="M78:M86" si="29">0*(1/0.9)</f>
        <v>0</v>
      </c>
      <c r="N78" s="72">
        <v>15</v>
      </c>
      <c r="O78" s="72">
        <v>31.536000000000001</v>
      </c>
      <c r="R78" s="26"/>
      <c r="S78" s="26"/>
      <c r="T78" s="26" t="str">
        <f>Commodities!$AD$30&amp;"_"&amp;RIGHT(Commodities!$D$340,3)&amp;"_"&amp;$T$3&amp;"_IM"</f>
        <v>RSD_APA4_WH_ELC_N_IM</v>
      </c>
      <c r="U78" s="26" t="s">
        <v>1121</v>
      </c>
      <c r="V78" s="57" t="str">
        <f>General!$B$2</f>
        <v>PJ</v>
      </c>
      <c r="W78" s="57" t="str">
        <f>General!$B$5</f>
        <v>GW</v>
      </c>
      <c r="X78" s="57" t="s">
        <v>723</v>
      </c>
      <c r="Y78" s="57"/>
      <c r="Z78" s="26"/>
    </row>
    <row r="79" spans="2:26" ht="13.8" x14ac:dyDescent="0.25">
      <c r="B79" s="11" t="str">
        <f t="shared" si="28"/>
        <v>RSD_APA3_WH_LPG_N_IM02</v>
      </c>
      <c r="C79" s="11" t="str">
        <f t="shared" si="28"/>
        <v>Apartment A3 WaterHeat LPG Standard (N)</v>
      </c>
      <c r="D79" s="11" t="str">
        <f>Commodities!$D$161</f>
        <v>RSDOILLPG</v>
      </c>
      <c r="E79" s="11" t="str">
        <f>E78</f>
        <v>RSD_APA3_WH</v>
      </c>
      <c r="F79" s="89">
        <f>G79</f>
        <v>2018</v>
      </c>
      <c r="G79" s="22">
        <f>BASE_YEAR+1</f>
        <v>2018</v>
      </c>
      <c r="H79" s="112">
        <v>0.85</v>
      </c>
      <c r="I79" s="73"/>
      <c r="J79" s="115"/>
      <c r="K79" s="73">
        <f>ROUNDUP(68.9672557598582*(1/0.9)*1.2,0)</f>
        <v>92</v>
      </c>
      <c r="L79" s="73">
        <v>3.5</v>
      </c>
      <c r="M79" s="73">
        <f t="shared" si="29"/>
        <v>0</v>
      </c>
      <c r="N79" s="73">
        <v>15</v>
      </c>
      <c r="O79" s="73">
        <v>31.536000000000001</v>
      </c>
      <c r="R79" s="26"/>
      <c r="S79" s="26"/>
      <c r="T79" s="26" t="str">
        <f>Commodities!$AD$30&amp;"_"&amp;LEFT(RIGHT(Commodities!$D$166,6),3)&amp;"_"&amp;$T$3&amp;"_ST"</f>
        <v>RSD_APA4_WH_GAS_N_ST</v>
      </c>
      <c r="U79" s="26" t="s">
        <v>1122</v>
      </c>
      <c r="V79" s="57" t="str">
        <f>General!$B$2</f>
        <v>PJ</v>
      </c>
      <c r="W79" s="57" t="str">
        <f>General!$B$5</f>
        <v>GW</v>
      </c>
      <c r="X79" s="57" t="s">
        <v>723</v>
      </c>
      <c r="Y79" s="57"/>
      <c r="Z79" s="26"/>
    </row>
    <row r="80" spans="2:26" ht="13.8" x14ac:dyDescent="0.25">
      <c r="B80" s="26" t="str">
        <f t="shared" si="28"/>
        <v>RSD_DTA4_WH_ELC_N_ST</v>
      </c>
      <c r="C80" s="26" t="str">
        <f t="shared" si="28"/>
        <v>Detached A4 WaterHeat Electric Standard (N)</v>
      </c>
      <c r="D80" s="26" t="str">
        <f>Commodities!$D$341</f>
        <v>RSDELC</v>
      </c>
      <c r="E80" s="26" t="str">
        <f>Commodities!$AD$29</f>
        <v>RSD_DTA4_WH</v>
      </c>
      <c r="F80" s="84">
        <f>G80</f>
        <v>2018</v>
      </c>
      <c r="G80" s="57">
        <f>BASE_YEAR+1</f>
        <v>2018</v>
      </c>
      <c r="H80" s="111">
        <v>0.9</v>
      </c>
      <c r="I80" s="72"/>
      <c r="J80" s="114"/>
      <c r="K80" s="111">
        <f>ROUNDUP(159.983454545455*(1/0.9)*0.8,0)</f>
        <v>143</v>
      </c>
      <c r="L80" s="111">
        <v>1</v>
      </c>
      <c r="M80" s="111">
        <f t="shared" si="29"/>
        <v>0</v>
      </c>
      <c r="N80" s="72">
        <v>15</v>
      </c>
      <c r="O80" s="72">
        <v>31.536000000000001</v>
      </c>
      <c r="R80" s="26"/>
      <c r="S80" s="26"/>
      <c r="T80" s="26" t="str">
        <f>Commodities!$AD$30&amp;"_"&amp;LEFT(RIGHT(Commodities!$D$166,6),3)&amp;"_"&amp;$T$3&amp;"_IM"</f>
        <v>RSD_APA4_WH_GAS_N_IM</v>
      </c>
      <c r="U80" s="26" t="s">
        <v>1123</v>
      </c>
      <c r="V80" s="57" t="str">
        <f>General!$B$2</f>
        <v>PJ</v>
      </c>
      <c r="W80" s="57" t="str">
        <f>General!$B$5</f>
        <v>GW</v>
      </c>
      <c r="X80" s="57" t="s">
        <v>723</v>
      </c>
      <c r="Y80" s="57"/>
      <c r="Z80" s="26"/>
    </row>
    <row r="81" spans="2:26" ht="13.8" x14ac:dyDescent="0.25">
      <c r="B81" s="26" t="str">
        <f t="shared" ref="B81:C81" si="30">T68</f>
        <v>RSD_DTA4_WH_ELC_N_IM</v>
      </c>
      <c r="C81" s="26" t="str">
        <f t="shared" si="30"/>
        <v>Detached A4 WaterHeat Electric Improved (N)</v>
      </c>
      <c r="D81" s="26" t="str">
        <f>Commodities!$D$341</f>
        <v>RSDELC</v>
      </c>
      <c r="E81" s="26" t="str">
        <f>E80</f>
        <v>RSD_DTA4_WH</v>
      </c>
      <c r="F81" s="84">
        <f t="shared" ref="F81:F84" si="31">G81</f>
        <v>2018</v>
      </c>
      <c r="G81" s="57">
        <f>BASE_YEAR+1</f>
        <v>2018</v>
      </c>
      <c r="H81" s="111">
        <v>0.94500000000000006</v>
      </c>
      <c r="I81" s="72"/>
      <c r="J81" s="114"/>
      <c r="K81" s="72">
        <f>ROUNDUP(171.182296363636*(1/0.9)*0.9,0)</f>
        <v>172</v>
      </c>
      <c r="L81" s="111">
        <v>1</v>
      </c>
      <c r="M81" s="72">
        <f t="shared" si="29"/>
        <v>0</v>
      </c>
      <c r="N81" s="72">
        <v>15</v>
      </c>
      <c r="O81" s="72">
        <v>31.536000000000001</v>
      </c>
      <c r="R81" s="26"/>
      <c r="S81" s="26"/>
      <c r="T81" s="26" t="str">
        <f>Commodities!$AD$30&amp;"_"&amp;LEFT(RIGHT(Commodities!$D$166,6),3)&amp;"_"&amp;$T$3&amp;"_AD"</f>
        <v>RSD_APA4_WH_GAS_N_AD</v>
      </c>
      <c r="U81" s="26" t="s">
        <v>1124</v>
      </c>
      <c r="V81" s="57" t="str">
        <f>General!$B$2</f>
        <v>PJ</v>
      </c>
      <c r="W81" s="57" t="str">
        <f>General!$B$5</f>
        <v>GW</v>
      </c>
      <c r="X81" s="57" t="s">
        <v>723</v>
      </c>
      <c r="Y81" s="57"/>
      <c r="Z81" s="26"/>
    </row>
    <row r="82" spans="2:26" ht="13.8" x14ac:dyDescent="0.25">
      <c r="B82" s="26" t="str">
        <f t="shared" ref="B82:C82" si="32">T69</f>
        <v>RSD_DTA4_WH_GAS_N_ST</v>
      </c>
      <c r="C82" s="26" t="str">
        <f t="shared" si="32"/>
        <v>Detached A4 WaterHear Gas Standard (N)</v>
      </c>
      <c r="D82" s="26" t="str">
        <f>Commodities!$D$166</f>
        <v>RSDGASNAT</v>
      </c>
      <c r="E82" s="26" t="str">
        <f>E80</f>
        <v>RSD_DTA4_WH</v>
      </c>
      <c r="F82" s="84">
        <f t="shared" si="31"/>
        <v>2018</v>
      </c>
      <c r="G82" s="57">
        <f>BASE_YEAR+1</f>
        <v>2018</v>
      </c>
      <c r="H82" s="111">
        <v>0.8</v>
      </c>
      <c r="I82" s="72"/>
      <c r="J82" s="114"/>
      <c r="K82" s="72">
        <f>ROUNDUP(150*(1/0.9)*1,0)</f>
        <v>167</v>
      </c>
      <c r="L82" s="111">
        <v>3.5</v>
      </c>
      <c r="M82" s="72">
        <f t="shared" si="29"/>
        <v>0</v>
      </c>
      <c r="N82" s="72">
        <v>20</v>
      </c>
      <c r="O82" s="72">
        <v>31.536000000000001</v>
      </c>
      <c r="R82" s="26"/>
      <c r="S82" s="26"/>
      <c r="T82" s="26" t="str">
        <f>Commodities!$AD$30&amp;"_"&amp;RIGHT(Commodities!$D$347,3)&amp;"_"&amp;$T$3&amp;"_IM"</f>
        <v>RSD_APA4_WH_LTH_N_IM</v>
      </c>
      <c r="U82" s="26" t="s">
        <v>1125</v>
      </c>
      <c r="V82" s="57" t="str">
        <f>General!$B$2</f>
        <v>PJ</v>
      </c>
      <c r="W82" s="57" t="str">
        <f>General!$B$5</f>
        <v>GW</v>
      </c>
      <c r="X82" s="57" t="s">
        <v>723</v>
      </c>
      <c r="Y82" s="57"/>
      <c r="Z82" s="26"/>
    </row>
    <row r="83" spans="2:26" ht="13.8" x14ac:dyDescent="0.25">
      <c r="B83" s="26" t="str">
        <f t="shared" ref="B83:C83" si="33">T70</f>
        <v>RSD_DTA4_WH_GAS_N_IM</v>
      </c>
      <c r="C83" s="26" t="str">
        <f t="shared" si="33"/>
        <v>Detached A4 WaterHear Gas Improved (N)</v>
      </c>
      <c r="D83" s="26" t="str">
        <f>Commodities!$D$166</f>
        <v>RSDGASNAT</v>
      </c>
      <c r="E83" s="26" t="str">
        <f>E80</f>
        <v>RSD_DTA4_WH</v>
      </c>
      <c r="F83" s="84">
        <f t="shared" si="31"/>
        <v>2025</v>
      </c>
      <c r="G83" s="57">
        <f>BASE_YEAR+8</f>
        <v>2025</v>
      </c>
      <c r="H83" s="111">
        <v>0.9</v>
      </c>
      <c r="I83" s="72"/>
      <c r="J83" s="87"/>
      <c r="K83" s="72">
        <f>ROUNDUP((K82*1.07)*(1/0.9)*1.2,0)</f>
        <v>239</v>
      </c>
      <c r="L83" s="111">
        <v>3.5</v>
      </c>
      <c r="M83" s="72">
        <f t="shared" si="29"/>
        <v>0</v>
      </c>
      <c r="N83" s="72">
        <v>20</v>
      </c>
      <c r="O83" s="72">
        <v>31.536000000000001</v>
      </c>
      <c r="R83" s="26"/>
      <c r="S83" s="26"/>
      <c r="T83" s="26" t="str">
        <f>Commodities!$AD$30&amp;"_"&amp;RIGHT(Commodities!$D$180,3)&amp;"_"&amp;$T$3&amp;"_IM01"</f>
        <v>RSD_APA4_WH_SOL_N_IM01</v>
      </c>
      <c r="U83" s="26" t="s">
        <v>1126</v>
      </c>
      <c r="V83" s="57" t="str">
        <f>General!$B$2</f>
        <v>PJ</v>
      </c>
      <c r="W83" s="57" t="str">
        <f>General!$B$5</f>
        <v>GW</v>
      </c>
      <c r="X83" s="57" t="s">
        <v>723</v>
      </c>
      <c r="Y83" s="57"/>
      <c r="Z83" s="26"/>
    </row>
    <row r="84" spans="2:26" ht="13.8" x14ac:dyDescent="0.25">
      <c r="B84" s="26" t="str">
        <f t="shared" ref="B84:C84" si="34">T71</f>
        <v>RSD_DTA4_WH_GAS_N_AD</v>
      </c>
      <c r="C84" s="26" t="str">
        <f t="shared" si="34"/>
        <v>Detached A4 WaterHear Gas Advanced (N)</v>
      </c>
      <c r="D84" s="26" t="str">
        <f>Commodities!$D$166</f>
        <v>RSDGASNAT</v>
      </c>
      <c r="E84" s="26" t="str">
        <f>E80</f>
        <v>RSD_DTA4_WH</v>
      </c>
      <c r="F84" s="84">
        <f t="shared" si="31"/>
        <v>2030</v>
      </c>
      <c r="G84" s="57">
        <v>2030</v>
      </c>
      <c r="H84" s="111">
        <v>0.95</v>
      </c>
      <c r="I84" s="72"/>
      <c r="J84" s="87"/>
      <c r="K84" s="72">
        <f>ROUNDUP((K83*1.07)*(1/0.9)*1.1,0)</f>
        <v>313</v>
      </c>
      <c r="L84" s="111">
        <v>3.5</v>
      </c>
      <c r="M84" s="72">
        <f t="shared" si="29"/>
        <v>0</v>
      </c>
      <c r="N84" s="72">
        <v>20</v>
      </c>
      <c r="O84" s="72">
        <v>31.536000000000001</v>
      </c>
      <c r="R84" s="26"/>
      <c r="S84" s="26"/>
      <c r="T84" s="26" t="str">
        <f>Commodities!$AD$30&amp;"_"&amp;RIGHT(Commodities!$D$180,3)&amp;"_"&amp;$T$3&amp;"_IM02"</f>
        <v>RSD_APA4_WH_SOL_N_IM02</v>
      </c>
      <c r="U84" s="26" t="s">
        <v>1127</v>
      </c>
      <c r="V84" s="57" t="str">
        <f>General!$B$2</f>
        <v>PJ</v>
      </c>
      <c r="W84" s="57" t="str">
        <f>General!$B$5</f>
        <v>GW</v>
      </c>
      <c r="X84" s="57" t="s">
        <v>723</v>
      </c>
      <c r="Y84" s="57"/>
      <c r="Z84" s="26"/>
    </row>
    <row r="85" spans="2:26" ht="13.8" x14ac:dyDescent="0.25">
      <c r="B85" s="26" t="str">
        <f t="shared" ref="B85:C85" si="35">T72</f>
        <v>RSD_DTA4_WH_LTH_N_IM</v>
      </c>
      <c r="C85" s="26" t="str">
        <f t="shared" si="35"/>
        <v>Detached A4 WaterHeat Dist. Heating  Improved (N)</v>
      </c>
      <c r="D85" s="26" t="str">
        <f>Commodities!$D$353</f>
        <v>RSDLTHA4</v>
      </c>
      <c r="E85" s="26" t="str">
        <f>E80</f>
        <v>RSD_DTA4_WH</v>
      </c>
      <c r="F85" s="84">
        <f>G85</f>
        <v>2018</v>
      </c>
      <c r="G85" s="57">
        <f>BASE_YEAR+1</f>
        <v>2018</v>
      </c>
      <c r="H85" s="111">
        <v>0.95</v>
      </c>
      <c r="I85" s="72"/>
      <c r="J85" s="114"/>
      <c r="K85" s="72">
        <f>ROUNDUP(75.852*(1/0.9)*1.4,0)</f>
        <v>118</v>
      </c>
      <c r="L85" s="72">
        <f>9.234*(1/0.9)</f>
        <v>10.26</v>
      </c>
      <c r="M85" s="72">
        <f t="shared" si="29"/>
        <v>0</v>
      </c>
      <c r="N85" s="72">
        <v>20</v>
      </c>
      <c r="O85" s="72">
        <v>31.536000000000001</v>
      </c>
      <c r="R85" s="26"/>
      <c r="S85" s="26"/>
      <c r="T85" s="26" t="str">
        <f>Commodities!$AD$30&amp;"_"&amp;RIGHT(Commodities!$D$153,3)&amp;"_"&amp;$T$3&amp;"_IM02"</f>
        <v>RSD_APA4_WH_BIC_N_IM02</v>
      </c>
      <c r="U85" s="26" t="s">
        <v>1128</v>
      </c>
      <c r="V85" s="57" t="str">
        <f>General!$B$2</f>
        <v>PJ</v>
      </c>
      <c r="W85" s="57" t="str">
        <f>General!$B$5</f>
        <v>GW</v>
      </c>
      <c r="X85" s="57" t="s">
        <v>723</v>
      </c>
      <c r="Y85" s="57"/>
      <c r="Z85" s="26"/>
    </row>
    <row r="86" spans="2:26" ht="13.8" x14ac:dyDescent="0.25">
      <c r="B86" s="26" t="str">
        <f t="shared" ref="B86:C86" si="36">T73</f>
        <v>RSD_DTA4_WH_SOL_N_IM01</v>
      </c>
      <c r="C86" s="26" t="str">
        <f t="shared" si="36"/>
        <v>Detached A4 WaterHeat Solar-Electric Improved (N)</v>
      </c>
      <c r="D86" s="26" t="str">
        <f>Commodities!$D$341</f>
        <v>RSDELC</v>
      </c>
      <c r="E86" s="26" t="str">
        <f>E80</f>
        <v>RSD_DTA4_WH</v>
      </c>
      <c r="F86" s="84">
        <f>G86</f>
        <v>2020</v>
      </c>
      <c r="G86" s="57">
        <f>BASE_YEAR+3</f>
        <v>2020</v>
      </c>
      <c r="H86" s="111">
        <v>0.9</v>
      </c>
      <c r="I86" s="72"/>
      <c r="J86" s="114"/>
      <c r="K86" s="72">
        <f>ROUNDUP(773.015873015873*(1/0.9),0)</f>
        <v>859</v>
      </c>
      <c r="L86" s="72">
        <f>14.6875*(1/0.9)</f>
        <v>16.319444444444446</v>
      </c>
      <c r="M86" s="72">
        <f t="shared" si="29"/>
        <v>0</v>
      </c>
      <c r="N86" s="72">
        <v>15</v>
      </c>
      <c r="O86" s="72">
        <v>31.536000000000001</v>
      </c>
      <c r="R86" s="11"/>
      <c r="S86" s="11"/>
      <c r="T86" s="11" t="str">
        <f>Commodities!$AD$30&amp;"_"&amp;RIGHT(Commodities!$D$161,3)&amp;"_"&amp;$T$3&amp;"_IM02"</f>
        <v>RSD_APA4_WH_LPG_N_IM02</v>
      </c>
      <c r="U86" s="11" t="s">
        <v>1129</v>
      </c>
      <c r="V86" s="22" t="str">
        <f>General!$B$2</f>
        <v>PJ</v>
      </c>
      <c r="W86" s="22" t="str">
        <f>General!$B$5</f>
        <v>GW</v>
      </c>
      <c r="X86" s="22" t="s">
        <v>723</v>
      </c>
      <c r="Y86" s="22"/>
      <c r="Z86" s="11"/>
    </row>
    <row r="87" spans="2:26" ht="13.8" x14ac:dyDescent="0.25">
      <c r="B87" s="26"/>
      <c r="C87" s="26"/>
      <c r="D87" s="26" t="str">
        <f>Commodities!$D$180</f>
        <v>RSDRESSOL</v>
      </c>
      <c r="E87" s="26"/>
      <c r="F87" s="84">
        <f>F86</f>
        <v>2020</v>
      </c>
      <c r="G87" s="57"/>
      <c r="H87" s="111" t="s">
        <v>848</v>
      </c>
      <c r="I87" s="72">
        <v>0.5</v>
      </c>
      <c r="J87" s="114"/>
      <c r="K87" s="72" t="s">
        <v>848</v>
      </c>
      <c r="L87" s="72" t="s">
        <v>848</v>
      </c>
      <c r="M87" s="72" t="s">
        <v>848</v>
      </c>
      <c r="N87" s="72" t="s">
        <v>848</v>
      </c>
      <c r="O87" s="72"/>
    </row>
    <row r="88" spans="2:26" ht="13.8" x14ac:dyDescent="0.25">
      <c r="B88" s="26" t="str">
        <f>T74</f>
        <v>RSD_DTA4_WH_SOL_N_IM02</v>
      </c>
      <c r="C88" s="26" t="str">
        <f>U74</f>
        <v>Detached A4 WaterHeat Solar-Gas Improved (N)</v>
      </c>
      <c r="D88" s="26" t="str">
        <f>Commodities!$D$166</f>
        <v>RSDGASNAT</v>
      </c>
      <c r="E88" s="26" t="str">
        <f>E80</f>
        <v>RSD_DTA4_WH</v>
      </c>
      <c r="F88" s="84">
        <f t="shared" ref="F88" si="37">G88</f>
        <v>2020</v>
      </c>
      <c r="G88" s="57">
        <f>BASE_YEAR+3</f>
        <v>2020</v>
      </c>
      <c r="H88" s="111">
        <v>0.9</v>
      </c>
      <c r="I88" s="72"/>
      <c r="J88" s="114"/>
      <c r="K88" s="72">
        <f>ROUNDUP(887.961299282303*(1/0.9),0)</f>
        <v>987</v>
      </c>
      <c r="L88" s="72">
        <f>19.1778666340693*(1/0.9)</f>
        <v>21.308740704521444</v>
      </c>
      <c r="M88" s="72">
        <f>0*(1/0.9)</f>
        <v>0</v>
      </c>
      <c r="N88" s="72">
        <v>15</v>
      </c>
      <c r="O88" s="72">
        <v>31.536000000000001</v>
      </c>
    </row>
    <row r="89" spans="2:26" ht="13.8" x14ac:dyDescent="0.25">
      <c r="B89" s="26"/>
      <c r="C89" s="26"/>
      <c r="D89" s="26" t="str">
        <f>Commodities!$D$180</f>
        <v>RSDRESSOL</v>
      </c>
      <c r="E89" s="26"/>
      <c r="F89" s="84">
        <f>F88</f>
        <v>2020</v>
      </c>
      <c r="G89" s="57"/>
      <c r="H89" s="111" t="s">
        <v>848</v>
      </c>
      <c r="I89" s="72">
        <v>0.3</v>
      </c>
      <c r="J89" s="114"/>
      <c r="K89" s="72" t="s">
        <v>848</v>
      </c>
      <c r="L89" s="72" t="s">
        <v>848</v>
      </c>
      <c r="M89" s="72" t="s">
        <v>848</v>
      </c>
      <c r="N89" s="72" t="s">
        <v>848</v>
      </c>
      <c r="O89" s="72"/>
    </row>
    <row r="90" spans="2:26" ht="13.8" x14ac:dyDescent="0.25">
      <c r="B90" s="26" t="str">
        <f t="shared" ref="B90:C92" si="38">T75</f>
        <v>RSD_DTA4_WH_BIC_N_IM02</v>
      </c>
      <c r="C90" s="26" t="str">
        <f t="shared" si="38"/>
        <v>Detached A4 WaterHeat Coal Standard (N)</v>
      </c>
      <c r="D90" s="26" t="str">
        <f>Commodities!$D$153</f>
        <v>RSDCOABIC</v>
      </c>
      <c r="E90" s="26" t="str">
        <f>E88</f>
        <v>RSD_DTA4_WH</v>
      </c>
      <c r="F90" s="84">
        <f>G90</f>
        <v>2100</v>
      </c>
      <c r="G90" s="57">
        <v>2100</v>
      </c>
      <c r="H90" s="111">
        <v>0.7</v>
      </c>
      <c r="I90" s="72"/>
      <c r="J90" s="114"/>
      <c r="K90" s="72">
        <f>ROUNDUP(68.9672557598582*(1/0.9)*1.2,0)</f>
        <v>92</v>
      </c>
      <c r="L90" s="72">
        <v>3.5</v>
      </c>
      <c r="M90" s="72">
        <f t="shared" ref="M90:M98" si="39">0*(1/0.9)</f>
        <v>0</v>
      </c>
      <c r="N90" s="72">
        <v>15</v>
      </c>
      <c r="O90" s="72">
        <v>31.536000000000001</v>
      </c>
    </row>
    <row r="91" spans="2:26" ht="13.8" x14ac:dyDescent="0.25">
      <c r="B91" s="11" t="str">
        <f t="shared" si="38"/>
        <v>RSD_DTA4_WH_LPG_N_IM02</v>
      </c>
      <c r="C91" s="11" t="str">
        <f t="shared" si="38"/>
        <v>Detached A4 WaterHeat LPG Standard (N)</v>
      </c>
      <c r="D91" s="11" t="str">
        <f>Commodities!$D$161</f>
        <v>RSDOILLPG</v>
      </c>
      <c r="E91" s="11" t="str">
        <f>E90</f>
        <v>RSD_DTA4_WH</v>
      </c>
      <c r="F91" s="89">
        <f>G91</f>
        <v>2018</v>
      </c>
      <c r="G91" s="22">
        <f>BASE_YEAR+1</f>
        <v>2018</v>
      </c>
      <c r="H91" s="112">
        <v>0.85</v>
      </c>
      <c r="I91" s="73"/>
      <c r="J91" s="115"/>
      <c r="K91" s="73">
        <f>ROUNDUP(68.9672557598582*(1/0.9)*1.2,0)</f>
        <v>92</v>
      </c>
      <c r="L91" s="73">
        <v>3.5</v>
      </c>
      <c r="M91" s="73">
        <f t="shared" si="39"/>
        <v>0</v>
      </c>
      <c r="N91" s="73">
        <v>15</v>
      </c>
      <c r="O91" s="73">
        <v>31.536000000000001</v>
      </c>
    </row>
    <row r="92" spans="2:26" ht="13.8" x14ac:dyDescent="0.25">
      <c r="B92" s="26" t="str">
        <f t="shared" si="38"/>
        <v>RSD_APA4_WH_ELC_N_ST</v>
      </c>
      <c r="C92" s="26" t="str">
        <f t="shared" si="38"/>
        <v>Apartment A4 WaterHeat Electric Standard (N)</v>
      </c>
      <c r="D92" s="26" t="str">
        <f>Commodities!$D$341</f>
        <v>RSDELC</v>
      </c>
      <c r="E92" s="26" t="str">
        <f>Commodities!$AD$30</f>
        <v>RSD_APA4_WH</v>
      </c>
      <c r="F92" s="84">
        <f>G92</f>
        <v>2018</v>
      </c>
      <c r="G92" s="57">
        <f>BASE_YEAR+1</f>
        <v>2018</v>
      </c>
      <c r="H92" s="111">
        <v>0.9</v>
      </c>
      <c r="I92" s="72"/>
      <c r="J92" s="114"/>
      <c r="K92" s="111">
        <f>ROUNDUP(159.983454545455*(1/0.9)*0.8,0)</f>
        <v>143</v>
      </c>
      <c r="L92" s="111">
        <v>1</v>
      </c>
      <c r="M92" s="111">
        <f t="shared" si="39"/>
        <v>0</v>
      </c>
      <c r="N92" s="72">
        <v>15</v>
      </c>
      <c r="O92" s="72">
        <v>31.536000000000001</v>
      </c>
    </row>
    <row r="93" spans="2:26" ht="13.8" x14ac:dyDescent="0.25">
      <c r="B93" s="26" t="str">
        <f t="shared" ref="B93:C98" si="40">T78</f>
        <v>RSD_APA4_WH_ELC_N_IM</v>
      </c>
      <c r="C93" s="26" t="str">
        <f t="shared" si="40"/>
        <v>Apartment A4 WaterHeat Electric Improved (N)</v>
      </c>
      <c r="D93" s="26" t="str">
        <f>Commodities!$D$341</f>
        <v>RSDELC</v>
      </c>
      <c r="E93" s="26" t="str">
        <f>E92</f>
        <v>RSD_APA4_WH</v>
      </c>
      <c r="F93" s="84">
        <f t="shared" ref="F93:F96" si="41">G93</f>
        <v>2018</v>
      </c>
      <c r="G93" s="57">
        <f>BASE_YEAR+1</f>
        <v>2018</v>
      </c>
      <c r="H93" s="111">
        <v>0.94500000000000006</v>
      </c>
      <c r="I93" s="72"/>
      <c r="J93" s="114"/>
      <c r="K93" s="72">
        <f>ROUNDUP(171.182296363636*(1/0.9)*0.9,0)</f>
        <v>172</v>
      </c>
      <c r="L93" s="111">
        <v>1</v>
      </c>
      <c r="M93" s="72">
        <f t="shared" si="39"/>
        <v>0</v>
      </c>
      <c r="N93" s="72">
        <v>15</v>
      </c>
      <c r="O93" s="72">
        <v>31.536000000000001</v>
      </c>
    </row>
    <row r="94" spans="2:26" ht="13.8" x14ac:dyDescent="0.25">
      <c r="B94" s="26" t="str">
        <f t="shared" si="40"/>
        <v>RSD_APA4_WH_GAS_N_ST</v>
      </c>
      <c r="C94" s="26" t="str">
        <f t="shared" si="40"/>
        <v>Apartment A4 WaterHear Gas Standard (N)</v>
      </c>
      <c r="D94" s="26" t="str">
        <f>Commodities!$D$166</f>
        <v>RSDGASNAT</v>
      </c>
      <c r="E94" s="26" t="str">
        <f>E92</f>
        <v>RSD_APA4_WH</v>
      </c>
      <c r="F94" s="84">
        <f t="shared" si="41"/>
        <v>2018</v>
      </c>
      <c r="G94" s="57">
        <f>BASE_YEAR+1</f>
        <v>2018</v>
      </c>
      <c r="H94" s="111">
        <v>0.8</v>
      </c>
      <c r="I94" s="72"/>
      <c r="J94" s="114"/>
      <c r="K94" s="72">
        <f>ROUNDUP(150*(1/0.9)*1,0)</f>
        <v>167</v>
      </c>
      <c r="L94" s="111">
        <v>3.5</v>
      </c>
      <c r="M94" s="72">
        <f t="shared" si="39"/>
        <v>0</v>
      </c>
      <c r="N94" s="72">
        <v>20</v>
      </c>
      <c r="O94" s="72">
        <v>31.536000000000001</v>
      </c>
    </row>
    <row r="95" spans="2:26" ht="13.8" x14ac:dyDescent="0.25">
      <c r="B95" s="26" t="str">
        <f t="shared" si="40"/>
        <v>RSD_APA4_WH_GAS_N_IM</v>
      </c>
      <c r="C95" s="26" t="str">
        <f t="shared" si="40"/>
        <v>Apartment A4 WaterHear Gas Improved (N)</v>
      </c>
      <c r="D95" s="26" t="str">
        <f>Commodities!$D$166</f>
        <v>RSDGASNAT</v>
      </c>
      <c r="E95" s="26" t="str">
        <f>E92</f>
        <v>RSD_APA4_WH</v>
      </c>
      <c r="F95" s="84">
        <f t="shared" si="41"/>
        <v>2025</v>
      </c>
      <c r="G95" s="57">
        <f>BASE_YEAR+8</f>
        <v>2025</v>
      </c>
      <c r="H95" s="111">
        <v>0.9</v>
      </c>
      <c r="I95" s="72"/>
      <c r="J95" s="87"/>
      <c r="K95" s="72">
        <f>ROUNDUP((K94*1.07)*(1/0.9)*1.2,0)</f>
        <v>239</v>
      </c>
      <c r="L95" s="111">
        <v>3.5</v>
      </c>
      <c r="M95" s="72">
        <f t="shared" si="39"/>
        <v>0</v>
      </c>
      <c r="N95" s="72">
        <v>20</v>
      </c>
      <c r="O95" s="72">
        <v>31.536000000000001</v>
      </c>
    </row>
    <row r="96" spans="2:26" ht="13.8" x14ac:dyDescent="0.25">
      <c r="B96" s="26" t="str">
        <f t="shared" si="40"/>
        <v>RSD_APA4_WH_GAS_N_AD</v>
      </c>
      <c r="C96" s="26" t="str">
        <f t="shared" si="40"/>
        <v>Apartment A4 WaterHear Gas Advanced (N)</v>
      </c>
      <c r="D96" s="26" t="str">
        <f>Commodities!$D$166</f>
        <v>RSDGASNAT</v>
      </c>
      <c r="E96" s="26" t="str">
        <f>E92</f>
        <v>RSD_APA4_WH</v>
      </c>
      <c r="F96" s="84">
        <f t="shared" si="41"/>
        <v>2030</v>
      </c>
      <c r="G96" s="57">
        <v>2030</v>
      </c>
      <c r="H96" s="111">
        <v>0.95</v>
      </c>
      <c r="I96" s="72"/>
      <c r="J96" s="87"/>
      <c r="K96" s="72">
        <f>ROUNDUP((K95*1.07)*(1/0.9)*1.1,0)</f>
        <v>313</v>
      </c>
      <c r="L96" s="111">
        <v>3.5</v>
      </c>
      <c r="M96" s="72">
        <f t="shared" si="39"/>
        <v>0</v>
      </c>
      <c r="N96" s="72">
        <v>20</v>
      </c>
      <c r="O96" s="72">
        <v>31.536000000000001</v>
      </c>
    </row>
    <row r="97" spans="2:15" ht="13.8" x14ac:dyDescent="0.25">
      <c r="B97" s="26" t="str">
        <f t="shared" si="40"/>
        <v>RSD_APA4_WH_LTH_N_IM</v>
      </c>
      <c r="C97" s="26" t="str">
        <f t="shared" si="40"/>
        <v>Apartment A4 WaterHeat Dist. Heating  Improved (N)</v>
      </c>
      <c r="D97" s="26" t="str">
        <f>Commodities!$D$353</f>
        <v>RSDLTHA4</v>
      </c>
      <c r="E97" s="26" t="str">
        <f>E92</f>
        <v>RSD_APA4_WH</v>
      </c>
      <c r="F97" s="84">
        <f>G97</f>
        <v>2018</v>
      </c>
      <c r="G97" s="57">
        <f>BASE_YEAR+1</f>
        <v>2018</v>
      </c>
      <c r="H97" s="111">
        <v>0.95</v>
      </c>
      <c r="I97" s="72"/>
      <c r="J97" s="114"/>
      <c r="K97" s="72">
        <f>ROUNDUP(75.852*(1/0.9)*1.4,0)</f>
        <v>118</v>
      </c>
      <c r="L97" s="72">
        <f>9.234*(1/0.9)</f>
        <v>10.26</v>
      </c>
      <c r="M97" s="72">
        <f t="shared" si="39"/>
        <v>0</v>
      </c>
      <c r="N97" s="72">
        <v>20</v>
      </c>
      <c r="O97" s="72">
        <v>31.536000000000001</v>
      </c>
    </row>
    <row r="98" spans="2:15" ht="13.8" x14ac:dyDescent="0.25">
      <c r="B98" s="26" t="str">
        <f t="shared" si="40"/>
        <v>RSD_APA4_WH_SOL_N_IM01</v>
      </c>
      <c r="C98" s="26" t="str">
        <f t="shared" si="40"/>
        <v>Apartment A4 WaterHeat Solar-Electric Improved (N)</v>
      </c>
      <c r="D98" s="26" t="str">
        <f>Commodities!$D$341</f>
        <v>RSDELC</v>
      </c>
      <c r="E98" s="26" t="str">
        <f>E92</f>
        <v>RSD_APA4_WH</v>
      </c>
      <c r="F98" s="84">
        <f>G98</f>
        <v>2020</v>
      </c>
      <c r="G98" s="57">
        <f>BASE_YEAR+3</f>
        <v>2020</v>
      </c>
      <c r="H98" s="111">
        <v>0.9</v>
      </c>
      <c r="I98" s="72"/>
      <c r="J98" s="114"/>
      <c r="K98" s="72">
        <f>ROUNDUP(773.015873015873*(1/0.9),0)</f>
        <v>859</v>
      </c>
      <c r="L98" s="72">
        <f>14.6875*(1/0.9)</f>
        <v>16.319444444444446</v>
      </c>
      <c r="M98" s="72">
        <f t="shared" si="39"/>
        <v>0</v>
      </c>
      <c r="N98" s="72">
        <v>15</v>
      </c>
      <c r="O98" s="72">
        <v>31.536000000000001</v>
      </c>
    </row>
    <row r="99" spans="2:15" ht="13.8" x14ac:dyDescent="0.25">
      <c r="D99" s="26" t="str">
        <f>Commodities!$D$180</f>
        <v>RSDRESSOL</v>
      </c>
      <c r="E99" s="26"/>
      <c r="F99" s="84">
        <f>F98</f>
        <v>2020</v>
      </c>
      <c r="G99" s="57"/>
      <c r="H99" s="111" t="s">
        <v>848</v>
      </c>
      <c r="I99" s="72">
        <v>0.5</v>
      </c>
      <c r="J99" s="114"/>
      <c r="K99" s="72" t="s">
        <v>848</v>
      </c>
      <c r="L99" s="72" t="s">
        <v>848</v>
      </c>
      <c r="M99" s="72" t="s">
        <v>848</v>
      </c>
      <c r="N99" s="72" t="s">
        <v>848</v>
      </c>
      <c r="O99" s="72"/>
    </row>
    <row r="100" spans="2:15" ht="13.8" x14ac:dyDescent="0.25">
      <c r="B100" s="26" t="str">
        <f>T84</f>
        <v>RSD_APA4_WH_SOL_N_IM02</v>
      </c>
      <c r="C100" s="26" t="str">
        <f>U84</f>
        <v>Apartment A4 WaterHeat Solar-Gas Improved (N)</v>
      </c>
      <c r="D100" s="26" t="str">
        <f>Commodities!$D$166</f>
        <v>RSDGASNAT</v>
      </c>
      <c r="E100" s="26" t="str">
        <f>E92</f>
        <v>RSD_APA4_WH</v>
      </c>
      <c r="F100" s="84">
        <f t="shared" ref="F100" si="42">G100</f>
        <v>2020</v>
      </c>
      <c r="G100" s="57">
        <f>BASE_YEAR+3</f>
        <v>2020</v>
      </c>
      <c r="H100" s="111">
        <v>0.9</v>
      </c>
      <c r="I100" s="72"/>
      <c r="J100" s="114"/>
      <c r="K100" s="72">
        <f>ROUNDUP(887.961299282303*(1/0.9),0)</f>
        <v>987</v>
      </c>
      <c r="L100" s="72">
        <f>19.1778666340693*(1/0.9)</f>
        <v>21.308740704521444</v>
      </c>
      <c r="M100" s="72">
        <f>0*(1/0.9)</f>
        <v>0</v>
      </c>
      <c r="N100" s="72">
        <v>15</v>
      </c>
      <c r="O100" s="72">
        <v>31.536000000000001</v>
      </c>
    </row>
    <row r="101" spans="2:15" ht="13.8" x14ac:dyDescent="0.25">
      <c r="D101" s="26" t="str">
        <f>Commodities!$D$180</f>
        <v>RSDRESSOL</v>
      </c>
      <c r="E101" s="26"/>
      <c r="F101" s="84">
        <f>F100</f>
        <v>2020</v>
      </c>
      <c r="G101" s="57"/>
      <c r="H101" s="111" t="s">
        <v>848</v>
      </c>
      <c r="I101" s="72">
        <v>0.3</v>
      </c>
      <c r="J101" s="114"/>
      <c r="K101" s="72" t="s">
        <v>848</v>
      </c>
      <c r="L101" s="72" t="s">
        <v>848</v>
      </c>
      <c r="M101" s="72" t="s">
        <v>848</v>
      </c>
      <c r="N101" s="72" t="s">
        <v>848</v>
      </c>
      <c r="O101" s="72"/>
    </row>
    <row r="102" spans="2:15" ht="13.8" x14ac:dyDescent="0.25">
      <c r="B102" s="26" t="str">
        <f>T85</f>
        <v>RSD_APA4_WH_BIC_N_IM02</v>
      </c>
      <c r="C102" s="26" t="str">
        <f>U85</f>
        <v>Apartment A4 WaterHeat Coal Standard (N)</v>
      </c>
      <c r="D102" s="26" t="str">
        <f>Commodities!$D$153</f>
        <v>RSDCOABIC</v>
      </c>
      <c r="E102" s="26" t="str">
        <f>E100</f>
        <v>RSD_APA4_WH</v>
      </c>
      <c r="F102" s="84">
        <f>G102</f>
        <v>2100</v>
      </c>
      <c r="G102" s="57">
        <v>2100</v>
      </c>
      <c r="H102" s="111">
        <v>0.7</v>
      </c>
      <c r="I102" s="72"/>
      <c r="J102" s="114"/>
      <c r="K102" s="72">
        <f>ROUNDUP(68.9672557598582*(1/0.9)*1.2,0)</f>
        <v>92</v>
      </c>
      <c r="L102" s="72">
        <v>3.5</v>
      </c>
      <c r="M102" s="72">
        <f t="shared" ref="M102:M103" si="43">0*(1/0.9)</f>
        <v>0</v>
      </c>
      <c r="N102" s="72">
        <v>15</v>
      </c>
      <c r="O102" s="72">
        <v>31.536000000000001</v>
      </c>
    </row>
    <row r="103" spans="2:15" ht="13.8" x14ac:dyDescent="0.25">
      <c r="B103" s="11" t="str">
        <f>T86</f>
        <v>RSD_APA4_WH_LPG_N_IM02</v>
      </c>
      <c r="C103" s="11" t="str">
        <f>U86</f>
        <v>Apartment A4 WaterHeat LPG Standard (N)</v>
      </c>
      <c r="D103" s="11" t="str">
        <f>Commodities!$D$161</f>
        <v>RSDOILLPG</v>
      </c>
      <c r="E103" s="11" t="str">
        <f>E102</f>
        <v>RSD_APA4_WH</v>
      </c>
      <c r="F103" s="89">
        <f>G103</f>
        <v>2018</v>
      </c>
      <c r="G103" s="22">
        <f>BASE_YEAR+1</f>
        <v>2018</v>
      </c>
      <c r="H103" s="112">
        <v>0.85</v>
      </c>
      <c r="I103" s="73"/>
      <c r="J103" s="115"/>
      <c r="K103" s="73">
        <f>ROUNDUP(68.9672557598582*(1/0.9)*1.2,0)</f>
        <v>92</v>
      </c>
      <c r="L103" s="73">
        <v>3.5</v>
      </c>
      <c r="M103" s="73">
        <f t="shared" si="43"/>
        <v>0</v>
      </c>
      <c r="N103" s="73">
        <v>15</v>
      </c>
      <c r="O103" s="73">
        <v>31.536000000000001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79"/>
  <sheetViews>
    <sheetView zoomScale="55" zoomScaleNormal="55" workbookViewId="0">
      <selection sqref="A1:XFD1048576"/>
    </sheetView>
  </sheetViews>
  <sheetFormatPr defaultRowHeight="13.2" x14ac:dyDescent="0.25"/>
  <cols>
    <col min="1" max="1" width="8.88671875" style="60"/>
    <col min="2" max="2" width="40.6640625" style="60" customWidth="1"/>
    <col min="3" max="3" width="57.88671875" style="60" customWidth="1"/>
    <col min="4" max="4" width="17" style="60" bestFit="1" customWidth="1"/>
    <col min="5" max="5" width="18.88671875" style="60" bestFit="1" customWidth="1"/>
    <col min="6" max="6" width="8.88671875" style="60"/>
    <col min="7" max="7" width="11.88671875" style="60" bestFit="1" customWidth="1"/>
    <col min="8" max="8" width="25.88671875" style="60" bestFit="1" customWidth="1"/>
    <col min="9" max="9" width="16.6640625" style="94" bestFit="1" customWidth="1"/>
    <col min="10" max="10" width="27.44140625" style="60" customWidth="1"/>
    <col min="11" max="11" width="17.88671875" style="60" bestFit="1" customWidth="1"/>
    <col min="12" max="12" width="20.6640625" style="60" bestFit="1" customWidth="1"/>
    <col min="13" max="13" width="18.33203125" style="60" bestFit="1" customWidth="1"/>
    <col min="14" max="14" width="28.44140625" style="60" customWidth="1"/>
    <col min="15" max="16" width="8.88671875" style="60"/>
    <col min="17" max="17" width="15.109375" style="60" customWidth="1"/>
    <col min="18" max="18" width="14.33203125" style="60" bestFit="1" customWidth="1"/>
    <col min="19" max="19" width="36.33203125" style="60" customWidth="1"/>
    <col min="20" max="20" width="55.6640625" style="60" bestFit="1" customWidth="1"/>
    <col min="21" max="21" width="11.44140625" style="60" customWidth="1"/>
    <col min="22" max="22" width="24.5546875" style="60" customWidth="1"/>
    <col min="23" max="23" width="23.33203125" style="60" customWidth="1"/>
    <col min="24" max="24" width="20.44140625" style="60" customWidth="1"/>
    <col min="25" max="25" width="17.88671875" style="60" bestFit="1" customWidth="1"/>
    <col min="26" max="16384" width="8.88671875" style="60"/>
  </cols>
  <sheetData>
    <row r="1" spans="1:30" s="10" customFormat="1" ht="17.399999999999999" x14ac:dyDescent="0.3">
      <c r="B1" s="27" t="s">
        <v>801</v>
      </c>
      <c r="C1" s="27"/>
      <c r="D1" s="27"/>
      <c r="E1" s="27"/>
      <c r="F1" s="27"/>
      <c r="G1" s="27"/>
      <c r="H1" s="27"/>
      <c r="I1" s="21"/>
      <c r="O1" s="26"/>
      <c r="Q1" s="10" t="s">
        <v>791</v>
      </c>
    </row>
    <row r="2" spans="1:30" s="10" customFormat="1" ht="17.399999999999999" x14ac:dyDescent="0.3">
      <c r="B2" s="27" t="s">
        <v>819</v>
      </c>
      <c r="C2" s="27"/>
      <c r="D2" s="27"/>
      <c r="E2" s="27"/>
      <c r="F2" s="27"/>
      <c r="G2" s="27"/>
      <c r="H2" s="27"/>
      <c r="I2" s="21"/>
      <c r="O2" s="26"/>
    </row>
    <row r="3" spans="1:30" s="10" customFormat="1" ht="13.8" x14ac:dyDescent="0.25">
      <c r="B3" s="28"/>
      <c r="D3" s="29"/>
      <c r="E3" s="29"/>
      <c r="F3" s="29"/>
      <c r="G3" s="29"/>
      <c r="I3" s="57"/>
      <c r="J3" s="74"/>
      <c r="K3" s="74"/>
      <c r="L3" s="74"/>
      <c r="M3" s="75"/>
      <c r="O3" s="26"/>
      <c r="Q3" s="14" t="s">
        <v>792</v>
      </c>
      <c r="R3" s="14"/>
      <c r="S3" s="14" t="s">
        <v>793</v>
      </c>
      <c r="T3" s="14"/>
      <c r="U3" s="14"/>
      <c r="V3" s="14"/>
      <c r="W3" s="14"/>
      <c r="X3" s="14"/>
      <c r="Y3" s="14"/>
      <c r="AB3" s="26"/>
      <c r="AC3" s="26"/>
      <c r="AD3" s="26"/>
    </row>
    <row r="4" spans="1:30" s="10" customFormat="1" ht="13.8" x14ac:dyDescent="0.25">
      <c r="E4" s="30"/>
      <c r="F4" s="31" t="s">
        <v>0</v>
      </c>
      <c r="G4" s="31"/>
      <c r="H4" s="74"/>
      <c r="I4" s="21"/>
      <c r="J4" s="10">
        <v>7</v>
      </c>
      <c r="K4" s="10">
        <v>8</v>
      </c>
      <c r="O4" s="26"/>
      <c r="Q4" s="13" t="s">
        <v>17</v>
      </c>
      <c r="R4" s="13"/>
      <c r="S4" s="14"/>
      <c r="T4" s="14"/>
      <c r="U4" s="14"/>
      <c r="V4" s="14"/>
      <c r="W4" s="14"/>
      <c r="X4" s="14"/>
      <c r="Y4" s="14"/>
      <c r="AB4" s="32"/>
      <c r="AC4" s="26"/>
      <c r="AD4" s="26"/>
    </row>
    <row r="5" spans="1:30" s="10" customFormat="1" ht="13.8" x14ac:dyDescent="0.25">
      <c r="B5" s="33" t="s">
        <v>1</v>
      </c>
      <c r="C5" s="33" t="s">
        <v>794</v>
      </c>
      <c r="D5" s="33" t="s">
        <v>3</v>
      </c>
      <c r="E5" s="33" t="s">
        <v>4</v>
      </c>
      <c r="F5" s="34" t="s">
        <v>803</v>
      </c>
      <c r="G5" s="35" t="s">
        <v>14</v>
      </c>
      <c r="H5" s="36" t="s">
        <v>820</v>
      </c>
      <c r="I5" s="36" t="s">
        <v>789</v>
      </c>
      <c r="J5" s="108" t="s">
        <v>36</v>
      </c>
      <c r="K5" s="36" t="s">
        <v>5</v>
      </c>
      <c r="L5" s="36" t="s">
        <v>34</v>
      </c>
      <c r="M5" s="36" t="s">
        <v>780</v>
      </c>
      <c r="N5" s="36" t="s">
        <v>773</v>
      </c>
      <c r="O5" s="26"/>
      <c r="Q5" s="16" t="s">
        <v>15</v>
      </c>
      <c r="R5" s="16" t="s">
        <v>39</v>
      </c>
      <c r="S5" s="16" t="s">
        <v>1</v>
      </c>
      <c r="T5" s="16" t="s">
        <v>2</v>
      </c>
      <c r="U5" s="16" t="s">
        <v>18</v>
      </c>
      <c r="V5" s="16" t="s">
        <v>19</v>
      </c>
      <c r="W5" s="16" t="s">
        <v>20</v>
      </c>
      <c r="X5" s="16" t="s">
        <v>21</v>
      </c>
      <c r="Y5" s="16" t="s">
        <v>22</v>
      </c>
      <c r="AB5" s="77"/>
      <c r="AC5" s="26"/>
      <c r="AD5" s="26"/>
    </row>
    <row r="6" spans="1:30" s="10" customFormat="1" ht="22.5" customHeight="1" thickBot="1" x14ac:dyDescent="0.3">
      <c r="B6" s="41" t="s">
        <v>795</v>
      </c>
      <c r="C6" s="41" t="s">
        <v>28</v>
      </c>
      <c r="D6" s="41" t="s">
        <v>32</v>
      </c>
      <c r="E6" s="41" t="s">
        <v>33</v>
      </c>
      <c r="F6" s="42"/>
      <c r="G6" s="43" t="s">
        <v>35</v>
      </c>
      <c r="H6" s="41" t="s">
        <v>821</v>
      </c>
      <c r="I6" s="41" t="s">
        <v>805</v>
      </c>
      <c r="J6" s="43" t="s">
        <v>806</v>
      </c>
      <c r="K6" s="41" t="s">
        <v>37</v>
      </c>
      <c r="L6" s="41" t="s">
        <v>38</v>
      </c>
      <c r="M6" s="41" t="s">
        <v>781</v>
      </c>
      <c r="N6" s="41" t="s">
        <v>807</v>
      </c>
      <c r="O6" s="26"/>
      <c r="Q6" s="50" t="s">
        <v>796</v>
      </c>
      <c r="R6" s="50" t="s">
        <v>42</v>
      </c>
      <c r="S6" s="50" t="s">
        <v>27</v>
      </c>
      <c r="T6" s="50" t="s">
        <v>28</v>
      </c>
      <c r="U6" s="50" t="s">
        <v>29</v>
      </c>
      <c r="V6" s="50" t="s">
        <v>30</v>
      </c>
      <c r="W6" s="50" t="s">
        <v>797</v>
      </c>
      <c r="X6" s="50" t="s">
        <v>798</v>
      </c>
      <c r="Y6" s="50" t="s">
        <v>31</v>
      </c>
      <c r="AB6" s="79"/>
      <c r="AC6" s="26"/>
      <c r="AD6" s="26"/>
    </row>
    <row r="7" spans="1:30" s="10" customFormat="1" ht="17.25" customHeight="1" x14ac:dyDescent="0.25">
      <c r="B7" s="80"/>
      <c r="C7" s="81"/>
      <c r="D7" s="81"/>
      <c r="E7" s="81" t="s">
        <v>799</v>
      </c>
      <c r="F7" s="82"/>
      <c r="G7" s="81"/>
      <c r="H7" s="81" t="str">
        <f>General!$D$19</f>
        <v>TJ/unit</v>
      </c>
      <c r="I7" s="81" t="s">
        <v>808</v>
      </c>
      <c r="J7" s="81" t="str">
        <f>General!$D$26</f>
        <v>000$/unit</v>
      </c>
      <c r="K7" s="81" t="str">
        <f>General!$D$26</f>
        <v>000$/unit</v>
      </c>
      <c r="L7" s="81" t="str">
        <f>General!$D$15</f>
        <v>$/GJ</v>
      </c>
      <c r="M7" s="81" t="str">
        <f>General!$D$21</f>
        <v>Years</v>
      </c>
      <c r="N7" s="81"/>
      <c r="O7" s="26"/>
      <c r="P7" s="26"/>
      <c r="Q7" s="26" t="s">
        <v>809</v>
      </c>
      <c r="R7" s="26"/>
      <c r="S7" s="26" t="str">
        <f>Commodities!$AD$39&amp;"_"&amp;LEFT(RIGHT(Commodities!$D$166,6),3)&amp;"_"&amp;$S$3&amp;"_ST"</f>
        <v>RSD_DTA1_CK_GAS_N_ST</v>
      </c>
      <c r="T7" s="26" t="s">
        <v>1130</v>
      </c>
      <c r="U7" s="57" t="str">
        <f>General!$B$2</f>
        <v>PJ</v>
      </c>
      <c r="V7" s="57" t="str">
        <f>General!$D$18</f>
        <v>000s_Units</v>
      </c>
      <c r="W7" s="60" t="s">
        <v>847</v>
      </c>
      <c r="X7" s="57"/>
      <c r="Y7" s="26"/>
      <c r="AB7" s="83"/>
      <c r="AC7" s="26"/>
      <c r="AD7" s="26"/>
    </row>
    <row r="8" spans="1:30" s="10" customFormat="1" ht="13.8" x14ac:dyDescent="0.25">
      <c r="B8" s="26" t="str">
        <f t="shared" ref="B8:B27" si="0">S7</f>
        <v>RSD_DTA1_CK_GAS_N_ST</v>
      </c>
      <c r="C8" s="26" t="str">
        <f t="shared" ref="C8:C27" si="1">T7</f>
        <v>Detached A1 Cook Gas Standard (N)</v>
      </c>
      <c r="D8" s="26" t="str">
        <f>Commodities!$D$166</f>
        <v>RSDGASNAT</v>
      </c>
      <c r="E8" s="26" t="str">
        <f>Commodities!$AD$39</f>
        <v>RSD_DTA1_CK</v>
      </c>
      <c r="F8" s="84">
        <f>G8</f>
        <v>2018</v>
      </c>
      <c r="G8" s="57">
        <f>BASE_YEAR+1</f>
        <v>2018</v>
      </c>
      <c r="H8" s="72"/>
      <c r="I8" s="57"/>
      <c r="J8" s="98">
        <f>0.365*(1/0.9)</f>
        <v>0.40555555555555556</v>
      </c>
      <c r="K8" s="98">
        <f>0.009125*(1/0.9)</f>
        <v>1.0138888888888888E-2</v>
      </c>
      <c r="L8" s="57"/>
      <c r="M8" s="57">
        <v>15</v>
      </c>
      <c r="N8" s="72"/>
      <c r="O8" s="26"/>
      <c r="Q8" s="26"/>
      <c r="R8" s="26"/>
      <c r="S8" s="26" t="str">
        <f>Commodities!$AD$39&amp;"_"&amp;LEFT(RIGHT(Commodities!$D$166,6),3)&amp;"_"&amp;$S$3&amp;"_IM"</f>
        <v>RSD_DTA1_CK_GAS_N_IM</v>
      </c>
      <c r="T8" s="26" t="s">
        <v>1131</v>
      </c>
      <c r="U8" s="57" t="str">
        <f>General!$B$2</f>
        <v>PJ</v>
      </c>
      <c r="V8" s="57" t="str">
        <f>General!$D$18</f>
        <v>000s_Units</v>
      </c>
      <c r="W8" s="60" t="s">
        <v>847</v>
      </c>
      <c r="X8" s="57"/>
      <c r="Y8" s="26"/>
      <c r="AB8" s="83"/>
      <c r="AC8" s="26"/>
      <c r="AD8" s="26"/>
    </row>
    <row r="9" spans="1:30" s="10" customFormat="1" ht="13.8" x14ac:dyDescent="0.25">
      <c r="B9" s="26" t="str">
        <f t="shared" si="0"/>
        <v>RSD_DTA1_CK_GAS_N_IM</v>
      </c>
      <c r="C9" s="26" t="str">
        <f t="shared" si="1"/>
        <v>Detached A1 Cook Gas Improved (N)</v>
      </c>
      <c r="D9" s="26" t="str">
        <f>Commodities!$D$166</f>
        <v>RSDGASNAT</v>
      </c>
      <c r="E9" s="26" t="str">
        <f>E8</f>
        <v>RSD_DTA1_CK</v>
      </c>
      <c r="F9" s="84">
        <f t="shared" ref="F9:F16" si="2">G9</f>
        <v>2025</v>
      </c>
      <c r="G9" s="57">
        <v>2025</v>
      </c>
      <c r="H9" s="72"/>
      <c r="I9" s="57"/>
      <c r="J9" s="98">
        <f>0.39055*(1/0.9)</f>
        <v>0.43394444444444447</v>
      </c>
      <c r="K9" s="98">
        <f>0.00976375*(1/0.9)</f>
        <v>1.0848611111111111E-2</v>
      </c>
      <c r="L9" s="57"/>
      <c r="M9" s="57">
        <v>15</v>
      </c>
      <c r="N9" s="72"/>
      <c r="O9" s="26"/>
      <c r="Q9" s="26"/>
      <c r="R9" s="26"/>
      <c r="S9" s="26" t="str">
        <f>Commodities!$AD$39&amp;"_"&amp;LEFT(RIGHT(Commodities!$D$166,6),3)&amp;"_"&amp;$S$3&amp;"_AD"</f>
        <v>RSD_DTA1_CK_GAS_N_AD</v>
      </c>
      <c r="T9" s="26" t="s">
        <v>1132</v>
      </c>
      <c r="U9" s="57" t="str">
        <f>General!$B$2</f>
        <v>PJ</v>
      </c>
      <c r="V9" s="57" t="str">
        <f>General!$D$18</f>
        <v>000s_Units</v>
      </c>
      <c r="W9" s="60" t="s">
        <v>847</v>
      </c>
      <c r="X9" s="57"/>
      <c r="Y9" s="26"/>
      <c r="AB9" s="83"/>
      <c r="AC9" s="26"/>
      <c r="AD9" s="26"/>
    </row>
    <row r="10" spans="1:30" s="10" customFormat="1" ht="13.8" x14ac:dyDescent="0.25">
      <c r="B10" s="26" t="str">
        <f t="shared" si="0"/>
        <v>RSD_DTA1_CK_GAS_N_AD</v>
      </c>
      <c r="C10" s="26" t="str">
        <f t="shared" si="1"/>
        <v>Detached A1 Cook Gas Advanced (N)</v>
      </c>
      <c r="D10" s="26" t="str">
        <f>Commodities!$D$166</f>
        <v>RSDGASNAT</v>
      </c>
      <c r="E10" s="26" t="str">
        <f t="shared" ref="E10:E16" si="3">E9</f>
        <v>RSD_DTA1_CK</v>
      </c>
      <c r="F10" s="84">
        <f t="shared" si="2"/>
        <v>2035</v>
      </c>
      <c r="G10" s="57">
        <v>2035</v>
      </c>
      <c r="H10" s="72"/>
      <c r="I10" s="57"/>
      <c r="J10" s="98">
        <f>0.4178885*(1/0.9)</f>
        <v>0.46432055555555563</v>
      </c>
      <c r="K10" s="98">
        <f>0.0104472125*(1/0.9)</f>
        <v>1.160801388888889E-2</v>
      </c>
      <c r="L10" s="57"/>
      <c r="M10" s="57">
        <v>15</v>
      </c>
      <c r="N10" s="72"/>
      <c r="O10" s="26"/>
      <c r="Q10" s="26"/>
      <c r="R10" s="26"/>
      <c r="S10" s="26" t="str">
        <f>Commodities!$AD$39&amp;"_"&amp;RIGHT(Commodities!$D$161,3)&amp;"_"&amp;$S$3&amp;"_ST"</f>
        <v>RSD_DTA1_CK_LPG_N_ST</v>
      </c>
      <c r="T10" s="26" t="s">
        <v>1133</v>
      </c>
      <c r="U10" s="57" t="str">
        <f>General!$B$2</f>
        <v>PJ</v>
      </c>
      <c r="V10" s="57" t="str">
        <f>General!$D$18</f>
        <v>000s_Units</v>
      </c>
      <c r="W10" s="57"/>
      <c r="X10" s="57"/>
      <c r="Y10" s="26"/>
      <c r="AB10" s="40"/>
    </row>
    <row r="11" spans="1:30" s="10" customFormat="1" ht="13.8" x14ac:dyDescent="0.25">
      <c r="B11" s="26" t="str">
        <f t="shared" si="0"/>
        <v>RSD_DTA1_CK_LPG_N_ST</v>
      </c>
      <c r="C11" s="26" t="str">
        <f t="shared" si="1"/>
        <v>Detached A1 Cook LPG Standard (N)</v>
      </c>
      <c r="D11" s="26" t="str">
        <f>Commodities!$D$161</f>
        <v>RSDOILLPG</v>
      </c>
      <c r="E11" s="26" t="str">
        <f t="shared" si="3"/>
        <v>RSD_DTA1_CK</v>
      </c>
      <c r="F11" s="84">
        <f>G11</f>
        <v>2018</v>
      </c>
      <c r="G11" s="57">
        <f>BASE_YEAR+1</f>
        <v>2018</v>
      </c>
      <c r="H11" s="72"/>
      <c r="I11" s="57"/>
      <c r="J11" s="98">
        <f>0.365*(1/0.9)</f>
        <v>0.40555555555555556</v>
      </c>
      <c r="K11" s="98">
        <f>0.009125*(1/0.9)</f>
        <v>1.0138888888888888E-2</v>
      </c>
      <c r="L11" s="57"/>
      <c r="M11" s="57">
        <v>15</v>
      </c>
      <c r="N11" s="72"/>
      <c r="O11" s="26"/>
      <c r="Q11" s="26"/>
      <c r="R11" s="26"/>
      <c r="S11" s="26" t="str">
        <f>Commodities!$AD$39&amp;"_"&amp;RIGHT(Commodities!$D$161,3)&amp;"_"&amp;$S$3&amp;"_IM"</f>
        <v>RSD_DTA1_CK_LPG_N_IM</v>
      </c>
      <c r="T11" s="26" t="s">
        <v>1134</v>
      </c>
      <c r="U11" s="57" t="str">
        <f>General!$B$2</f>
        <v>PJ</v>
      </c>
      <c r="V11" s="57" t="str">
        <f>General!$D$18</f>
        <v>000s_Units</v>
      </c>
      <c r="W11" s="57"/>
      <c r="X11" s="57"/>
      <c r="Y11" s="26"/>
      <c r="AB11" s="40"/>
    </row>
    <row r="12" spans="1:30" s="10" customFormat="1" ht="13.8" x14ac:dyDescent="0.25">
      <c r="A12" s="60"/>
      <c r="B12" s="26" t="str">
        <f t="shared" si="0"/>
        <v>RSD_DTA1_CK_LPG_N_IM</v>
      </c>
      <c r="C12" s="26" t="str">
        <f t="shared" si="1"/>
        <v>Detached A1 Cook LPG Improved (N)</v>
      </c>
      <c r="D12" s="26" t="str">
        <f>Commodities!$D$161</f>
        <v>RSDOILLPG</v>
      </c>
      <c r="E12" s="26" t="str">
        <f t="shared" si="3"/>
        <v>RSD_DTA1_CK</v>
      </c>
      <c r="F12" s="84">
        <f t="shared" si="2"/>
        <v>2025</v>
      </c>
      <c r="G12" s="57">
        <v>2025</v>
      </c>
      <c r="H12" s="72"/>
      <c r="I12" s="57"/>
      <c r="J12" s="98">
        <f>0.39055*(1/0.9)</f>
        <v>0.43394444444444447</v>
      </c>
      <c r="K12" s="98">
        <f>0.00976375*(1/0.9)</f>
        <v>1.0848611111111111E-2</v>
      </c>
      <c r="L12" s="60"/>
      <c r="M12" s="57">
        <v>15</v>
      </c>
      <c r="N12" s="72"/>
      <c r="O12" s="60"/>
      <c r="Q12" s="26"/>
      <c r="R12" s="26"/>
      <c r="S12" s="26" t="str">
        <f>Commodities!$AD$39&amp;"_"&amp;RIGHT(Commodities!$D$161,3)&amp;"_"&amp;$S$3&amp;"_AD"</f>
        <v>RSD_DTA1_CK_LPG_N_AD</v>
      </c>
      <c r="T12" s="26" t="s">
        <v>1135</v>
      </c>
      <c r="U12" s="57" t="str">
        <f>General!$B$2</f>
        <v>PJ</v>
      </c>
      <c r="V12" s="57" t="str">
        <f>General!$D$18</f>
        <v>000s_Units</v>
      </c>
      <c r="W12" s="57"/>
      <c r="X12" s="57"/>
      <c r="Y12" s="26"/>
      <c r="AB12" s="40"/>
    </row>
    <row r="13" spans="1:30" s="10" customFormat="1" ht="13.8" x14ac:dyDescent="0.25">
      <c r="A13" s="60"/>
      <c r="B13" s="26" t="str">
        <f t="shared" si="0"/>
        <v>RSD_DTA1_CK_LPG_N_AD</v>
      </c>
      <c r="C13" s="26" t="str">
        <f t="shared" si="1"/>
        <v>Detached A1 Cook LPG Advanced (N)</v>
      </c>
      <c r="D13" s="26" t="str">
        <f>Commodities!$D$161</f>
        <v>RSDOILLPG</v>
      </c>
      <c r="E13" s="26" t="str">
        <f t="shared" si="3"/>
        <v>RSD_DTA1_CK</v>
      </c>
      <c r="F13" s="84">
        <f t="shared" si="2"/>
        <v>2035</v>
      </c>
      <c r="G13" s="57">
        <v>2035</v>
      </c>
      <c r="H13" s="72"/>
      <c r="I13" s="57"/>
      <c r="J13" s="98">
        <f>0.4178885*(1/0.9)</f>
        <v>0.46432055555555563</v>
      </c>
      <c r="K13" s="98">
        <f>0.0104472125*(1/0.9)</f>
        <v>1.160801388888889E-2</v>
      </c>
      <c r="L13" s="60"/>
      <c r="M13" s="57">
        <v>15</v>
      </c>
      <c r="N13" s="72"/>
      <c r="O13" s="60"/>
      <c r="Q13" s="26"/>
      <c r="R13" s="26"/>
      <c r="S13" s="26" t="str">
        <f>Commodities!$AD$39&amp;"_"&amp;RIGHT(Commodities!$D$340,3)&amp;"_"&amp;$S$3&amp;"_ST"</f>
        <v>RSD_DTA1_CK_ELC_N_ST</v>
      </c>
      <c r="T13" s="26" t="s">
        <v>1136</v>
      </c>
      <c r="U13" s="57" t="str">
        <f>General!$B$2</f>
        <v>PJ</v>
      </c>
      <c r="V13" s="57" t="str">
        <f>General!$D$18</f>
        <v>000s_Units</v>
      </c>
      <c r="W13" s="57" t="s">
        <v>723</v>
      </c>
      <c r="X13" s="57"/>
      <c r="Y13" s="26"/>
      <c r="AB13" s="40"/>
    </row>
    <row r="14" spans="1:30" s="10" customFormat="1" ht="13.8" x14ac:dyDescent="0.25">
      <c r="A14" s="60"/>
      <c r="B14" s="26" t="str">
        <f t="shared" si="0"/>
        <v>RSD_DTA1_CK_ELC_N_ST</v>
      </c>
      <c r="C14" s="26" t="str">
        <f t="shared" si="1"/>
        <v>Detached A1 Cook Electric Standard (N)</v>
      </c>
      <c r="D14" s="26" t="str">
        <f>Commodities!$D$341</f>
        <v>RSDELC</v>
      </c>
      <c r="E14" s="26" t="str">
        <f t="shared" si="3"/>
        <v>RSD_DTA1_CK</v>
      </c>
      <c r="F14" s="84">
        <f>G14</f>
        <v>2018</v>
      </c>
      <c r="G14" s="57">
        <f>BASE_YEAR+1</f>
        <v>2018</v>
      </c>
      <c r="H14" s="72"/>
      <c r="I14" s="57"/>
      <c r="J14" s="98">
        <f>0.381*(1/0.9)</f>
        <v>0.42333333333333334</v>
      </c>
      <c r="K14" s="98">
        <f>0.028575*(1/0.9)</f>
        <v>3.175E-2</v>
      </c>
      <c r="L14" s="60"/>
      <c r="M14" s="57">
        <v>15</v>
      </c>
      <c r="N14" s="72"/>
      <c r="O14" s="60"/>
      <c r="Q14" s="26"/>
      <c r="R14" s="26"/>
      <c r="S14" s="26" t="str">
        <f>Commodities!$AD$39&amp;"_"&amp;RIGHT(Commodities!$D$340,3)&amp;"_"&amp;$S$3&amp;"_IM"</f>
        <v>RSD_DTA1_CK_ELC_N_IM</v>
      </c>
      <c r="T14" s="26" t="s">
        <v>1137</v>
      </c>
      <c r="U14" s="57" t="str">
        <f>General!$B$2</f>
        <v>PJ</v>
      </c>
      <c r="V14" s="57" t="str">
        <f>General!$D$18</f>
        <v>000s_Units</v>
      </c>
      <c r="W14" s="57" t="s">
        <v>723</v>
      </c>
      <c r="X14" s="57"/>
      <c r="Y14" s="26"/>
      <c r="AB14" s="40"/>
    </row>
    <row r="15" spans="1:30" ht="13.8" x14ac:dyDescent="0.25">
      <c r="B15" s="26" t="str">
        <f t="shared" si="0"/>
        <v>RSD_DTA1_CK_ELC_N_IM</v>
      </c>
      <c r="C15" s="26" t="str">
        <f t="shared" si="1"/>
        <v>Detached A1 Cook Electric Improved (N)</v>
      </c>
      <c r="D15" s="26" t="str">
        <f>Commodities!$D$341</f>
        <v>RSDELC</v>
      </c>
      <c r="E15" s="26" t="str">
        <f t="shared" si="3"/>
        <v>RSD_DTA1_CK</v>
      </c>
      <c r="F15" s="84">
        <f t="shared" si="2"/>
        <v>2025</v>
      </c>
      <c r="G15" s="57">
        <v>2025</v>
      </c>
      <c r="H15" s="72"/>
      <c r="I15" s="57"/>
      <c r="J15" s="98">
        <f>0.40767*(1/0.9)</f>
        <v>0.45296666666666674</v>
      </c>
      <c r="K15" s="98">
        <f>0.03057525*(1/0.9)</f>
        <v>3.3972500000000003E-2</v>
      </c>
      <c r="M15" s="57">
        <v>15</v>
      </c>
      <c r="N15" s="72"/>
      <c r="Q15" s="11"/>
      <c r="R15" s="11"/>
      <c r="S15" s="11" t="str">
        <f>Commodities!$AD$39&amp;"_"&amp;RIGHT(Commodities!$D$340,3)&amp;"_"&amp;$S$3&amp;"_AD"</f>
        <v>RSD_DTA1_CK_ELC_N_AD</v>
      </c>
      <c r="T15" s="11" t="s">
        <v>1138</v>
      </c>
      <c r="U15" s="22" t="str">
        <f>General!$B$2</f>
        <v>PJ</v>
      </c>
      <c r="V15" s="22" t="str">
        <f>General!$D$18</f>
        <v>000s_Units</v>
      </c>
      <c r="W15" s="22" t="s">
        <v>723</v>
      </c>
      <c r="X15" s="22"/>
      <c r="Y15" s="11"/>
      <c r="Z15" s="10"/>
      <c r="AA15" s="10"/>
    </row>
    <row r="16" spans="1:30" ht="13.8" x14ac:dyDescent="0.25">
      <c r="B16" s="11" t="str">
        <f t="shared" si="0"/>
        <v>RSD_DTA1_CK_ELC_N_AD</v>
      </c>
      <c r="C16" s="11" t="str">
        <f t="shared" si="1"/>
        <v>Detached A1 Cook Electric Advanced (N)</v>
      </c>
      <c r="D16" s="11" t="str">
        <f>Commodities!$D$341</f>
        <v>RSDELC</v>
      </c>
      <c r="E16" s="11" t="str">
        <f t="shared" si="3"/>
        <v>RSD_DTA1_CK</v>
      </c>
      <c r="F16" s="89">
        <f t="shared" si="2"/>
        <v>2035</v>
      </c>
      <c r="G16" s="64">
        <v>2035</v>
      </c>
      <c r="H16" s="73"/>
      <c r="I16" s="109"/>
      <c r="J16" s="99">
        <f>0.4362069*(1/0.9)</f>
        <v>0.48467433333333337</v>
      </c>
      <c r="K16" s="99">
        <f>0.0327155175*(1/0.9)</f>
        <v>3.635057500000001E-2</v>
      </c>
      <c r="L16" s="110"/>
      <c r="M16" s="22">
        <v>15</v>
      </c>
      <c r="N16" s="73"/>
      <c r="Q16" s="26"/>
      <c r="R16" s="26"/>
      <c r="S16" s="26" t="str">
        <f>Commodities!$AD$40&amp;"_"&amp;LEFT(RIGHT(Commodities!$D$166,6),3)&amp;"_"&amp;$S$3&amp;"_ST"</f>
        <v>RSD_APA1_CK_GAS_N_ST</v>
      </c>
      <c r="T16" s="26" t="s">
        <v>1139</v>
      </c>
      <c r="U16" s="57" t="str">
        <f>General!$B$2</f>
        <v>PJ</v>
      </c>
      <c r="V16" s="57" t="str">
        <f>General!$D$18</f>
        <v>000s_Units</v>
      </c>
      <c r="W16" s="60" t="s">
        <v>847</v>
      </c>
      <c r="X16" s="57"/>
      <c r="Y16" s="26"/>
    </row>
    <row r="17" spans="2:25" ht="13.8" x14ac:dyDescent="0.25">
      <c r="B17" s="26" t="str">
        <f t="shared" si="0"/>
        <v>RSD_APA1_CK_GAS_N_ST</v>
      </c>
      <c r="C17" s="26" t="str">
        <f t="shared" si="1"/>
        <v>Apartment A1 Cook Gas Standard (N)</v>
      </c>
      <c r="D17" s="26" t="str">
        <f>Commodities!$D$166</f>
        <v>RSDGASNAT</v>
      </c>
      <c r="E17" s="26" t="str">
        <f>Commodities!$AD$40</f>
        <v>RSD_APA1_CK</v>
      </c>
      <c r="F17" s="84">
        <f>G17</f>
        <v>2018</v>
      </c>
      <c r="G17" s="57">
        <f>BASE_YEAR+1</f>
        <v>2018</v>
      </c>
      <c r="H17" s="72"/>
      <c r="I17" s="57"/>
      <c r="J17" s="98">
        <f>0.365*(1/0.9)</f>
        <v>0.40555555555555556</v>
      </c>
      <c r="K17" s="98">
        <f>0.009125*(1/0.9)</f>
        <v>1.0138888888888888E-2</v>
      </c>
      <c r="L17" s="57"/>
      <c r="M17" s="57">
        <v>15</v>
      </c>
      <c r="N17" s="72"/>
      <c r="Q17" s="26"/>
      <c r="R17" s="26"/>
      <c r="S17" s="26" t="str">
        <f>Commodities!$AD$40&amp;"_"&amp;LEFT(RIGHT(Commodities!$D$166,6),3)&amp;"_"&amp;$S$3&amp;"_IM"</f>
        <v>RSD_APA1_CK_GAS_N_IM</v>
      </c>
      <c r="T17" s="26" t="s">
        <v>1140</v>
      </c>
      <c r="U17" s="57" t="str">
        <f>General!$B$2</f>
        <v>PJ</v>
      </c>
      <c r="V17" s="57" t="str">
        <f>General!$D$18</f>
        <v>000s_Units</v>
      </c>
      <c r="W17" s="60" t="s">
        <v>847</v>
      </c>
      <c r="X17" s="57"/>
      <c r="Y17" s="26"/>
    </row>
    <row r="18" spans="2:25" ht="13.8" x14ac:dyDescent="0.25">
      <c r="B18" s="26" t="str">
        <f t="shared" si="0"/>
        <v>RSD_APA1_CK_GAS_N_IM</v>
      </c>
      <c r="C18" s="26" t="str">
        <f t="shared" si="1"/>
        <v>Apartment A1 Cook Gas Improved (N)</v>
      </c>
      <c r="D18" s="26" t="str">
        <f>Commodities!$D$166</f>
        <v>RSDGASNAT</v>
      </c>
      <c r="E18" s="26" t="str">
        <f>E17</f>
        <v>RSD_APA1_CK</v>
      </c>
      <c r="F18" s="84">
        <f t="shared" ref="F18:F19" si="4">G18</f>
        <v>2025</v>
      </c>
      <c r="G18" s="57">
        <v>2025</v>
      </c>
      <c r="H18" s="72"/>
      <c r="I18" s="57"/>
      <c r="J18" s="98">
        <f>0.39055*(1/0.9)</f>
        <v>0.43394444444444447</v>
      </c>
      <c r="K18" s="98">
        <f>0.00976375*(1/0.9)</f>
        <v>1.0848611111111111E-2</v>
      </c>
      <c r="L18" s="57"/>
      <c r="M18" s="57">
        <v>15</v>
      </c>
      <c r="N18" s="72"/>
      <c r="Q18" s="26"/>
      <c r="R18" s="26"/>
      <c r="S18" s="26" t="str">
        <f>Commodities!$AD$40&amp;"_"&amp;LEFT(RIGHT(Commodities!$D$166,6),3)&amp;"_"&amp;$S$3&amp;"_AD"</f>
        <v>RSD_APA1_CK_GAS_N_AD</v>
      </c>
      <c r="T18" s="26" t="s">
        <v>1141</v>
      </c>
      <c r="U18" s="57" t="str">
        <f>General!$B$2</f>
        <v>PJ</v>
      </c>
      <c r="V18" s="57" t="str">
        <f>General!$D$18</f>
        <v>000s_Units</v>
      </c>
      <c r="W18" s="60" t="s">
        <v>847</v>
      </c>
      <c r="X18" s="57"/>
      <c r="Y18" s="26"/>
    </row>
    <row r="19" spans="2:25" ht="13.8" x14ac:dyDescent="0.25">
      <c r="B19" s="26" t="str">
        <f t="shared" si="0"/>
        <v>RSD_APA1_CK_GAS_N_AD</v>
      </c>
      <c r="C19" s="26" t="str">
        <f t="shared" si="1"/>
        <v>Apartment A1 Cook Gas Advanced (N)</v>
      </c>
      <c r="D19" s="26" t="str">
        <f>Commodities!$D$166</f>
        <v>RSDGASNAT</v>
      </c>
      <c r="E19" s="26" t="str">
        <f t="shared" ref="E19:E25" si="5">E18</f>
        <v>RSD_APA1_CK</v>
      </c>
      <c r="F19" s="84">
        <f t="shared" si="4"/>
        <v>2035</v>
      </c>
      <c r="G19" s="57">
        <v>2035</v>
      </c>
      <c r="H19" s="72"/>
      <c r="I19" s="57"/>
      <c r="J19" s="98">
        <f>0.4178885*(1/0.9)</f>
        <v>0.46432055555555563</v>
      </c>
      <c r="K19" s="98">
        <f>0.0104472125*(1/0.9)</f>
        <v>1.160801388888889E-2</v>
      </c>
      <c r="L19" s="57"/>
      <c r="M19" s="57">
        <v>15</v>
      </c>
      <c r="N19" s="72"/>
      <c r="Q19" s="26"/>
      <c r="R19" s="26"/>
      <c r="S19" s="26" t="str">
        <f>Commodities!$AD$40&amp;"_"&amp;RIGHT(Commodities!$D$161,3)&amp;"_"&amp;$S$3&amp;"_ST"</f>
        <v>RSD_APA1_CK_LPG_N_ST</v>
      </c>
      <c r="T19" s="26" t="s">
        <v>1142</v>
      </c>
      <c r="U19" s="57" t="str">
        <f>General!$B$2</f>
        <v>PJ</v>
      </c>
      <c r="V19" s="57" t="str">
        <f>General!$D$18</f>
        <v>000s_Units</v>
      </c>
      <c r="W19" s="57"/>
      <c r="X19" s="57"/>
      <c r="Y19" s="26"/>
    </row>
    <row r="20" spans="2:25" ht="13.8" x14ac:dyDescent="0.25">
      <c r="B20" s="26" t="str">
        <f t="shared" si="0"/>
        <v>RSD_APA1_CK_LPG_N_ST</v>
      </c>
      <c r="C20" s="26" t="str">
        <f t="shared" si="1"/>
        <v>Apartment A1 Cook LPG Standard (N)</v>
      </c>
      <c r="D20" s="26" t="str">
        <f>Commodities!$D$161</f>
        <v>RSDOILLPG</v>
      </c>
      <c r="E20" s="26" t="str">
        <f t="shared" si="5"/>
        <v>RSD_APA1_CK</v>
      </c>
      <c r="F20" s="84">
        <f>G20</f>
        <v>2018</v>
      </c>
      <c r="G20" s="57">
        <f>BASE_YEAR+1</f>
        <v>2018</v>
      </c>
      <c r="H20" s="72"/>
      <c r="I20" s="57"/>
      <c r="J20" s="98">
        <f>0.365*(1/0.9)</f>
        <v>0.40555555555555556</v>
      </c>
      <c r="K20" s="98">
        <f>0.009125*(1/0.9)</f>
        <v>1.0138888888888888E-2</v>
      </c>
      <c r="L20" s="57"/>
      <c r="M20" s="57">
        <v>15</v>
      </c>
      <c r="N20" s="72"/>
      <c r="Q20" s="26"/>
      <c r="R20" s="26"/>
      <c r="S20" s="26" t="str">
        <f>Commodities!$AD$40&amp;"_"&amp;RIGHT(Commodities!$D$161,3)&amp;"_"&amp;$S$3&amp;"_IM"</f>
        <v>RSD_APA1_CK_LPG_N_IM</v>
      </c>
      <c r="T20" s="26" t="s">
        <v>1143</v>
      </c>
      <c r="U20" s="57" t="str">
        <f>General!$B$2</f>
        <v>PJ</v>
      </c>
      <c r="V20" s="57" t="str">
        <f>General!$D$18</f>
        <v>000s_Units</v>
      </c>
      <c r="W20" s="57"/>
      <c r="X20" s="57"/>
      <c r="Y20" s="26"/>
    </row>
    <row r="21" spans="2:25" ht="13.8" x14ac:dyDescent="0.25">
      <c r="B21" s="26" t="str">
        <f t="shared" si="0"/>
        <v>RSD_APA1_CK_LPG_N_IM</v>
      </c>
      <c r="C21" s="26" t="str">
        <f t="shared" si="1"/>
        <v>Apartment A1 Cook LPG Improved (N)</v>
      </c>
      <c r="D21" s="26" t="str">
        <f>Commodities!$D$161</f>
        <v>RSDOILLPG</v>
      </c>
      <c r="E21" s="26" t="str">
        <f t="shared" si="5"/>
        <v>RSD_APA1_CK</v>
      </c>
      <c r="F21" s="84">
        <f t="shared" ref="F21:F22" si="6">G21</f>
        <v>2025</v>
      </c>
      <c r="G21" s="57">
        <v>2025</v>
      </c>
      <c r="H21" s="72"/>
      <c r="I21" s="57"/>
      <c r="J21" s="98">
        <f>0.39055*(1/0.9)</f>
        <v>0.43394444444444447</v>
      </c>
      <c r="K21" s="98">
        <f>0.00976375*(1/0.9)</f>
        <v>1.0848611111111111E-2</v>
      </c>
      <c r="M21" s="57">
        <v>15</v>
      </c>
      <c r="N21" s="72"/>
      <c r="Q21" s="26"/>
      <c r="R21" s="26"/>
      <c r="S21" s="26" t="str">
        <f>Commodities!$AD$40&amp;"_"&amp;RIGHT(Commodities!$D$161,3)&amp;"_"&amp;$S$3&amp;"_AD"</f>
        <v>RSD_APA1_CK_LPG_N_AD</v>
      </c>
      <c r="T21" s="26" t="s">
        <v>1144</v>
      </c>
      <c r="U21" s="57" t="str">
        <f>General!$B$2</f>
        <v>PJ</v>
      </c>
      <c r="V21" s="57" t="str">
        <f>General!$D$18</f>
        <v>000s_Units</v>
      </c>
      <c r="W21" s="57"/>
      <c r="X21" s="57"/>
      <c r="Y21" s="26"/>
    </row>
    <row r="22" spans="2:25" ht="13.8" x14ac:dyDescent="0.25">
      <c r="B22" s="26" t="str">
        <f t="shared" si="0"/>
        <v>RSD_APA1_CK_LPG_N_AD</v>
      </c>
      <c r="C22" s="26" t="str">
        <f t="shared" si="1"/>
        <v>Apartment A1 Cook LPG Advanced (N)</v>
      </c>
      <c r="D22" s="26" t="str">
        <f>Commodities!$D$161</f>
        <v>RSDOILLPG</v>
      </c>
      <c r="E22" s="26" t="str">
        <f t="shared" si="5"/>
        <v>RSD_APA1_CK</v>
      </c>
      <c r="F22" s="84">
        <f t="shared" si="6"/>
        <v>2035</v>
      </c>
      <c r="G22" s="57">
        <v>2035</v>
      </c>
      <c r="H22" s="72"/>
      <c r="I22" s="57"/>
      <c r="J22" s="98">
        <f>0.4178885*(1/0.9)</f>
        <v>0.46432055555555563</v>
      </c>
      <c r="K22" s="98">
        <f>0.0104472125*(1/0.9)</f>
        <v>1.160801388888889E-2</v>
      </c>
      <c r="M22" s="57">
        <v>15</v>
      </c>
      <c r="N22" s="72"/>
      <c r="Q22" s="26"/>
      <c r="R22" s="26"/>
      <c r="S22" s="26" t="str">
        <f>Commodities!$AD$40&amp;"_"&amp;RIGHT(Commodities!$D$340,3)&amp;"_"&amp;$S$3&amp;"_ST"</f>
        <v>RSD_APA1_CK_ELC_N_ST</v>
      </c>
      <c r="T22" s="26" t="s">
        <v>1145</v>
      </c>
      <c r="U22" s="57" t="str">
        <f>General!$B$2</f>
        <v>PJ</v>
      </c>
      <c r="V22" s="57" t="str">
        <f>General!$D$18</f>
        <v>000s_Units</v>
      </c>
      <c r="W22" s="57" t="s">
        <v>723</v>
      </c>
      <c r="X22" s="57"/>
      <c r="Y22" s="26"/>
    </row>
    <row r="23" spans="2:25" ht="13.8" x14ac:dyDescent="0.25">
      <c r="B23" s="26" t="str">
        <f t="shared" si="0"/>
        <v>RSD_APA1_CK_ELC_N_ST</v>
      </c>
      <c r="C23" s="26" t="str">
        <f t="shared" si="1"/>
        <v>Apartment A1 Cook Electric Standard (N)</v>
      </c>
      <c r="D23" s="26" t="str">
        <f>Commodities!$D$341</f>
        <v>RSDELC</v>
      </c>
      <c r="E23" s="26" t="str">
        <f t="shared" si="5"/>
        <v>RSD_APA1_CK</v>
      </c>
      <c r="F23" s="84">
        <f>G23</f>
        <v>2018</v>
      </c>
      <c r="G23" s="57">
        <f>BASE_YEAR+1</f>
        <v>2018</v>
      </c>
      <c r="H23" s="72"/>
      <c r="I23" s="57"/>
      <c r="J23" s="98">
        <f>0.381*(1/0.9)</f>
        <v>0.42333333333333334</v>
      </c>
      <c r="K23" s="98">
        <f>0.028575*(1/0.9)</f>
        <v>3.175E-2</v>
      </c>
      <c r="M23" s="57">
        <v>15</v>
      </c>
      <c r="N23" s="72"/>
      <c r="Q23" s="26"/>
      <c r="R23" s="26"/>
      <c r="S23" s="26" t="str">
        <f>Commodities!$AD$40&amp;"_"&amp;RIGHT(Commodities!$D$340,3)&amp;"_"&amp;$S$3&amp;"_IM"</f>
        <v>RSD_APA1_CK_ELC_N_IM</v>
      </c>
      <c r="T23" s="26" t="s">
        <v>1146</v>
      </c>
      <c r="U23" s="57" t="str">
        <f>General!$B$2</f>
        <v>PJ</v>
      </c>
      <c r="V23" s="57" t="str">
        <f>General!$D$18</f>
        <v>000s_Units</v>
      </c>
      <c r="W23" s="57" t="s">
        <v>723</v>
      </c>
      <c r="X23" s="57"/>
      <c r="Y23" s="26"/>
    </row>
    <row r="24" spans="2:25" ht="13.8" x14ac:dyDescent="0.25">
      <c r="B24" s="26" t="str">
        <f t="shared" si="0"/>
        <v>RSD_APA1_CK_ELC_N_IM</v>
      </c>
      <c r="C24" s="26" t="str">
        <f t="shared" si="1"/>
        <v>Apartment A1 Cook Electric Improved (N)</v>
      </c>
      <c r="D24" s="26" t="str">
        <f>Commodities!$D$341</f>
        <v>RSDELC</v>
      </c>
      <c r="E24" s="26" t="str">
        <f t="shared" si="5"/>
        <v>RSD_APA1_CK</v>
      </c>
      <c r="F24" s="84">
        <f t="shared" ref="F24:F25" si="7">G24</f>
        <v>2025</v>
      </c>
      <c r="G24" s="57">
        <v>2025</v>
      </c>
      <c r="H24" s="72"/>
      <c r="I24" s="57"/>
      <c r="J24" s="98">
        <f>0.40767*(1/0.9)</f>
        <v>0.45296666666666674</v>
      </c>
      <c r="K24" s="98">
        <f>0.03057525*(1/0.9)</f>
        <v>3.3972500000000003E-2</v>
      </c>
      <c r="M24" s="57">
        <v>15</v>
      </c>
      <c r="N24" s="72"/>
      <c r="Q24" s="11"/>
      <c r="R24" s="11"/>
      <c r="S24" s="11" t="str">
        <f>Commodities!$AD$40&amp;"_"&amp;RIGHT(Commodities!$D$340,3)&amp;"_"&amp;$S$3&amp;"_AD"</f>
        <v>RSD_APA1_CK_ELC_N_AD</v>
      </c>
      <c r="T24" s="11" t="s">
        <v>1147</v>
      </c>
      <c r="U24" s="22" t="str">
        <f>General!$B$2</f>
        <v>PJ</v>
      </c>
      <c r="V24" s="22" t="str">
        <f>General!$D$18</f>
        <v>000s_Units</v>
      </c>
      <c r="W24" s="22" t="s">
        <v>723</v>
      </c>
      <c r="X24" s="22"/>
      <c r="Y24" s="11"/>
    </row>
    <row r="25" spans="2:25" ht="13.8" x14ac:dyDescent="0.25">
      <c r="B25" s="11" t="str">
        <f t="shared" si="0"/>
        <v>RSD_APA1_CK_ELC_N_AD</v>
      </c>
      <c r="C25" s="11" t="str">
        <f t="shared" si="1"/>
        <v>Apartment A1 Cook Electric Advanced (N)</v>
      </c>
      <c r="D25" s="11" t="str">
        <f>Commodities!$D$341</f>
        <v>RSDELC</v>
      </c>
      <c r="E25" s="11" t="str">
        <f t="shared" si="5"/>
        <v>RSD_APA1_CK</v>
      </c>
      <c r="F25" s="89">
        <f t="shared" si="7"/>
        <v>2035</v>
      </c>
      <c r="G25" s="64">
        <v>2035</v>
      </c>
      <c r="H25" s="73"/>
      <c r="I25" s="109"/>
      <c r="J25" s="99">
        <f>0.4362069*(1/0.9)</f>
        <v>0.48467433333333337</v>
      </c>
      <c r="K25" s="99">
        <f>0.0327155175*(1/0.9)</f>
        <v>3.635057500000001E-2</v>
      </c>
      <c r="L25" s="110"/>
      <c r="M25" s="22">
        <v>15</v>
      </c>
      <c r="N25" s="73"/>
      <c r="Q25" s="26"/>
      <c r="R25" s="26"/>
      <c r="S25" s="26" t="str">
        <f>Commodities!$AD$41&amp;"_"&amp;LEFT(RIGHT(Commodities!$D$166,6),3)&amp;"_"&amp;$S$3&amp;"_ST"</f>
        <v>RSD_DTA2_CK_GAS_N_ST</v>
      </c>
      <c r="T25" s="26" t="s">
        <v>1148</v>
      </c>
      <c r="U25" s="57" t="str">
        <f>General!$B$2</f>
        <v>PJ</v>
      </c>
      <c r="V25" s="57" t="str">
        <f>General!$D$18</f>
        <v>000s_Units</v>
      </c>
      <c r="W25" s="60" t="s">
        <v>847</v>
      </c>
      <c r="X25" s="57"/>
      <c r="Y25" s="26"/>
    </row>
    <row r="26" spans="2:25" ht="13.8" x14ac:dyDescent="0.25">
      <c r="B26" s="26" t="str">
        <f t="shared" si="0"/>
        <v>RSD_DTA2_CK_GAS_N_ST</v>
      </c>
      <c r="C26" s="26" t="str">
        <f t="shared" si="1"/>
        <v>Detached A2 Cook Gas Standard (N)</v>
      </c>
      <c r="D26" s="26" t="str">
        <f>Commodities!$D$166</f>
        <v>RSDGASNAT</v>
      </c>
      <c r="E26" s="26" t="str">
        <f>Commodities!$AD$41</f>
        <v>RSD_DTA2_CK</v>
      </c>
      <c r="F26" s="84">
        <f>G26</f>
        <v>2018</v>
      </c>
      <c r="G26" s="57">
        <f>BASE_YEAR+1</f>
        <v>2018</v>
      </c>
      <c r="H26" s="72"/>
      <c r="I26" s="57"/>
      <c r="J26" s="98">
        <f>0.365*(1/0.9)</f>
        <v>0.40555555555555556</v>
      </c>
      <c r="K26" s="98">
        <f>0.009125*(1/0.9)</f>
        <v>1.0138888888888888E-2</v>
      </c>
      <c r="L26" s="57"/>
      <c r="M26" s="57">
        <v>15</v>
      </c>
      <c r="N26" s="72"/>
      <c r="Q26" s="26"/>
      <c r="R26" s="26"/>
      <c r="S26" s="26" t="str">
        <f>Commodities!$AD$41&amp;"_"&amp;LEFT(RIGHT(Commodities!$D$166,6),3)&amp;"_"&amp;$S$3&amp;"_IM"</f>
        <v>RSD_DTA2_CK_GAS_N_IM</v>
      </c>
      <c r="T26" s="26" t="s">
        <v>1149</v>
      </c>
      <c r="U26" s="57" t="str">
        <f>General!$B$2</f>
        <v>PJ</v>
      </c>
      <c r="V26" s="57" t="str">
        <f>General!$D$18</f>
        <v>000s_Units</v>
      </c>
      <c r="W26" s="60" t="s">
        <v>847</v>
      </c>
      <c r="X26" s="57"/>
      <c r="Y26" s="26"/>
    </row>
    <row r="27" spans="2:25" ht="13.8" x14ac:dyDescent="0.25">
      <c r="B27" s="26" t="str">
        <f t="shared" si="0"/>
        <v>RSD_DTA2_CK_GAS_N_IM</v>
      </c>
      <c r="C27" s="26" t="str">
        <f t="shared" si="1"/>
        <v>Detached A2 Cook Gas Improved (N)</v>
      </c>
      <c r="D27" s="26" t="str">
        <f>Commodities!$D$166</f>
        <v>RSDGASNAT</v>
      </c>
      <c r="E27" s="26" t="str">
        <f>E26</f>
        <v>RSD_DTA2_CK</v>
      </c>
      <c r="F27" s="84">
        <f t="shared" ref="F27:F28" si="8">G27</f>
        <v>2025</v>
      </c>
      <c r="G27" s="57">
        <v>2025</v>
      </c>
      <c r="H27" s="72"/>
      <c r="I27" s="57"/>
      <c r="J27" s="98">
        <f>0.39055*(1/0.9)</f>
        <v>0.43394444444444447</v>
      </c>
      <c r="K27" s="98">
        <f>0.00976375*(1/0.9)</f>
        <v>1.0848611111111111E-2</v>
      </c>
      <c r="L27" s="57"/>
      <c r="M27" s="57">
        <v>15</v>
      </c>
      <c r="N27" s="72"/>
      <c r="Q27" s="26"/>
      <c r="R27" s="26"/>
      <c r="S27" s="26" t="str">
        <f>Commodities!$AD$41&amp;"_"&amp;LEFT(RIGHT(Commodities!$D$166,6),3)&amp;"_"&amp;$S$3&amp;"_AD"</f>
        <v>RSD_DTA2_CK_GAS_N_AD</v>
      </c>
      <c r="T27" s="26" t="s">
        <v>1150</v>
      </c>
      <c r="U27" s="57" t="str">
        <f>General!$B$2</f>
        <v>PJ</v>
      </c>
      <c r="V27" s="57" t="str">
        <f>General!$D$18</f>
        <v>000s_Units</v>
      </c>
      <c r="W27" s="60" t="s">
        <v>847</v>
      </c>
      <c r="X27" s="57"/>
      <c r="Y27" s="26"/>
    </row>
    <row r="28" spans="2:25" ht="13.8" x14ac:dyDescent="0.25">
      <c r="B28" s="26" t="str">
        <f t="shared" ref="B28:B35" si="9">S27</f>
        <v>RSD_DTA2_CK_GAS_N_AD</v>
      </c>
      <c r="C28" s="26" t="str">
        <f t="shared" ref="C28:C35" si="10">T27</f>
        <v>Detached A2 Cook Gas Advanced (N)</v>
      </c>
      <c r="D28" s="26" t="str">
        <f>Commodities!$D$166</f>
        <v>RSDGASNAT</v>
      </c>
      <c r="E28" s="26" t="str">
        <f t="shared" ref="E28:E34" si="11">E27</f>
        <v>RSD_DTA2_CK</v>
      </c>
      <c r="F28" s="84">
        <f t="shared" si="8"/>
        <v>2035</v>
      </c>
      <c r="G28" s="57">
        <v>2035</v>
      </c>
      <c r="H28" s="72"/>
      <c r="I28" s="57"/>
      <c r="J28" s="98">
        <f>0.4178885*(1/0.9)</f>
        <v>0.46432055555555563</v>
      </c>
      <c r="K28" s="98">
        <f>0.0104472125*(1/0.9)</f>
        <v>1.160801388888889E-2</v>
      </c>
      <c r="L28" s="57"/>
      <c r="M28" s="57">
        <v>15</v>
      </c>
      <c r="N28" s="72"/>
      <c r="Q28" s="26"/>
      <c r="R28" s="26"/>
      <c r="S28" s="26" t="str">
        <f>Commodities!$AD$41&amp;"_"&amp;RIGHT(Commodities!$D$161,3)&amp;"_"&amp;$S$3&amp;"_ST"</f>
        <v>RSD_DTA2_CK_LPG_N_ST</v>
      </c>
      <c r="T28" s="26" t="s">
        <v>1151</v>
      </c>
      <c r="U28" s="57" t="str">
        <f>General!$B$2</f>
        <v>PJ</v>
      </c>
      <c r="V28" s="57" t="str">
        <f>General!$D$18</f>
        <v>000s_Units</v>
      </c>
      <c r="W28" s="57"/>
      <c r="X28" s="57"/>
      <c r="Y28" s="26"/>
    </row>
    <row r="29" spans="2:25" ht="13.8" x14ac:dyDescent="0.25">
      <c r="B29" s="26" t="str">
        <f t="shared" si="9"/>
        <v>RSD_DTA2_CK_LPG_N_ST</v>
      </c>
      <c r="C29" s="26" t="str">
        <f t="shared" si="10"/>
        <v>Detached A2 Cook LPG Standard (N)</v>
      </c>
      <c r="D29" s="26" t="str">
        <f>Commodities!$D$161</f>
        <v>RSDOILLPG</v>
      </c>
      <c r="E29" s="26" t="str">
        <f t="shared" si="11"/>
        <v>RSD_DTA2_CK</v>
      </c>
      <c r="F29" s="84">
        <f>G29</f>
        <v>2018</v>
      </c>
      <c r="G29" s="57">
        <f>BASE_YEAR+1</f>
        <v>2018</v>
      </c>
      <c r="H29" s="72"/>
      <c r="I29" s="57"/>
      <c r="J29" s="98">
        <f>0.365*(1/0.9)</f>
        <v>0.40555555555555556</v>
      </c>
      <c r="K29" s="98">
        <f>0.009125*(1/0.9)</f>
        <v>1.0138888888888888E-2</v>
      </c>
      <c r="L29" s="57"/>
      <c r="M29" s="57">
        <v>15</v>
      </c>
      <c r="N29" s="72"/>
      <c r="Q29" s="26"/>
      <c r="R29" s="26"/>
      <c r="S29" s="26" t="str">
        <f>Commodities!$AD$41&amp;"_"&amp;RIGHT(Commodities!$D$161,3)&amp;"_"&amp;$S$3&amp;"_IM"</f>
        <v>RSD_DTA2_CK_LPG_N_IM</v>
      </c>
      <c r="T29" s="26" t="s">
        <v>1152</v>
      </c>
      <c r="U29" s="57" t="str">
        <f>General!$B$2</f>
        <v>PJ</v>
      </c>
      <c r="V29" s="57" t="str">
        <f>General!$D$18</f>
        <v>000s_Units</v>
      </c>
      <c r="W29" s="57"/>
      <c r="X29" s="57"/>
      <c r="Y29" s="26"/>
    </row>
    <row r="30" spans="2:25" ht="13.8" x14ac:dyDescent="0.25">
      <c r="B30" s="26" t="str">
        <f t="shared" si="9"/>
        <v>RSD_DTA2_CK_LPG_N_IM</v>
      </c>
      <c r="C30" s="26" t="str">
        <f t="shared" si="10"/>
        <v>Detached A2 Cook LPG Improved (N)</v>
      </c>
      <c r="D30" s="26" t="str">
        <f>Commodities!$D$161</f>
        <v>RSDOILLPG</v>
      </c>
      <c r="E30" s="26" t="str">
        <f t="shared" si="11"/>
        <v>RSD_DTA2_CK</v>
      </c>
      <c r="F30" s="84">
        <f t="shared" ref="F30:F31" si="12">G30</f>
        <v>2025</v>
      </c>
      <c r="G30" s="57">
        <v>2025</v>
      </c>
      <c r="H30" s="72"/>
      <c r="I30" s="57"/>
      <c r="J30" s="98">
        <f>0.39055*(1/0.9)</f>
        <v>0.43394444444444447</v>
      </c>
      <c r="K30" s="98">
        <f>0.00976375*(1/0.9)</f>
        <v>1.0848611111111111E-2</v>
      </c>
      <c r="M30" s="57">
        <v>15</v>
      </c>
      <c r="N30" s="72"/>
      <c r="Q30" s="26"/>
      <c r="R30" s="26"/>
      <c r="S30" s="26" t="str">
        <f>Commodities!$AD$41&amp;"_"&amp;RIGHT(Commodities!$D$161,3)&amp;"_"&amp;$S$3&amp;"_AD"</f>
        <v>RSD_DTA2_CK_LPG_N_AD</v>
      </c>
      <c r="T30" s="26" t="s">
        <v>1153</v>
      </c>
      <c r="U30" s="57" t="str">
        <f>General!$B$2</f>
        <v>PJ</v>
      </c>
      <c r="V30" s="57" t="str">
        <f>General!$D$18</f>
        <v>000s_Units</v>
      </c>
      <c r="W30" s="57"/>
      <c r="X30" s="57"/>
      <c r="Y30" s="26"/>
    </row>
    <row r="31" spans="2:25" ht="13.8" x14ac:dyDescent="0.25">
      <c r="B31" s="26" t="str">
        <f t="shared" si="9"/>
        <v>RSD_DTA2_CK_LPG_N_AD</v>
      </c>
      <c r="C31" s="26" t="str">
        <f t="shared" si="10"/>
        <v>Detached A2 Cook LPG Advanced (N)</v>
      </c>
      <c r="D31" s="26" t="str">
        <f>Commodities!$D$161</f>
        <v>RSDOILLPG</v>
      </c>
      <c r="E31" s="26" t="str">
        <f t="shared" si="11"/>
        <v>RSD_DTA2_CK</v>
      </c>
      <c r="F31" s="84">
        <f t="shared" si="12"/>
        <v>2035</v>
      </c>
      <c r="G31" s="57">
        <v>2035</v>
      </c>
      <c r="H31" s="72"/>
      <c r="I31" s="57"/>
      <c r="J31" s="98">
        <f>0.4178885*(1/0.9)</f>
        <v>0.46432055555555563</v>
      </c>
      <c r="K31" s="98">
        <f>0.0104472125*(1/0.9)</f>
        <v>1.160801388888889E-2</v>
      </c>
      <c r="M31" s="57">
        <v>15</v>
      </c>
      <c r="N31" s="72"/>
      <c r="Q31" s="26"/>
      <c r="R31" s="26"/>
      <c r="S31" s="26" t="str">
        <f>Commodities!$AD$41&amp;"_"&amp;RIGHT(Commodities!$D$340,3)&amp;"_"&amp;$S$3&amp;"_ST"</f>
        <v>RSD_DTA2_CK_ELC_N_ST</v>
      </c>
      <c r="T31" s="26" t="s">
        <v>1154</v>
      </c>
      <c r="U31" s="57" t="str">
        <f>General!$B$2</f>
        <v>PJ</v>
      </c>
      <c r="V31" s="57" t="str">
        <f>General!$D$18</f>
        <v>000s_Units</v>
      </c>
      <c r="W31" s="57" t="s">
        <v>723</v>
      </c>
      <c r="X31" s="57"/>
      <c r="Y31" s="26"/>
    </row>
    <row r="32" spans="2:25" ht="13.8" x14ac:dyDescent="0.25">
      <c r="B32" s="26" t="str">
        <f t="shared" si="9"/>
        <v>RSD_DTA2_CK_ELC_N_ST</v>
      </c>
      <c r="C32" s="26" t="str">
        <f t="shared" si="10"/>
        <v>Detached A2 Cook Electric Standard (N)</v>
      </c>
      <c r="D32" s="26" t="str">
        <f>Commodities!$D$341</f>
        <v>RSDELC</v>
      </c>
      <c r="E32" s="26" t="str">
        <f t="shared" si="11"/>
        <v>RSD_DTA2_CK</v>
      </c>
      <c r="F32" s="84">
        <f>G32</f>
        <v>2018</v>
      </c>
      <c r="G32" s="57">
        <f>BASE_YEAR+1</f>
        <v>2018</v>
      </c>
      <c r="H32" s="72"/>
      <c r="I32" s="57"/>
      <c r="J32" s="98">
        <f>0.381*(1/0.9)</f>
        <v>0.42333333333333334</v>
      </c>
      <c r="K32" s="98">
        <f>0.028575*(1/0.9)</f>
        <v>3.175E-2</v>
      </c>
      <c r="M32" s="57">
        <v>15</v>
      </c>
      <c r="N32" s="72"/>
      <c r="Q32" s="26"/>
      <c r="R32" s="26"/>
      <c r="S32" s="26" t="str">
        <f>Commodities!$AD$41&amp;"_"&amp;RIGHT(Commodities!$D$340,3)&amp;"_"&amp;$S$3&amp;"_IM"</f>
        <v>RSD_DTA2_CK_ELC_N_IM</v>
      </c>
      <c r="T32" s="26" t="s">
        <v>1155</v>
      </c>
      <c r="U32" s="57" t="str">
        <f>General!$B$2</f>
        <v>PJ</v>
      </c>
      <c r="V32" s="57" t="str">
        <f>General!$D$18</f>
        <v>000s_Units</v>
      </c>
      <c r="W32" s="57" t="s">
        <v>723</v>
      </c>
      <c r="X32" s="57"/>
      <c r="Y32" s="26"/>
    </row>
    <row r="33" spans="2:25" ht="13.8" x14ac:dyDescent="0.25">
      <c r="B33" s="26" t="str">
        <f t="shared" si="9"/>
        <v>RSD_DTA2_CK_ELC_N_IM</v>
      </c>
      <c r="C33" s="26" t="str">
        <f t="shared" si="10"/>
        <v>Detached A2 Cook Electric Improved (N)</v>
      </c>
      <c r="D33" s="26" t="str">
        <f>Commodities!$D$341</f>
        <v>RSDELC</v>
      </c>
      <c r="E33" s="26" t="str">
        <f t="shared" si="11"/>
        <v>RSD_DTA2_CK</v>
      </c>
      <c r="F33" s="84">
        <f t="shared" ref="F33:F34" si="13">G33</f>
        <v>2025</v>
      </c>
      <c r="G33" s="57">
        <v>2025</v>
      </c>
      <c r="H33" s="72"/>
      <c r="I33" s="57"/>
      <c r="J33" s="98">
        <f>0.40767*(1/0.9)</f>
        <v>0.45296666666666674</v>
      </c>
      <c r="K33" s="98">
        <f>0.03057525*(1/0.9)</f>
        <v>3.3972500000000003E-2</v>
      </c>
      <c r="M33" s="57">
        <v>15</v>
      </c>
      <c r="N33" s="72"/>
      <c r="Q33" s="11"/>
      <c r="R33" s="11"/>
      <c r="S33" s="11" t="str">
        <f>Commodities!$AD$41&amp;"_"&amp;RIGHT(Commodities!$D$340,3)&amp;"_"&amp;$S$3&amp;"_AD"</f>
        <v>RSD_DTA2_CK_ELC_N_AD</v>
      </c>
      <c r="T33" s="11" t="s">
        <v>1156</v>
      </c>
      <c r="U33" s="22" t="str">
        <f>General!$B$2</f>
        <v>PJ</v>
      </c>
      <c r="V33" s="22" t="str">
        <f>General!$D$18</f>
        <v>000s_Units</v>
      </c>
      <c r="W33" s="22" t="s">
        <v>723</v>
      </c>
      <c r="X33" s="22"/>
      <c r="Y33" s="11"/>
    </row>
    <row r="34" spans="2:25" ht="13.8" x14ac:dyDescent="0.25">
      <c r="B34" s="11" t="str">
        <f t="shared" si="9"/>
        <v>RSD_DTA2_CK_ELC_N_AD</v>
      </c>
      <c r="C34" s="11" t="str">
        <f t="shared" si="10"/>
        <v>Detached A2 Cook Electric Advanced (N)</v>
      </c>
      <c r="D34" s="11" t="str">
        <f>Commodities!$D$341</f>
        <v>RSDELC</v>
      </c>
      <c r="E34" s="11" t="str">
        <f t="shared" si="11"/>
        <v>RSD_DTA2_CK</v>
      </c>
      <c r="F34" s="89">
        <f t="shared" si="13"/>
        <v>2035</v>
      </c>
      <c r="G34" s="64">
        <v>2035</v>
      </c>
      <c r="H34" s="73"/>
      <c r="I34" s="109"/>
      <c r="J34" s="99">
        <f>0.4362069*(1/0.9)</f>
        <v>0.48467433333333337</v>
      </c>
      <c r="K34" s="99">
        <f>0.0327155175*(1/0.9)</f>
        <v>3.635057500000001E-2</v>
      </c>
      <c r="L34" s="110"/>
      <c r="M34" s="22">
        <v>15</v>
      </c>
      <c r="N34" s="73"/>
      <c r="Q34" s="26"/>
      <c r="R34" s="26"/>
      <c r="S34" s="26" t="str">
        <f>Commodities!$AD$42&amp;"_"&amp;LEFT(RIGHT(Commodities!$D$166,6),3)&amp;"_"&amp;$S$3&amp;"_ST"</f>
        <v>RSD_APA2_CK_GAS_N_ST</v>
      </c>
      <c r="T34" s="26" t="s">
        <v>1157</v>
      </c>
      <c r="U34" s="57" t="str">
        <f>General!$B$2</f>
        <v>PJ</v>
      </c>
      <c r="V34" s="57" t="str">
        <f>General!$D$18</f>
        <v>000s_Units</v>
      </c>
      <c r="W34" s="60" t="s">
        <v>847</v>
      </c>
      <c r="X34" s="57"/>
      <c r="Y34" s="26"/>
    </row>
    <row r="35" spans="2:25" ht="13.8" x14ac:dyDescent="0.25">
      <c r="B35" s="26" t="str">
        <f t="shared" si="9"/>
        <v>RSD_APA2_CK_GAS_N_ST</v>
      </c>
      <c r="C35" s="26" t="str">
        <f t="shared" si="10"/>
        <v>Apartment A2 Cook Gas Standard (N)</v>
      </c>
      <c r="D35" s="26" t="str">
        <f>Commodities!$D$166</f>
        <v>RSDGASNAT</v>
      </c>
      <c r="E35" s="26" t="str">
        <f>Commodities!$AD$42</f>
        <v>RSD_APA2_CK</v>
      </c>
      <c r="F35" s="84">
        <f>G35</f>
        <v>2018</v>
      </c>
      <c r="G35" s="57">
        <f>BASE_YEAR+1</f>
        <v>2018</v>
      </c>
      <c r="H35" s="72"/>
      <c r="I35" s="57"/>
      <c r="J35" s="98">
        <f>0.365*(1/0.9)</f>
        <v>0.40555555555555556</v>
      </c>
      <c r="K35" s="98">
        <f>0.009125*(1/0.9)</f>
        <v>1.0138888888888888E-2</v>
      </c>
      <c r="L35" s="57"/>
      <c r="M35" s="57">
        <v>15</v>
      </c>
      <c r="N35" s="72"/>
      <c r="Q35" s="26"/>
      <c r="R35" s="26"/>
      <c r="S35" s="26" t="str">
        <f>Commodities!$AD$42&amp;"_"&amp;LEFT(RIGHT(Commodities!$D$166,6),3)&amp;"_"&amp;$S$3&amp;"_IM"</f>
        <v>RSD_APA2_CK_GAS_N_IM</v>
      </c>
      <c r="T35" s="26" t="s">
        <v>1158</v>
      </c>
      <c r="U35" s="57" t="str">
        <f>General!$B$2</f>
        <v>PJ</v>
      </c>
      <c r="V35" s="57" t="str">
        <f>General!$D$18</f>
        <v>000s_Units</v>
      </c>
      <c r="W35" s="60" t="s">
        <v>847</v>
      </c>
      <c r="X35" s="57"/>
      <c r="Y35" s="26"/>
    </row>
    <row r="36" spans="2:25" ht="13.8" x14ac:dyDescent="0.25">
      <c r="B36" s="26" t="str">
        <f>S35</f>
        <v>RSD_APA2_CK_GAS_N_IM</v>
      </c>
      <c r="C36" s="26" t="str">
        <f>T35</f>
        <v>Apartment A2 Cook Gas Improved (N)</v>
      </c>
      <c r="D36" s="26" t="str">
        <f>Commodities!$D$166</f>
        <v>RSDGASNAT</v>
      </c>
      <c r="E36" s="26" t="str">
        <f>E35</f>
        <v>RSD_APA2_CK</v>
      </c>
      <c r="F36" s="84">
        <f t="shared" ref="F36:F37" si="14">G36</f>
        <v>2025</v>
      </c>
      <c r="G36" s="57">
        <v>2025</v>
      </c>
      <c r="H36" s="72"/>
      <c r="I36" s="57"/>
      <c r="J36" s="98">
        <f>0.39055*(1/0.9)</f>
        <v>0.43394444444444447</v>
      </c>
      <c r="K36" s="98">
        <f>0.00976375*(1/0.9)</f>
        <v>1.0848611111111111E-2</v>
      </c>
      <c r="L36" s="57"/>
      <c r="M36" s="57">
        <v>15</v>
      </c>
      <c r="N36" s="72"/>
      <c r="Q36" s="26"/>
      <c r="R36" s="26"/>
      <c r="S36" s="26" t="str">
        <f>Commodities!$AD$42&amp;"_"&amp;LEFT(RIGHT(Commodities!$D$166,6),3)&amp;"_"&amp;$S$3&amp;"_AD"</f>
        <v>RSD_APA2_CK_GAS_N_AD</v>
      </c>
      <c r="T36" s="26" t="s">
        <v>1159</v>
      </c>
      <c r="U36" s="57" t="str">
        <f>General!$B$2</f>
        <v>PJ</v>
      </c>
      <c r="V36" s="57" t="str">
        <f>General!$D$18</f>
        <v>000s_Units</v>
      </c>
      <c r="W36" s="60" t="s">
        <v>847</v>
      </c>
      <c r="X36" s="57"/>
      <c r="Y36" s="26"/>
    </row>
    <row r="37" spans="2:25" ht="13.8" x14ac:dyDescent="0.25">
      <c r="B37" s="26" t="str">
        <f t="shared" ref="B37:B44" si="15">S36</f>
        <v>RSD_APA2_CK_GAS_N_AD</v>
      </c>
      <c r="C37" s="26" t="str">
        <f t="shared" ref="C37:C44" si="16">T36</f>
        <v>Apartment A2 Cook Gas Advanced (N)</v>
      </c>
      <c r="D37" s="26" t="str">
        <f>Commodities!$D$166</f>
        <v>RSDGASNAT</v>
      </c>
      <c r="E37" s="26" t="str">
        <f t="shared" ref="E37:E43" si="17">E36</f>
        <v>RSD_APA2_CK</v>
      </c>
      <c r="F37" s="84">
        <f t="shared" si="14"/>
        <v>2035</v>
      </c>
      <c r="G37" s="57">
        <v>2035</v>
      </c>
      <c r="H37" s="72"/>
      <c r="I37" s="57"/>
      <c r="J37" s="98">
        <f>0.4178885*(1/0.9)</f>
        <v>0.46432055555555563</v>
      </c>
      <c r="K37" s="98">
        <f>0.0104472125*(1/0.9)</f>
        <v>1.160801388888889E-2</v>
      </c>
      <c r="L37" s="57"/>
      <c r="M37" s="57">
        <v>15</v>
      </c>
      <c r="N37" s="72"/>
      <c r="Q37" s="26"/>
      <c r="R37" s="26"/>
      <c r="S37" s="26" t="str">
        <f>Commodities!$AD$42&amp;"_"&amp;RIGHT(Commodities!$D$161,3)&amp;"_"&amp;$S$3&amp;"_ST"</f>
        <v>RSD_APA2_CK_LPG_N_ST</v>
      </c>
      <c r="T37" s="26" t="s">
        <v>1160</v>
      </c>
      <c r="U37" s="57" t="str">
        <f>General!$B$2</f>
        <v>PJ</v>
      </c>
      <c r="V37" s="57" t="str">
        <f>General!$D$18</f>
        <v>000s_Units</v>
      </c>
      <c r="W37" s="57"/>
      <c r="X37" s="57"/>
      <c r="Y37" s="26"/>
    </row>
    <row r="38" spans="2:25" ht="13.8" x14ac:dyDescent="0.25">
      <c r="B38" s="26" t="str">
        <f t="shared" si="15"/>
        <v>RSD_APA2_CK_LPG_N_ST</v>
      </c>
      <c r="C38" s="26" t="str">
        <f t="shared" si="16"/>
        <v>Apartment A2 Cook LPG Standard (N)</v>
      </c>
      <c r="D38" s="26" t="str">
        <f>Commodities!$D$161</f>
        <v>RSDOILLPG</v>
      </c>
      <c r="E38" s="26" t="str">
        <f t="shared" si="17"/>
        <v>RSD_APA2_CK</v>
      </c>
      <c r="F38" s="84">
        <f>G38</f>
        <v>2018</v>
      </c>
      <c r="G38" s="57">
        <f>BASE_YEAR+1</f>
        <v>2018</v>
      </c>
      <c r="H38" s="72"/>
      <c r="I38" s="57"/>
      <c r="J38" s="98">
        <f>0.365*(1/0.9)</f>
        <v>0.40555555555555556</v>
      </c>
      <c r="K38" s="98">
        <f>0.009125*(1/0.9)</f>
        <v>1.0138888888888888E-2</v>
      </c>
      <c r="L38" s="57"/>
      <c r="M38" s="57">
        <v>15</v>
      </c>
      <c r="N38" s="72"/>
      <c r="Q38" s="26"/>
      <c r="R38" s="26"/>
      <c r="S38" s="26" t="str">
        <f>Commodities!$AD$42&amp;"_"&amp;RIGHT(Commodities!$D$161,3)&amp;"_"&amp;$S$3&amp;"_IM"</f>
        <v>RSD_APA2_CK_LPG_N_IM</v>
      </c>
      <c r="T38" s="26" t="s">
        <v>1161</v>
      </c>
      <c r="U38" s="57" t="str">
        <f>General!$B$2</f>
        <v>PJ</v>
      </c>
      <c r="V38" s="57" t="str">
        <f>General!$D$18</f>
        <v>000s_Units</v>
      </c>
      <c r="W38" s="57"/>
      <c r="X38" s="57"/>
      <c r="Y38" s="26"/>
    </row>
    <row r="39" spans="2:25" ht="13.8" x14ac:dyDescent="0.25">
      <c r="B39" s="26" t="str">
        <f t="shared" si="15"/>
        <v>RSD_APA2_CK_LPG_N_IM</v>
      </c>
      <c r="C39" s="26" t="str">
        <f t="shared" si="16"/>
        <v>Apartment A2 Cook LPG Improved (N)</v>
      </c>
      <c r="D39" s="26" t="str">
        <f>Commodities!$D$161</f>
        <v>RSDOILLPG</v>
      </c>
      <c r="E39" s="26" t="str">
        <f t="shared" si="17"/>
        <v>RSD_APA2_CK</v>
      </c>
      <c r="F39" s="84">
        <f t="shared" ref="F39:F40" si="18">G39</f>
        <v>2025</v>
      </c>
      <c r="G39" s="57">
        <v>2025</v>
      </c>
      <c r="H39" s="72"/>
      <c r="I39" s="57"/>
      <c r="J39" s="98">
        <f>0.39055*(1/0.9)</f>
        <v>0.43394444444444447</v>
      </c>
      <c r="K39" s="98">
        <f>0.00976375*(1/0.9)</f>
        <v>1.0848611111111111E-2</v>
      </c>
      <c r="M39" s="57">
        <v>15</v>
      </c>
      <c r="N39" s="72"/>
      <c r="Q39" s="26"/>
      <c r="R39" s="26"/>
      <c r="S39" s="26" t="str">
        <f>Commodities!$AD$42&amp;"_"&amp;RIGHT(Commodities!$D$161,3)&amp;"_"&amp;$S$3&amp;"_AD"</f>
        <v>RSD_APA2_CK_LPG_N_AD</v>
      </c>
      <c r="T39" s="26" t="s">
        <v>1162</v>
      </c>
      <c r="U39" s="57" t="str">
        <f>General!$B$2</f>
        <v>PJ</v>
      </c>
      <c r="V39" s="57" t="str">
        <f>General!$D$18</f>
        <v>000s_Units</v>
      </c>
      <c r="W39" s="57"/>
      <c r="X39" s="57"/>
      <c r="Y39" s="26"/>
    </row>
    <row r="40" spans="2:25" ht="13.8" x14ac:dyDescent="0.25">
      <c r="B40" s="26" t="str">
        <f t="shared" si="15"/>
        <v>RSD_APA2_CK_LPG_N_AD</v>
      </c>
      <c r="C40" s="26" t="str">
        <f t="shared" si="16"/>
        <v>Apartment A2 Cook LPG Advanced (N)</v>
      </c>
      <c r="D40" s="26" t="str">
        <f>Commodities!$D$161</f>
        <v>RSDOILLPG</v>
      </c>
      <c r="E40" s="26" t="str">
        <f t="shared" si="17"/>
        <v>RSD_APA2_CK</v>
      </c>
      <c r="F40" s="84">
        <f t="shared" si="18"/>
        <v>2035</v>
      </c>
      <c r="G40" s="57">
        <v>2035</v>
      </c>
      <c r="H40" s="72"/>
      <c r="I40" s="57"/>
      <c r="J40" s="98">
        <f>0.4178885*(1/0.9)</f>
        <v>0.46432055555555563</v>
      </c>
      <c r="K40" s="98">
        <f>0.0104472125*(1/0.9)</f>
        <v>1.160801388888889E-2</v>
      </c>
      <c r="M40" s="57">
        <v>15</v>
      </c>
      <c r="N40" s="72"/>
      <c r="Q40" s="26"/>
      <c r="R40" s="26"/>
      <c r="S40" s="26" t="str">
        <f>Commodities!$AD$42&amp;"_"&amp;RIGHT(Commodities!$D$340,3)&amp;"_"&amp;$S$3&amp;"_ST"</f>
        <v>RSD_APA2_CK_ELC_N_ST</v>
      </c>
      <c r="T40" s="26" t="s">
        <v>1163</v>
      </c>
      <c r="U40" s="57" t="str">
        <f>General!$B$2</f>
        <v>PJ</v>
      </c>
      <c r="V40" s="57" t="str">
        <f>General!$D$18</f>
        <v>000s_Units</v>
      </c>
      <c r="W40" s="57" t="s">
        <v>723</v>
      </c>
      <c r="X40" s="57"/>
      <c r="Y40" s="26"/>
    </row>
    <row r="41" spans="2:25" ht="13.8" x14ac:dyDescent="0.25">
      <c r="B41" s="26" t="str">
        <f t="shared" si="15"/>
        <v>RSD_APA2_CK_ELC_N_ST</v>
      </c>
      <c r="C41" s="26" t="str">
        <f t="shared" si="16"/>
        <v>Apartment A2 Cook Electric Standard (N)</v>
      </c>
      <c r="D41" s="26" t="str">
        <f>Commodities!$D$341</f>
        <v>RSDELC</v>
      </c>
      <c r="E41" s="26" t="str">
        <f t="shared" si="17"/>
        <v>RSD_APA2_CK</v>
      </c>
      <c r="F41" s="84">
        <f>G41</f>
        <v>2018</v>
      </c>
      <c r="G41" s="57">
        <f>BASE_YEAR+1</f>
        <v>2018</v>
      </c>
      <c r="H41" s="72"/>
      <c r="I41" s="57"/>
      <c r="J41" s="98">
        <f>0.381*(1/0.9)</f>
        <v>0.42333333333333334</v>
      </c>
      <c r="K41" s="98">
        <f>0.028575*(1/0.9)</f>
        <v>3.175E-2</v>
      </c>
      <c r="M41" s="57">
        <v>15</v>
      </c>
      <c r="N41" s="72"/>
      <c r="Q41" s="26"/>
      <c r="R41" s="26"/>
      <c r="S41" s="26" t="str">
        <f>Commodities!$AD$42&amp;"_"&amp;RIGHT(Commodities!$D$340,3)&amp;"_"&amp;$S$3&amp;"_IM"</f>
        <v>RSD_APA2_CK_ELC_N_IM</v>
      </c>
      <c r="T41" s="26" t="s">
        <v>1164</v>
      </c>
      <c r="U41" s="57" t="str">
        <f>General!$B$2</f>
        <v>PJ</v>
      </c>
      <c r="V41" s="57" t="str">
        <f>General!$D$18</f>
        <v>000s_Units</v>
      </c>
      <c r="W41" s="57" t="s">
        <v>723</v>
      </c>
      <c r="X41" s="57"/>
      <c r="Y41" s="26"/>
    </row>
    <row r="42" spans="2:25" ht="13.8" x14ac:dyDescent="0.25">
      <c r="B42" s="26" t="str">
        <f t="shared" si="15"/>
        <v>RSD_APA2_CK_ELC_N_IM</v>
      </c>
      <c r="C42" s="26" t="str">
        <f t="shared" si="16"/>
        <v>Apartment A2 Cook Electric Improved (N)</v>
      </c>
      <c r="D42" s="26" t="str">
        <f>Commodities!$D$341</f>
        <v>RSDELC</v>
      </c>
      <c r="E42" s="26" t="str">
        <f t="shared" si="17"/>
        <v>RSD_APA2_CK</v>
      </c>
      <c r="F42" s="84">
        <f t="shared" ref="F42:F43" si="19">G42</f>
        <v>2025</v>
      </c>
      <c r="G42" s="57">
        <v>2025</v>
      </c>
      <c r="H42" s="72"/>
      <c r="I42" s="57"/>
      <c r="J42" s="98">
        <f>0.40767*(1/0.9)</f>
        <v>0.45296666666666674</v>
      </c>
      <c r="K42" s="98">
        <f>0.03057525*(1/0.9)</f>
        <v>3.3972500000000003E-2</v>
      </c>
      <c r="M42" s="57">
        <v>15</v>
      </c>
      <c r="N42" s="72"/>
      <c r="Q42" s="11"/>
      <c r="R42" s="11"/>
      <c r="S42" s="11" t="str">
        <f>Commodities!$AD$42&amp;"_"&amp;RIGHT(Commodities!$D$340,3)&amp;"_"&amp;$S$3&amp;"_AD"</f>
        <v>RSD_APA2_CK_ELC_N_AD</v>
      </c>
      <c r="T42" s="11" t="s">
        <v>1165</v>
      </c>
      <c r="U42" s="22" t="str">
        <f>General!$B$2</f>
        <v>PJ</v>
      </c>
      <c r="V42" s="22" t="str">
        <f>General!$D$18</f>
        <v>000s_Units</v>
      </c>
      <c r="W42" s="22" t="s">
        <v>723</v>
      </c>
      <c r="X42" s="22"/>
      <c r="Y42" s="11"/>
    </row>
    <row r="43" spans="2:25" ht="13.8" x14ac:dyDescent="0.25">
      <c r="B43" s="11" t="str">
        <f t="shared" si="15"/>
        <v>RSD_APA2_CK_ELC_N_AD</v>
      </c>
      <c r="C43" s="11" t="str">
        <f t="shared" si="16"/>
        <v>Apartment A2 Cook Electric Advanced (N)</v>
      </c>
      <c r="D43" s="11" t="str">
        <f>Commodities!$D$341</f>
        <v>RSDELC</v>
      </c>
      <c r="E43" s="11" t="str">
        <f t="shared" si="17"/>
        <v>RSD_APA2_CK</v>
      </c>
      <c r="F43" s="89">
        <f t="shared" si="19"/>
        <v>2035</v>
      </c>
      <c r="G43" s="64">
        <v>2035</v>
      </c>
      <c r="H43" s="73"/>
      <c r="I43" s="109"/>
      <c r="J43" s="99">
        <f>0.4362069*(1/0.9)</f>
        <v>0.48467433333333337</v>
      </c>
      <c r="K43" s="99">
        <f>0.0327155175*(1/0.9)</f>
        <v>3.635057500000001E-2</v>
      </c>
      <c r="L43" s="110"/>
      <c r="M43" s="22">
        <v>15</v>
      </c>
      <c r="N43" s="73"/>
      <c r="Q43" s="26"/>
      <c r="R43" s="26"/>
      <c r="S43" s="26" t="str">
        <f>Commodities!$AD$43&amp;"_"&amp;LEFT(RIGHT(Commodities!$D$166,6),3)&amp;"_"&amp;$S$3&amp;"_ST"</f>
        <v>RSD_DTA3_CK_GAS_N_ST</v>
      </c>
      <c r="T43" s="26" t="s">
        <v>1166</v>
      </c>
      <c r="U43" s="57" t="str">
        <f>General!$B$2</f>
        <v>PJ</v>
      </c>
      <c r="V43" s="57" t="str">
        <f>General!$D$18</f>
        <v>000s_Units</v>
      </c>
      <c r="W43" s="60" t="s">
        <v>847</v>
      </c>
      <c r="X43" s="57"/>
      <c r="Y43" s="26"/>
    </row>
    <row r="44" spans="2:25" ht="13.8" x14ac:dyDescent="0.25">
      <c r="B44" s="26" t="str">
        <f t="shared" si="15"/>
        <v>RSD_DTA3_CK_GAS_N_ST</v>
      </c>
      <c r="C44" s="26" t="str">
        <f t="shared" si="16"/>
        <v>Detached A3  Cook Gas Standard (N)</v>
      </c>
      <c r="D44" s="26" t="str">
        <f>Commodities!$D$166</f>
        <v>RSDGASNAT</v>
      </c>
      <c r="E44" s="26" t="str">
        <f>Commodities!$AD$43</f>
        <v>RSD_DTA3_CK</v>
      </c>
      <c r="F44" s="84">
        <f>G44</f>
        <v>2018</v>
      </c>
      <c r="G44" s="57">
        <f>BASE_YEAR+1</f>
        <v>2018</v>
      </c>
      <c r="H44" s="72"/>
      <c r="I44" s="57"/>
      <c r="J44" s="98">
        <f>0.365*(1/0.9)</f>
        <v>0.40555555555555556</v>
      </c>
      <c r="K44" s="98">
        <f>0.009125*(1/0.9)</f>
        <v>1.0138888888888888E-2</v>
      </c>
      <c r="L44" s="57"/>
      <c r="M44" s="57">
        <v>15</v>
      </c>
      <c r="N44" s="72"/>
      <c r="Q44" s="26"/>
      <c r="R44" s="26"/>
      <c r="S44" s="26" t="str">
        <f>Commodities!$AD$43&amp;"_"&amp;LEFT(RIGHT(Commodities!$D$166,6),3)&amp;"_"&amp;$S$3&amp;"_IM"</f>
        <v>RSD_DTA3_CK_GAS_N_IM</v>
      </c>
      <c r="T44" s="26" t="s">
        <v>1167</v>
      </c>
      <c r="U44" s="57" t="str">
        <f>General!$B$2</f>
        <v>PJ</v>
      </c>
      <c r="V44" s="57" t="str">
        <f>General!$D$18</f>
        <v>000s_Units</v>
      </c>
      <c r="W44" s="60" t="s">
        <v>847</v>
      </c>
      <c r="X44" s="57"/>
      <c r="Y44" s="26"/>
    </row>
    <row r="45" spans="2:25" ht="13.8" x14ac:dyDescent="0.25">
      <c r="B45" s="26" t="str">
        <f>S44</f>
        <v>RSD_DTA3_CK_GAS_N_IM</v>
      </c>
      <c r="C45" s="26" t="str">
        <f>T44</f>
        <v>Detached A3  Cook Gas Improved (N)</v>
      </c>
      <c r="D45" s="26" t="str">
        <f>Commodities!$D$166</f>
        <v>RSDGASNAT</v>
      </c>
      <c r="E45" s="26" t="str">
        <f>E44</f>
        <v>RSD_DTA3_CK</v>
      </c>
      <c r="F45" s="84">
        <f t="shared" ref="F45:F46" si="20">G45</f>
        <v>2025</v>
      </c>
      <c r="G45" s="57">
        <v>2025</v>
      </c>
      <c r="H45" s="72"/>
      <c r="I45" s="57"/>
      <c r="J45" s="98">
        <f>0.39055*(1/0.9)</f>
        <v>0.43394444444444447</v>
      </c>
      <c r="K45" s="98">
        <f>0.00976375*(1/0.9)</f>
        <v>1.0848611111111111E-2</v>
      </c>
      <c r="L45" s="57"/>
      <c r="M45" s="57">
        <v>15</v>
      </c>
      <c r="N45" s="72"/>
      <c r="Q45" s="26"/>
      <c r="R45" s="26"/>
      <c r="S45" s="26" t="str">
        <f>Commodities!$AD$43&amp;"_"&amp;LEFT(RIGHT(Commodities!$D$166,6),3)&amp;"_"&amp;$S$3&amp;"_AD"</f>
        <v>RSD_DTA3_CK_GAS_N_AD</v>
      </c>
      <c r="T45" s="26" t="s">
        <v>1168</v>
      </c>
      <c r="U45" s="57" t="str">
        <f>General!$B$2</f>
        <v>PJ</v>
      </c>
      <c r="V45" s="57" t="str">
        <f>General!$D$18</f>
        <v>000s_Units</v>
      </c>
      <c r="W45" s="60" t="s">
        <v>847</v>
      </c>
      <c r="X45" s="57"/>
      <c r="Y45" s="26"/>
    </row>
    <row r="46" spans="2:25" ht="13.8" x14ac:dyDescent="0.25">
      <c r="B46" s="26" t="str">
        <f t="shared" ref="B46:B52" si="21">S45</f>
        <v>RSD_DTA3_CK_GAS_N_AD</v>
      </c>
      <c r="C46" s="26" t="str">
        <f t="shared" ref="C46:C52" si="22">T45</f>
        <v>Detached A3  Cook Gas Advanced (N)</v>
      </c>
      <c r="D46" s="26" t="str">
        <f>Commodities!$D$166</f>
        <v>RSDGASNAT</v>
      </c>
      <c r="E46" s="26" t="str">
        <f t="shared" ref="E46:E52" si="23">E45</f>
        <v>RSD_DTA3_CK</v>
      </c>
      <c r="F46" s="84">
        <f t="shared" si="20"/>
        <v>2035</v>
      </c>
      <c r="G46" s="57">
        <v>2035</v>
      </c>
      <c r="H46" s="72"/>
      <c r="I46" s="57"/>
      <c r="J46" s="98">
        <f>0.4178885*(1/0.9)</f>
        <v>0.46432055555555563</v>
      </c>
      <c r="K46" s="98">
        <f>0.0104472125*(1/0.9)</f>
        <v>1.160801388888889E-2</v>
      </c>
      <c r="L46" s="57"/>
      <c r="M46" s="57">
        <v>15</v>
      </c>
      <c r="N46" s="72"/>
      <c r="Q46" s="26"/>
      <c r="R46" s="26"/>
      <c r="S46" s="26" t="str">
        <f>Commodities!$AD$43&amp;"_"&amp;RIGHT(Commodities!$D$161,3)&amp;"_"&amp;$S$3&amp;"_ST"</f>
        <v>RSD_DTA3_CK_LPG_N_ST</v>
      </c>
      <c r="T46" s="26" t="s">
        <v>1169</v>
      </c>
      <c r="U46" s="57" t="str">
        <f>General!$B$2</f>
        <v>PJ</v>
      </c>
      <c r="V46" s="57" t="str">
        <f>General!$D$18</f>
        <v>000s_Units</v>
      </c>
      <c r="W46" s="57"/>
      <c r="X46" s="57"/>
      <c r="Y46" s="26"/>
    </row>
    <row r="47" spans="2:25" ht="13.8" x14ac:dyDescent="0.25">
      <c r="B47" s="26" t="str">
        <f t="shared" si="21"/>
        <v>RSD_DTA3_CK_LPG_N_ST</v>
      </c>
      <c r="C47" s="26" t="str">
        <f t="shared" si="22"/>
        <v>Detached A3  Cook LPG Standard (N)</v>
      </c>
      <c r="D47" s="26" t="str">
        <f>Commodities!$D$161</f>
        <v>RSDOILLPG</v>
      </c>
      <c r="E47" s="26" t="str">
        <f t="shared" si="23"/>
        <v>RSD_DTA3_CK</v>
      </c>
      <c r="F47" s="84">
        <f>G47</f>
        <v>2018</v>
      </c>
      <c r="G47" s="57">
        <f>BASE_YEAR+1</f>
        <v>2018</v>
      </c>
      <c r="H47" s="72"/>
      <c r="I47" s="57"/>
      <c r="J47" s="98">
        <f>0.365*(1/0.9)</f>
        <v>0.40555555555555556</v>
      </c>
      <c r="K47" s="98">
        <f>0.009125*(1/0.9)</f>
        <v>1.0138888888888888E-2</v>
      </c>
      <c r="L47" s="57"/>
      <c r="M47" s="57">
        <v>15</v>
      </c>
      <c r="N47" s="72"/>
      <c r="Q47" s="26"/>
      <c r="R47" s="26"/>
      <c r="S47" s="26" t="str">
        <f>Commodities!$AD$43&amp;"_"&amp;RIGHT(Commodities!$D$161,3)&amp;"_"&amp;$S$3&amp;"_IM"</f>
        <v>RSD_DTA3_CK_LPG_N_IM</v>
      </c>
      <c r="T47" s="26" t="s">
        <v>1170</v>
      </c>
      <c r="U47" s="57" t="str">
        <f>General!$B$2</f>
        <v>PJ</v>
      </c>
      <c r="V47" s="57" t="str">
        <f>General!$D$18</f>
        <v>000s_Units</v>
      </c>
      <c r="W47" s="57"/>
      <c r="X47" s="57"/>
      <c r="Y47" s="26"/>
    </row>
    <row r="48" spans="2:25" ht="13.8" x14ac:dyDescent="0.25">
      <c r="B48" s="26" t="str">
        <f t="shared" si="21"/>
        <v>RSD_DTA3_CK_LPG_N_IM</v>
      </c>
      <c r="C48" s="26" t="str">
        <f t="shared" si="22"/>
        <v>Detached A3  Cook LPG Improved (N)</v>
      </c>
      <c r="D48" s="26" t="str">
        <f>Commodities!$D$161</f>
        <v>RSDOILLPG</v>
      </c>
      <c r="E48" s="26" t="str">
        <f t="shared" si="23"/>
        <v>RSD_DTA3_CK</v>
      </c>
      <c r="F48" s="84">
        <f t="shared" ref="F48:F49" si="24">G48</f>
        <v>2025</v>
      </c>
      <c r="G48" s="57">
        <v>2025</v>
      </c>
      <c r="H48" s="72"/>
      <c r="I48" s="57"/>
      <c r="J48" s="98">
        <f>0.39055*(1/0.9)</f>
        <v>0.43394444444444447</v>
      </c>
      <c r="K48" s="98">
        <f>0.00976375*(1/0.9)</f>
        <v>1.0848611111111111E-2</v>
      </c>
      <c r="M48" s="57">
        <v>15</v>
      </c>
      <c r="N48" s="72"/>
      <c r="Q48" s="26"/>
      <c r="R48" s="26"/>
      <c r="S48" s="26" t="str">
        <f>Commodities!$AD$43&amp;"_"&amp;RIGHT(Commodities!$D$161,3)&amp;"_"&amp;$S$3&amp;"_AD"</f>
        <v>RSD_DTA3_CK_LPG_N_AD</v>
      </c>
      <c r="T48" s="26" t="s">
        <v>1171</v>
      </c>
      <c r="U48" s="57" t="str">
        <f>General!$B$2</f>
        <v>PJ</v>
      </c>
      <c r="V48" s="57" t="str">
        <f>General!$D$18</f>
        <v>000s_Units</v>
      </c>
      <c r="W48" s="57"/>
      <c r="X48" s="57"/>
      <c r="Y48" s="26"/>
    </row>
    <row r="49" spans="2:25" ht="13.8" x14ac:dyDescent="0.25">
      <c r="B49" s="26" t="str">
        <f t="shared" si="21"/>
        <v>RSD_DTA3_CK_LPG_N_AD</v>
      </c>
      <c r="C49" s="26" t="str">
        <f t="shared" si="22"/>
        <v>Detached A3  Cook LPG Advanced (N)</v>
      </c>
      <c r="D49" s="26" t="str">
        <f>Commodities!$D$161</f>
        <v>RSDOILLPG</v>
      </c>
      <c r="E49" s="26" t="str">
        <f t="shared" si="23"/>
        <v>RSD_DTA3_CK</v>
      </c>
      <c r="F49" s="84">
        <f t="shared" si="24"/>
        <v>2035</v>
      </c>
      <c r="G49" s="57">
        <v>2035</v>
      </c>
      <c r="H49" s="72"/>
      <c r="I49" s="57"/>
      <c r="J49" s="98">
        <f>0.4178885*(1/0.9)</f>
        <v>0.46432055555555563</v>
      </c>
      <c r="K49" s="98">
        <f>0.0104472125*(1/0.9)</f>
        <v>1.160801388888889E-2</v>
      </c>
      <c r="M49" s="57">
        <v>15</v>
      </c>
      <c r="N49" s="72"/>
      <c r="Q49" s="26"/>
      <c r="R49" s="26"/>
      <c r="S49" s="26" t="str">
        <f>Commodities!$AD$43&amp;"_"&amp;RIGHT(Commodities!$D$340,3)&amp;"_"&amp;$S$3&amp;"_ST"</f>
        <v>RSD_DTA3_CK_ELC_N_ST</v>
      </c>
      <c r="T49" s="26" t="s">
        <v>1172</v>
      </c>
      <c r="U49" s="57" t="str">
        <f>General!$B$2</f>
        <v>PJ</v>
      </c>
      <c r="V49" s="57" t="str">
        <f>General!$D$18</f>
        <v>000s_Units</v>
      </c>
      <c r="W49" s="57" t="s">
        <v>723</v>
      </c>
      <c r="X49" s="57"/>
      <c r="Y49" s="26"/>
    </row>
    <row r="50" spans="2:25" ht="13.8" x14ac:dyDescent="0.25">
      <c r="B50" s="26" t="str">
        <f t="shared" si="21"/>
        <v>RSD_DTA3_CK_ELC_N_ST</v>
      </c>
      <c r="C50" s="26" t="str">
        <f t="shared" si="22"/>
        <v>Detached A3  Cook Electric Standard (N)</v>
      </c>
      <c r="D50" s="26" t="str">
        <f>Commodities!$D$341</f>
        <v>RSDELC</v>
      </c>
      <c r="E50" s="26" t="str">
        <f t="shared" si="23"/>
        <v>RSD_DTA3_CK</v>
      </c>
      <c r="F50" s="84">
        <f>G50</f>
        <v>2018</v>
      </c>
      <c r="G50" s="57">
        <f>BASE_YEAR+1</f>
        <v>2018</v>
      </c>
      <c r="H50" s="72"/>
      <c r="I50" s="57"/>
      <c r="J50" s="98">
        <f>0.381*(1/0.9)</f>
        <v>0.42333333333333334</v>
      </c>
      <c r="K50" s="98">
        <f>0.028575*(1/0.9)</f>
        <v>3.175E-2</v>
      </c>
      <c r="M50" s="57">
        <v>15</v>
      </c>
      <c r="N50" s="72"/>
      <c r="Q50" s="26"/>
      <c r="R50" s="26"/>
      <c r="S50" s="26" t="str">
        <f>Commodities!$AD$43&amp;"_"&amp;RIGHT(Commodities!$D$340,3)&amp;"_"&amp;$S$3&amp;"_IM"</f>
        <v>RSD_DTA3_CK_ELC_N_IM</v>
      </c>
      <c r="T50" s="26" t="s">
        <v>1173</v>
      </c>
      <c r="U50" s="57" t="str">
        <f>General!$B$2</f>
        <v>PJ</v>
      </c>
      <c r="V50" s="57" t="str">
        <f>General!$D$18</f>
        <v>000s_Units</v>
      </c>
      <c r="W50" s="57" t="s">
        <v>723</v>
      </c>
      <c r="X50" s="57"/>
      <c r="Y50" s="26"/>
    </row>
    <row r="51" spans="2:25" ht="13.8" x14ac:dyDescent="0.25">
      <c r="B51" s="26" t="str">
        <f t="shared" si="21"/>
        <v>RSD_DTA3_CK_ELC_N_IM</v>
      </c>
      <c r="C51" s="26" t="str">
        <f t="shared" si="22"/>
        <v>Detached A3  Cook Electric Improved (N)</v>
      </c>
      <c r="D51" s="26" t="str">
        <f>Commodities!$D$341</f>
        <v>RSDELC</v>
      </c>
      <c r="E51" s="26" t="str">
        <f t="shared" si="23"/>
        <v>RSD_DTA3_CK</v>
      </c>
      <c r="F51" s="84">
        <f t="shared" ref="F51:F52" si="25">G51</f>
        <v>2025</v>
      </c>
      <c r="G51" s="57">
        <v>2025</v>
      </c>
      <c r="H51" s="72"/>
      <c r="I51" s="57"/>
      <c r="J51" s="98">
        <f>0.40767*(1/0.9)</f>
        <v>0.45296666666666674</v>
      </c>
      <c r="K51" s="98">
        <f>0.03057525*(1/0.9)</f>
        <v>3.3972500000000003E-2</v>
      </c>
      <c r="M51" s="57">
        <v>15</v>
      </c>
      <c r="N51" s="72"/>
      <c r="Q51" s="11"/>
      <c r="R51" s="11"/>
      <c r="S51" s="11" t="str">
        <f>Commodities!$AD$43&amp;"_"&amp;RIGHT(Commodities!$D$340,3)&amp;"_"&amp;$S$3&amp;"_AD"</f>
        <v>RSD_DTA3_CK_ELC_N_AD</v>
      </c>
      <c r="T51" s="11" t="s">
        <v>1174</v>
      </c>
      <c r="U51" s="22" t="str">
        <f>General!$B$2</f>
        <v>PJ</v>
      </c>
      <c r="V51" s="22" t="str">
        <f>General!$D$18</f>
        <v>000s_Units</v>
      </c>
      <c r="W51" s="22" t="s">
        <v>723</v>
      </c>
      <c r="X51" s="22"/>
      <c r="Y51" s="11"/>
    </row>
    <row r="52" spans="2:25" ht="13.8" x14ac:dyDescent="0.25">
      <c r="B52" s="11" t="str">
        <f t="shared" si="21"/>
        <v>RSD_DTA3_CK_ELC_N_AD</v>
      </c>
      <c r="C52" s="11" t="str">
        <f t="shared" si="22"/>
        <v>Detached A3  Cook Electric Advanced (N)</v>
      </c>
      <c r="D52" s="11" t="str">
        <f>Commodities!$D$341</f>
        <v>RSDELC</v>
      </c>
      <c r="E52" s="11" t="str">
        <f t="shared" si="23"/>
        <v>RSD_DTA3_CK</v>
      </c>
      <c r="F52" s="89">
        <f t="shared" si="25"/>
        <v>2035</v>
      </c>
      <c r="G52" s="64">
        <v>2035</v>
      </c>
      <c r="H52" s="73"/>
      <c r="I52" s="109"/>
      <c r="J52" s="99">
        <f>0.4362069*(1/0.9)</f>
        <v>0.48467433333333337</v>
      </c>
      <c r="K52" s="99">
        <f>0.0327155175*(1/0.9)</f>
        <v>3.635057500000001E-2</v>
      </c>
      <c r="L52" s="110"/>
      <c r="M52" s="22">
        <v>15</v>
      </c>
      <c r="N52" s="73"/>
      <c r="Q52" s="26"/>
      <c r="R52" s="26"/>
      <c r="S52" s="26" t="str">
        <f>Commodities!$AD$44&amp;"_"&amp;LEFT(RIGHT(Commodities!$D$166,6),3)&amp;"_"&amp;$S$3&amp;"_ST"</f>
        <v>RSD_APA3_CK_GAS_N_ST</v>
      </c>
      <c r="T52" s="26" t="s">
        <v>1175</v>
      </c>
      <c r="U52" s="57" t="str">
        <f>General!$B$2</f>
        <v>PJ</v>
      </c>
      <c r="V52" s="57" t="str">
        <f>General!$D$18</f>
        <v>000s_Units</v>
      </c>
      <c r="W52" s="60" t="s">
        <v>847</v>
      </c>
      <c r="X52" s="57"/>
      <c r="Y52" s="26"/>
    </row>
    <row r="53" spans="2:25" ht="13.8" x14ac:dyDescent="0.25">
      <c r="B53" s="26" t="str">
        <f t="shared" ref="B53:B62" si="26">S52</f>
        <v>RSD_APA3_CK_GAS_N_ST</v>
      </c>
      <c r="C53" s="26" t="str">
        <f t="shared" ref="C53:C62" si="27">T52</f>
        <v>Apartment A3 Cook Gas Standard (N)</v>
      </c>
      <c r="D53" s="26" t="str">
        <f>Commodities!$D$166</f>
        <v>RSDGASNAT</v>
      </c>
      <c r="E53" s="26" t="str">
        <f>Commodities!$AD$44</f>
        <v>RSD_APA3_CK</v>
      </c>
      <c r="F53" s="84">
        <f>G53</f>
        <v>2018</v>
      </c>
      <c r="G53" s="57">
        <f>BASE_YEAR+1</f>
        <v>2018</v>
      </c>
      <c r="H53" s="72"/>
      <c r="I53" s="57"/>
      <c r="J53" s="98">
        <f>0.365*(1/0.9)</f>
        <v>0.40555555555555556</v>
      </c>
      <c r="K53" s="98">
        <f>0.009125*(1/0.9)</f>
        <v>1.0138888888888888E-2</v>
      </c>
      <c r="L53" s="57"/>
      <c r="M53" s="57">
        <v>15</v>
      </c>
      <c r="N53" s="72"/>
      <c r="Q53" s="26"/>
      <c r="R53" s="26"/>
      <c r="S53" s="26" t="str">
        <f>Commodities!$AD$44&amp;"_"&amp;LEFT(RIGHT(Commodities!$D$166,6),3)&amp;"_"&amp;$S$3&amp;"_IM"</f>
        <v>RSD_APA3_CK_GAS_N_IM</v>
      </c>
      <c r="T53" s="26" t="s">
        <v>1176</v>
      </c>
      <c r="U53" s="57" t="str">
        <f>General!$B$2</f>
        <v>PJ</v>
      </c>
      <c r="V53" s="57" t="str">
        <f>General!$D$18</f>
        <v>000s_Units</v>
      </c>
      <c r="W53" s="60" t="s">
        <v>847</v>
      </c>
      <c r="X53" s="57"/>
      <c r="Y53" s="26"/>
    </row>
    <row r="54" spans="2:25" ht="13.8" x14ac:dyDescent="0.25">
      <c r="B54" s="26" t="str">
        <f t="shared" si="26"/>
        <v>RSD_APA3_CK_GAS_N_IM</v>
      </c>
      <c r="C54" s="26" t="str">
        <f t="shared" si="27"/>
        <v>Apartment A3 Cook Gas Improved (N)</v>
      </c>
      <c r="D54" s="26" t="str">
        <f>Commodities!$D$166</f>
        <v>RSDGASNAT</v>
      </c>
      <c r="E54" s="26" t="str">
        <f>E53</f>
        <v>RSD_APA3_CK</v>
      </c>
      <c r="F54" s="84">
        <f t="shared" ref="F54:F55" si="28">G54</f>
        <v>2025</v>
      </c>
      <c r="G54" s="57">
        <v>2025</v>
      </c>
      <c r="H54" s="72"/>
      <c r="I54" s="57"/>
      <c r="J54" s="98">
        <f>0.39055*(1/0.9)</f>
        <v>0.43394444444444447</v>
      </c>
      <c r="K54" s="98">
        <f>0.00976375*(1/0.9)</f>
        <v>1.0848611111111111E-2</v>
      </c>
      <c r="L54" s="57"/>
      <c r="M54" s="57">
        <v>15</v>
      </c>
      <c r="N54" s="72"/>
      <c r="Q54" s="26"/>
      <c r="R54" s="26"/>
      <c r="S54" s="26" t="str">
        <f>Commodities!$AD$44&amp;"_"&amp;LEFT(RIGHT(Commodities!$D$166,6),3)&amp;"_"&amp;$S$3&amp;"_AD"</f>
        <v>RSD_APA3_CK_GAS_N_AD</v>
      </c>
      <c r="T54" s="26" t="s">
        <v>1177</v>
      </c>
      <c r="U54" s="57" t="str">
        <f>General!$B$2</f>
        <v>PJ</v>
      </c>
      <c r="V54" s="57" t="str">
        <f>General!$D$18</f>
        <v>000s_Units</v>
      </c>
      <c r="W54" s="60" t="s">
        <v>847</v>
      </c>
      <c r="X54" s="57"/>
      <c r="Y54" s="26"/>
    </row>
    <row r="55" spans="2:25" ht="13.8" x14ac:dyDescent="0.25">
      <c r="B55" s="26" t="str">
        <f t="shared" si="26"/>
        <v>RSD_APA3_CK_GAS_N_AD</v>
      </c>
      <c r="C55" s="26" t="str">
        <f t="shared" si="27"/>
        <v>Apartment A3 Cook Gas Advanced (N)</v>
      </c>
      <c r="D55" s="26" t="str">
        <f>Commodities!$D$166</f>
        <v>RSDGASNAT</v>
      </c>
      <c r="E55" s="26" t="str">
        <f t="shared" ref="E55:E61" si="29">E54</f>
        <v>RSD_APA3_CK</v>
      </c>
      <c r="F55" s="84">
        <f t="shared" si="28"/>
        <v>2035</v>
      </c>
      <c r="G55" s="57">
        <v>2035</v>
      </c>
      <c r="H55" s="72"/>
      <c r="I55" s="57"/>
      <c r="J55" s="98">
        <f>0.4178885*(1/0.9)</f>
        <v>0.46432055555555563</v>
      </c>
      <c r="K55" s="98">
        <f>0.0104472125*(1/0.9)</f>
        <v>1.160801388888889E-2</v>
      </c>
      <c r="L55" s="57"/>
      <c r="M55" s="57">
        <v>15</v>
      </c>
      <c r="N55" s="72"/>
      <c r="Q55" s="26"/>
      <c r="R55" s="26"/>
      <c r="S55" s="26" t="str">
        <f>Commodities!$AD$44&amp;"_"&amp;RIGHT(Commodities!$D$161,3)&amp;"_"&amp;$S$3&amp;"_ST"</f>
        <v>RSD_APA3_CK_LPG_N_ST</v>
      </c>
      <c r="T55" s="26" t="s">
        <v>1178</v>
      </c>
      <c r="U55" s="57" t="str">
        <f>General!$B$2</f>
        <v>PJ</v>
      </c>
      <c r="V55" s="57" t="str">
        <f>General!$D$18</f>
        <v>000s_Units</v>
      </c>
      <c r="W55" s="57"/>
      <c r="X55" s="57"/>
      <c r="Y55" s="26"/>
    </row>
    <row r="56" spans="2:25" ht="13.8" x14ac:dyDescent="0.25">
      <c r="B56" s="26" t="str">
        <f t="shared" si="26"/>
        <v>RSD_APA3_CK_LPG_N_ST</v>
      </c>
      <c r="C56" s="26" t="str">
        <f t="shared" si="27"/>
        <v>Apartment A3 Cook LPG Standard (N)</v>
      </c>
      <c r="D56" s="26" t="str">
        <f>Commodities!$D$161</f>
        <v>RSDOILLPG</v>
      </c>
      <c r="E56" s="26" t="str">
        <f t="shared" si="29"/>
        <v>RSD_APA3_CK</v>
      </c>
      <c r="F56" s="84">
        <f>G56</f>
        <v>2018</v>
      </c>
      <c r="G56" s="57">
        <f>BASE_YEAR+1</f>
        <v>2018</v>
      </c>
      <c r="H56" s="72"/>
      <c r="I56" s="57"/>
      <c r="J56" s="98">
        <f>0.365*(1/0.9)</f>
        <v>0.40555555555555556</v>
      </c>
      <c r="K56" s="98">
        <f>0.009125*(1/0.9)</f>
        <v>1.0138888888888888E-2</v>
      </c>
      <c r="L56" s="57"/>
      <c r="M56" s="57">
        <v>15</v>
      </c>
      <c r="N56" s="72"/>
      <c r="Q56" s="26"/>
      <c r="R56" s="26"/>
      <c r="S56" s="26" t="str">
        <f>Commodities!$AD$44&amp;"_"&amp;RIGHT(Commodities!$D$161,3)&amp;"_"&amp;$S$3&amp;"_IM"</f>
        <v>RSD_APA3_CK_LPG_N_IM</v>
      </c>
      <c r="T56" s="26" t="s">
        <v>1179</v>
      </c>
      <c r="U56" s="57" t="str">
        <f>General!$B$2</f>
        <v>PJ</v>
      </c>
      <c r="V56" s="57" t="str">
        <f>General!$D$18</f>
        <v>000s_Units</v>
      </c>
      <c r="W56" s="57"/>
      <c r="X56" s="57"/>
      <c r="Y56" s="26"/>
    </row>
    <row r="57" spans="2:25" ht="13.8" x14ac:dyDescent="0.25">
      <c r="B57" s="26" t="str">
        <f t="shared" si="26"/>
        <v>RSD_APA3_CK_LPG_N_IM</v>
      </c>
      <c r="C57" s="26" t="str">
        <f t="shared" si="27"/>
        <v>Apartment A3 Cook LPG Improved (N)</v>
      </c>
      <c r="D57" s="26" t="str">
        <f>Commodities!$D$161</f>
        <v>RSDOILLPG</v>
      </c>
      <c r="E57" s="26" t="str">
        <f t="shared" si="29"/>
        <v>RSD_APA3_CK</v>
      </c>
      <c r="F57" s="84">
        <f t="shared" ref="F57:F58" si="30">G57</f>
        <v>2025</v>
      </c>
      <c r="G57" s="57">
        <v>2025</v>
      </c>
      <c r="H57" s="72"/>
      <c r="I57" s="57"/>
      <c r="J57" s="98">
        <f>0.39055*(1/0.9)</f>
        <v>0.43394444444444447</v>
      </c>
      <c r="K57" s="98">
        <f>0.00976375*(1/0.9)</f>
        <v>1.0848611111111111E-2</v>
      </c>
      <c r="M57" s="57">
        <v>15</v>
      </c>
      <c r="N57" s="72"/>
      <c r="Q57" s="26"/>
      <c r="R57" s="26"/>
      <c r="S57" s="26" t="str">
        <f>Commodities!$AD$44&amp;"_"&amp;RIGHT(Commodities!$D$161,3)&amp;"_"&amp;$S$3&amp;"_AD"</f>
        <v>RSD_APA3_CK_LPG_N_AD</v>
      </c>
      <c r="T57" s="26" t="s">
        <v>1180</v>
      </c>
      <c r="U57" s="57" t="str">
        <f>General!$B$2</f>
        <v>PJ</v>
      </c>
      <c r="V57" s="57" t="str">
        <f>General!$D$18</f>
        <v>000s_Units</v>
      </c>
      <c r="W57" s="57"/>
      <c r="X57" s="57"/>
      <c r="Y57" s="26"/>
    </row>
    <row r="58" spans="2:25" ht="13.8" x14ac:dyDescent="0.25">
      <c r="B58" s="26" t="str">
        <f t="shared" si="26"/>
        <v>RSD_APA3_CK_LPG_N_AD</v>
      </c>
      <c r="C58" s="26" t="str">
        <f t="shared" si="27"/>
        <v>Apartment A3 Cook LPG Advanced (N)</v>
      </c>
      <c r="D58" s="26" t="str">
        <f>Commodities!$D$161</f>
        <v>RSDOILLPG</v>
      </c>
      <c r="E58" s="26" t="str">
        <f t="shared" si="29"/>
        <v>RSD_APA3_CK</v>
      </c>
      <c r="F58" s="84">
        <f t="shared" si="30"/>
        <v>2035</v>
      </c>
      <c r="G58" s="57">
        <v>2035</v>
      </c>
      <c r="H58" s="72"/>
      <c r="I58" s="57"/>
      <c r="J58" s="98">
        <f>0.4178885*(1/0.9)</f>
        <v>0.46432055555555563</v>
      </c>
      <c r="K58" s="98">
        <f>0.0104472125*(1/0.9)</f>
        <v>1.160801388888889E-2</v>
      </c>
      <c r="M58" s="57">
        <v>15</v>
      </c>
      <c r="N58" s="72"/>
      <c r="Q58" s="26"/>
      <c r="R58" s="26"/>
      <c r="S58" s="26" t="str">
        <f>Commodities!$AD$44&amp;"_"&amp;RIGHT(Commodities!$D$340,3)&amp;"_"&amp;$S$3&amp;"_ST"</f>
        <v>RSD_APA3_CK_ELC_N_ST</v>
      </c>
      <c r="T58" s="26" t="s">
        <v>1181</v>
      </c>
      <c r="U58" s="57" t="str">
        <f>General!$B$2</f>
        <v>PJ</v>
      </c>
      <c r="V58" s="57" t="str">
        <f>General!$D$18</f>
        <v>000s_Units</v>
      </c>
      <c r="W58" s="57" t="s">
        <v>723</v>
      </c>
      <c r="X58" s="57"/>
      <c r="Y58" s="26"/>
    </row>
    <row r="59" spans="2:25" ht="13.8" x14ac:dyDescent="0.25">
      <c r="B59" s="26" t="str">
        <f t="shared" si="26"/>
        <v>RSD_APA3_CK_ELC_N_ST</v>
      </c>
      <c r="C59" s="26" t="str">
        <f t="shared" si="27"/>
        <v>Apartment A3 Cook Electric Standard (N)</v>
      </c>
      <c r="D59" s="26" t="str">
        <f>Commodities!$D$341</f>
        <v>RSDELC</v>
      </c>
      <c r="E59" s="26" t="str">
        <f t="shared" si="29"/>
        <v>RSD_APA3_CK</v>
      </c>
      <c r="F59" s="84">
        <f>G59</f>
        <v>2018</v>
      </c>
      <c r="G59" s="57">
        <f>BASE_YEAR+1</f>
        <v>2018</v>
      </c>
      <c r="H59" s="72"/>
      <c r="I59" s="57"/>
      <c r="J59" s="98">
        <f>0.381*(1/0.9)</f>
        <v>0.42333333333333334</v>
      </c>
      <c r="K59" s="98">
        <f>0.028575*(1/0.9)</f>
        <v>3.175E-2</v>
      </c>
      <c r="M59" s="57">
        <v>15</v>
      </c>
      <c r="N59" s="72"/>
      <c r="Q59" s="26"/>
      <c r="R59" s="26"/>
      <c r="S59" s="26" t="str">
        <f>Commodities!$AD$44&amp;"_"&amp;RIGHT(Commodities!$D$340,3)&amp;"_"&amp;$S$3&amp;"_IM"</f>
        <v>RSD_APA3_CK_ELC_N_IM</v>
      </c>
      <c r="T59" s="26" t="s">
        <v>1182</v>
      </c>
      <c r="U59" s="57" t="str">
        <f>General!$B$2</f>
        <v>PJ</v>
      </c>
      <c r="V59" s="57" t="str">
        <f>General!$D$18</f>
        <v>000s_Units</v>
      </c>
      <c r="W59" s="57" t="s">
        <v>723</v>
      </c>
      <c r="X59" s="57"/>
      <c r="Y59" s="26"/>
    </row>
    <row r="60" spans="2:25" ht="13.8" x14ac:dyDescent="0.25">
      <c r="B60" s="26" t="str">
        <f t="shared" si="26"/>
        <v>RSD_APA3_CK_ELC_N_IM</v>
      </c>
      <c r="C60" s="26" t="str">
        <f t="shared" si="27"/>
        <v>Apartment A3 Cook Electric Improved (N)</v>
      </c>
      <c r="D60" s="26" t="str">
        <f>Commodities!$D$341</f>
        <v>RSDELC</v>
      </c>
      <c r="E60" s="26" t="str">
        <f t="shared" si="29"/>
        <v>RSD_APA3_CK</v>
      </c>
      <c r="F60" s="84">
        <f t="shared" ref="F60:F61" si="31">G60</f>
        <v>2025</v>
      </c>
      <c r="G60" s="57">
        <v>2025</v>
      </c>
      <c r="H60" s="72"/>
      <c r="I60" s="57"/>
      <c r="J60" s="98">
        <f>0.40767*(1/0.9)</f>
        <v>0.45296666666666674</v>
      </c>
      <c r="K60" s="98">
        <f>0.03057525*(1/0.9)</f>
        <v>3.3972500000000003E-2</v>
      </c>
      <c r="M60" s="57">
        <v>15</v>
      </c>
      <c r="N60" s="72"/>
      <c r="Q60" s="11"/>
      <c r="R60" s="11"/>
      <c r="S60" s="11" t="str">
        <f>Commodities!$AD$44&amp;"_"&amp;RIGHT(Commodities!$D$340,3)&amp;"_"&amp;$S$3&amp;"_AD"</f>
        <v>RSD_APA3_CK_ELC_N_AD</v>
      </c>
      <c r="T60" s="11" t="s">
        <v>1183</v>
      </c>
      <c r="U60" s="22" t="str">
        <f>General!$B$2</f>
        <v>PJ</v>
      </c>
      <c r="V60" s="22" t="str">
        <f>General!$D$18</f>
        <v>000s_Units</v>
      </c>
      <c r="W60" s="22" t="s">
        <v>723</v>
      </c>
      <c r="X60" s="22"/>
      <c r="Y60" s="11"/>
    </row>
    <row r="61" spans="2:25" ht="13.8" x14ac:dyDescent="0.25">
      <c r="B61" s="11" t="str">
        <f t="shared" si="26"/>
        <v>RSD_APA3_CK_ELC_N_AD</v>
      </c>
      <c r="C61" s="11" t="str">
        <f t="shared" si="27"/>
        <v>Apartment A3 Cook Electric Advanced (N)</v>
      </c>
      <c r="D61" s="11" t="str">
        <f>Commodities!$D$341</f>
        <v>RSDELC</v>
      </c>
      <c r="E61" s="11" t="str">
        <f t="shared" si="29"/>
        <v>RSD_APA3_CK</v>
      </c>
      <c r="F61" s="89">
        <f t="shared" si="31"/>
        <v>2035</v>
      </c>
      <c r="G61" s="64">
        <v>2035</v>
      </c>
      <c r="H61" s="73"/>
      <c r="I61" s="109"/>
      <c r="J61" s="99">
        <f>0.4362069*(1/0.9)</f>
        <v>0.48467433333333337</v>
      </c>
      <c r="K61" s="99">
        <f>0.0327155175*(1/0.9)</f>
        <v>3.635057500000001E-2</v>
      </c>
      <c r="L61" s="110"/>
      <c r="M61" s="22">
        <v>15</v>
      </c>
      <c r="N61" s="73"/>
      <c r="Q61" s="26"/>
      <c r="R61" s="26"/>
      <c r="S61" s="26" t="str">
        <f>Commodities!$AD$45&amp;"_"&amp;LEFT(RIGHT(Commodities!$D$166,6),3)&amp;"_"&amp;$S$3&amp;"_ST"</f>
        <v>RSD_DTA4_CK_GAS_N_ST</v>
      </c>
      <c r="T61" s="26" t="s">
        <v>1184</v>
      </c>
      <c r="U61" s="57" t="str">
        <f>General!$B$2</f>
        <v>PJ</v>
      </c>
      <c r="V61" s="57" t="str">
        <f>General!$D$18</f>
        <v>000s_Units</v>
      </c>
      <c r="W61" s="60" t="s">
        <v>847</v>
      </c>
      <c r="X61" s="57"/>
      <c r="Y61" s="26"/>
    </row>
    <row r="62" spans="2:25" ht="13.8" x14ac:dyDescent="0.25">
      <c r="B62" s="26" t="str">
        <f t="shared" si="26"/>
        <v>RSD_DTA4_CK_GAS_N_ST</v>
      </c>
      <c r="C62" s="26" t="str">
        <f t="shared" si="27"/>
        <v>Detached A4  Cook Gas Standard (N)</v>
      </c>
      <c r="D62" s="26" t="str">
        <f>Commodities!$D$166</f>
        <v>RSDGASNAT</v>
      </c>
      <c r="E62" s="26" t="str">
        <f>Commodities!$AD$45</f>
        <v>RSD_DTA4_CK</v>
      </c>
      <c r="F62" s="84">
        <f>G62</f>
        <v>2018</v>
      </c>
      <c r="G62" s="57">
        <f>BASE_YEAR+1</f>
        <v>2018</v>
      </c>
      <c r="H62" s="72"/>
      <c r="I62" s="57"/>
      <c r="J62" s="98">
        <f>0.365*(1/0.9)</f>
        <v>0.40555555555555556</v>
      </c>
      <c r="K62" s="98">
        <f>0.009125*(1/0.9)</f>
        <v>1.0138888888888888E-2</v>
      </c>
      <c r="L62" s="57"/>
      <c r="M62" s="57">
        <v>15</v>
      </c>
      <c r="N62" s="72"/>
      <c r="Q62" s="26"/>
      <c r="R62" s="26"/>
      <c r="S62" s="26" t="str">
        <f>Commodities!$AD$45&amp;"_"&amp;LEFT(RIGHT(Commodities!$D$166,6),3)&amp;"_"&amp;$S$3&amp;"_IM"</f>
        <v>RSD_DTA4_CK_GAS_N_IM</v>
      </c>
      <c r="T62" s="26" t="s">
        <v>1185</v>
      </c>
      <c r="U62" s="57" t="str">
        <f>General!$B$2</f>
        <v>PJ</v>
      </c>
      <c r="V62" s="57" t="str">
        <f>General!$D$18</f>
        <v>000s_Units</v>
      </c>
      <c r="W62" s="60" t="s">
        <v>847</v>
      </c>
      <c r="X62" s="57"/>
      <c r="Y62" s="26"/>
    </row>
    <row r="63" spans="2:25" ht="13.8" x14ac:dyDescent="0.25">
      <c r="B63" s="26" t="str">
        <f>S62</f>
        <v>RSD_DTA4_CK_GAS_N_IM</v>
      </c>
      <c r="C63" s="26" t="str">
        <f>T62</f>
        <v>Detached A4  Cook Gas Improved (N)</v>
      </c>
      <c r="D63" s="26" t="str">
        <f>Commodities!$D$166</f>
        <v>RSDGASNAT</v>
      </c>
      <c r="E63" s="26" t="str">
        <f>E62</f>
        <v>RSD_DTA4_CK</v>
      </c>
      <c r="F63" s="84">
        <f t="shared" ref="F63:F64" si="32">G63</f>
        <v>2025</v>
      </c>
      <c r="G63" s="57">
        <v>2025</v>
      </c>
      <c r="H63" s="72"/>
      <c r="I63" s="57"/>
      <c r="J63" s="98">
        <f>0.39055*(1/0.9)</f>
        <v>0.43394444444444447</v>
      </c>
      <c r="K63" s="98">
        <f>0.00976375*(1/0.9)</f>
        <v>1.0848611111111111E-2</v>
      </c>
      <c r="L63" s="57"/>
      <c r="M63" s="57">
        <v>15</v>
      </c>
      <c r="N63" s="72"/>
      <c r="Q63" s="26"/>
      <c r="R63" s="26"/>
      <c r="S63" s="26" t="str">
        <f>Commodities!$AD$45&amp;"_"&amp;LEFT(RIGHT(Commodities!$D$166,6),3)&amp;"_"&amp;$S$3&amp;"_AD"</f>
        <v>RSD_DTA4_CK_GAS_N_AD</v>
      </c>
      <c r="T63" s="26" t="s">
        <v>1186</v>
      </c>
      <c r="U63" s="57" t="str">
        <f>General!$B$2</f>
        <v>PJ</v>
      </c>
      <c r="V63" s="57" t="str">
        <f>General!$D$18</f>
        <v>000s_Units</v>
      </c>
      <c r="W63" s="60" t="s">
        <v>847</v>
      </c>
      <c r="X63" s="57"/>
      <c r="Y63" s="26"/>
    </row>
    <row r="64" spans="2:25" ht="13.8" x14ac:dyDescent="0.25">
      <c r="B64" s="26" t="str">
        <f t="shared" ref="B64:B79" si="33">S63</f>
        <v>RSD_DTA4_CK_GAS_N_AD</v>
      </c>
      <c r="C64" s="26" t="str">
        <f t="shared" ref="C64:C79" si="34">T63</f>
        <v>Detached A4  Cook Gas Advanced (N)</v>
      </c>
      <c r="D64" s="26" t="str">
        <f>Commodities!$D$166</f>
        <v>RSDGASNAT</v>
      </c>
      <c r="E64" s="26" t="str">
        <f t="shared" ref="E64:E70" si="35">E63</f>
        <v>RSD_DTA4_CK</v>
      </c>
      <c r="F64" s="84">
        <f t="shared" si="32"/>
        <v>2035</v>
      </c>
      <c r="G64" s="57">
        <v>2035</v>
      </c>
      <c r="H64" s="72"/>
      <c r="I64" s="57"/>
      <c r="J64" s="98">
        <f>0.4178885*(1/0.9)</f>
        <v>0.46432055555555563</v>
      </c>
      <c r="K64" s="98">
        <f>0.0104472125*(1/0.9)</f>
        <v>1.160801388888889E-2</v>
      </c>
      <c r="L64" s="57"/>
      <c r="M64" s="57">
        <v>15</v>
      </c>
      <c r="N64" s="72"/>
      <c r="Q64" s="26"/>
      <c r="R64" s="26"/>
      <c r="S64" s="26" t="str">
        <f>Commodities!$AD$45&amp;"_"&amp;RIGHT(Commodities!$D$161,3)&amp;"_"&amp;$S$3&amp;"_ST"</f>
        <v>RSD_DTA4_CK_LPG_N_ST</v>
      </c>
      <c r="T64" s="26" t="s">
        <v>1187</v>
      </c>
      <c r="U64" s="57" t="str">
        <f>General!$B$2</f>
        <v>PJ</v>
      </c>
      <c r="V64" s="57" t="str">
        <f>General!$D$18</f>
        <v>000s_Units</v>
      </c>
      <c r="W64" s="57"/>
      <c r="X64" s="57"/>
      <c r="Y64" s="26"/>
    </row>
    <row r="65" spans="2:25" ht="13.8" x14ac:dyDescent="0.25">
      <c r="B65" s="26" t="str">
        <f t="shared" si="33"/>
        <v>RSD_DTA4_CK_LPG_N_ST</v>
      </c>
      <c r="C65" s="26" t="str">
        <f t="shared" si="34"/>
        <v>Detached A4  Cook LPG Standard (N)</v>
      </c>
      <c r="D65" s="26" t="str">
        <f>Commodities!$D$161</f>
        <v>RSDOILLPG</v>
      </c>
      <c r="E65" s="26" t="str">
        <f t="shared" si="35"/>
        <v>RSD_DTA4_CK</v>
      </c>
      <c r="F65" s="84">
        <f>G65</f>
        <v>2018</v>
      </c>
      <c r="G65" s="57">
        <f>BASE_YEAR+1</f>
        <v>2018</v>
      </c>
      <c r="H65" s="72"/>
      <c r="I65" s="57"/>
      <c r="J65" s="98">
        <f>0.365*(1/0.9)</f>
        <v>0.40555555555555556</v>
      </c>
      <c r="K65" s="98">
        <f>0.009125*(1/0.9)</f>
        <v>1.0138888888888888E-2</v>
      </c>
      <c r="L65" s="57"/>
      <c r="M65" s="57">
        <v>15</v>
      </c>
      <c r="N65" s="72"/>
      <c r="Q65" s="26"/>
      <c r="R65" s="26"/>
      <c r="S65" s="26" t="str">
        <f>Commodities!$AD$45&amp;"_"&amp;RIGHT(Commodities!$D$161,3)&amp;"_"&amp;$S$3&amp;"_IM"</f>
        <v>RSD_DTA4_CK_LPG_N_IM</v>
      </c>
      <c r="T65" s="26" t="s">
        <v>1188</v>
      </c>
      <c r="U65" s="57" t="str">
        <f>General!$B$2</f>
        <v>PJ</v>
      </c>
      <c r="V65" s="57" t="str">
        <f>General!$D$18</f>
        <v>000s_Units</v>
      </c>
      <c r="W65" s="57"/>
      <c r="X65" s="57"/>
      <c r="Y65" s="26"/>
    </row>
    <row r="66" spans="2:25" ht="13.8" x14ac:dyDescent="0.25">
      <c r="B66" s="26" t="str">
        <f t="shared" si="33"/>
        <v>RSD_DTA4_CK_LPG_N_IM</v>
      </c>
      <c r="C66" s="26" t="str">
        <f t="shared" si="34"/>
        <v>Detached A4  Cook LPG Improved (N)</v>
      </c>
      <c r="D66" s="26" t="str">
        <f>Commodities!$D$161</f>
        <v>RSDOILLPG</v>
      </c>
      <c r="E66" s="26" t="str">
        <f t="shared" si="35"/>
        <v>RSD_DTA4_CK</v>
      </c>
      <c r="F66" s="84">
        <f t="shared" ref="F66:F67" si="36">G66</f>
        <v>2025</v>
      </c>
      <c r="G66" s="57">
        <v>2025</v>
      </c>
      <c r="H66" s="72"/>
      <c r="I66" s="57"/>
      <c r="J66" s="98">
        <f>0.39055*(1/0.9)</f>
        <v>0.43394444444444447</v>
      </c>
      <c r="K66" s="98">
        <f>0.00976375*(1/0.9)</f>
        <v>1.0848611111111111E-2</v>
      </c>
      <c r="M66" s="57">
        <v>15</v>
      </c>
      <c r="N66" s="72"/>
      <c r="Q66" s="26"/>
      <c r="R66" s="26"/>
      <c r="S66" s="26" t="str">
        <f>Commodities!$AD$45&amp;"_"&amp;RIGHT(Commodities!$D$161,3)&amp;"_"&amp;$S$3&amp;"_AD"</f>
        <v>RSD_DTA4_CK_LPG_N_AD</v>
      </c>
      <c r="T66" s="26" t="s">
        <v>1189</v>
      </c>
      <c r="U66" s="57" t="str">
        <f>General!$B$2</f>
        <v>PJ</v>
      </c>
      <c r="V66" s="57" t="str">
        <f>General!$D$18</f>
        <v>000s_Units</v>
      </c>
      <c r="W66" s="57"/>
      <c r="X66" s="57"/>
      <c r="Y66" s="26"/>
    </row>
    <row r="67" spans="2:25" ht="13.8" x14ac:dyDescent="0.25">
      <c r="B67" s="26" t="str">
        <f t="shared" si="33"/>
        <v>RSD_DTA4_CK_LPG_N_AD</v>
      </c>
      <c r="C67" s="26" t="str">
        <f t="shared" si="34"/>
        <v>Detached A4  Cook LPG Advanced (N)</v>
      </c>
      <c r="D67" s="26" t="str">
        <f>Commodities!$D$161</f>
        <v>RSDOILLPG</v>
      </c>
      <c r="E67" s="26" t="str">
        <f t="shared" si="35"/>
        <v>RSD_DTA4_CK</v>
      </c>
      <c r="F67" s="84">
        <f t="shared" si="36"/>
        <v>2035</v>
      </c>
      <c r="G67" s="57">
        <v>2035</v>
      </c>
      <c r="H67" s="72"/>
      <c r="I67" s="57"/>
      <c r="J67" s="98">
        <f>0.4178885*(1/0.9)</f>
        <v>0.46432055555555563</v>
      </c>
      <c r="K67" s="98">
        <f>0.0104472125*(1/0.9)</f>
        <v>1.160801388888889E-2</v>
      </c>
      <c r="M67" s="57">
        <v>15</v>
      </c>
      <c r="N67" s="72"/>
      <c r="Q67" s="26"/>
      <c r="R67" s="26"/>
      <c r="S67" s="26" t="str">
        <f>Commodities!$AD$45&amp;"_"&amp;RIGHT(Commodities!$D$340,3)&amp;"_"&amp;$S$3&amp;"_ST"</f>
        <v>RSD_DTA4_CK_ELC_N_ST</v>
      </c>
      <c r="T67" s="26" t="s">
        <v>1190</v>
      </c>
      <c r="U67" s="57" t="str">
        <f>General!$B$2</f>
        <v>PJ</v>
      </c>
      <c r="V67" s="57" t="str">
        <f>General!$D$18</f>
        <v>000s_Units</v>
      </c>
      <c r="W67" s="57" t="s">
        <v>723</v>
      </c>
      <c r="X67" s="57"/>
      <c r="Y67" s="26"/>
    </row>
    <row r="68" spans="2:25" ht="13.8" x14ac:dyDescent="0.25">
      <c r="B68" s="26" t="str">
        <f t="shared" si="33"/>
        <v>RSD_DTA4_CK_ELC_N_ST</v>
      </c>
      <c r="C68" s="26" t="str">
        <f t="shared" si="34"/>
        <v>Detached A4  Cook Electric Standard (N)</v>
      </c>
      <c r="D68" s="26" t="str">
        <f>Commodities!$D$341</f>
        <v>RSDELC</v>
      </c>
      <c r="E68" s="26" t="str">
        <f t="shared" si="35"/>
        <v>RSD_DTA4_CK</v>
      </c>
      <c r="F68" s="84">
        <f>G68</f>
        <v>2018</v>
      </c>
      <c r="G68" s="57">
        <f>BASE_YEAR+1</f>
        <v>2018</v>
      </c>
      <c r="H68" s="72"/>
      <c r="I68" s="57"/>
      <c r="J68" s="98">
        <f>0.381*(1/0.9)</f>
        <v>0.42333333333333334</v>
      </c>
      <c r="K68" s="98">
        <f>0.028575*(1/0.9)</f>
        <v>3.175E-2</v>
      </c>
      <c r="M68" s="57">
        <v>15</v>
      </c>
      <c r="N68" s="72"/>
      <c r="Q68" s="26"/>
      <c r="R68" s="26"/>
      <c r="S68" s="26" t="str">
        <f>Commodities!$AD$45&amp;"_"&amp;RIGHT(Commodities!$D$340,3)&amp;"_"&amp;$S$3&amp;"_IM"</f>
        <v>RSD_DTA4_CK_ELC_N_IM</v>
      </c>
      <c r="T68" s="26" t="s">
        <v>1191</v>
      </c>
      <c r="U68" s="57" t="str">
        <f>General!$B$2</f>
        <v>PJ</v>
      </c>
      <c r="V68" s="57" t="str">
        <f>General!$D$18</f>
        <v>000s_Units</v>
      </c>
      <c r="W68" s="57" t="s">
        <v>723</v>
      </c>
      <c r="X68" s="57"/>
      <c r="Y68" s="26"/>
    </row>
    <row r="69" spans="2:25" ht="13.8" x14ac:dyDescent="0.25">
      <c r="B69" s="26" t="str">
        <f t="shared" si="33"/>
        <v>RSD_DTA4_CK_ELC_N_IM</v>
      </c>
      <c r="C69" s="26" t="str">
        <f t="shared" si="34"/>
        <v>Detached A4  Cook Electric Improved (N)</v>
      </c>
      <c r="D69" s="26" t="str">
        <f>Commodities!$D$341</f>
        <v>RSDELC</v>
      </c>
      <c r="E69" s="26" t="str">
        <f t="shared" si="35"/>
        <v>RSD_DTA4_CK</v>
      </c>
      <c r="F69" s="84">
        <f t="shared" ref="F69:F70" si="37">G69</f>
        <v>2025</v>
      </c>
      <c r="G69" s="57">
        <v>2025</v>
      </c>
      <c r="H69" s="72"/>
      <c r="I69" s="57"/>
      <c r="J69" s="98">
        <f>0.40767*(1/0.9)</f>
        <v>0.45296666666666674</v>
      </c>
      <c r="K69" s="98">
        <f>0.03057525*(1/0.9)</f>
        <v>3.3972500000000003E-2</v>
      </c>
      <c r="M69" s="57">
        <v>15</v>
      </c>
      <c r="N69" s="72"/>
      <c r="Q69" s="11"/>
      <c r="R69" s="11"/>
      <c r="S69" s="11" t="str">
        <f>Commodities!$AD$45&amp;"_"&amp;RIGHT(Commodities!$D$340,3)&amp;"_"&amp;$S$3&amp;"_AD"</f>
        <v>RSD_DTA4_CK_ELC_N_AD</v>
      </c>
      <c r="T69" s="11" t="s">
        <v>1192</v>
      </c>
      <c r="U69" s="22" t="str">
        <f>General!$B$2</f>
        <v>PJ</v>
      </c>
      <c r="V69" s="22" t="str">
        <f>General!$D$18</f>
        <v>000s_Units</v>
      </c>
      <c r="W69" s="22" t="s">
        <v>723</v>
      </c>
      <c r="X69" s="22"/>
      <c r="Y69" s="11"/>
    </row>
    <row r="70" spans="2:25" ht="13.8" x14ac:dyDescent="0.25">
      <c r="B70" s="11" t="str">
        <f t="shared" si="33"/>
        <v>RSD_DTA4_CK_ELC_N_AD</v>
      </c>
      <c r="C70" s="11" t="str">
        <f t="shared" si="34"/>
        <v>Detached A4  Cook Electric Advanced (N)</v>
      </c>
      <c r="D70" s="11" t="str">
        <f>Commodities!$D$341</f>
        <v>RSDELC</v>
      </c>
      <c r="E70" s="11" t="str">
        <f t="shared" si="35"/>
        <v>RSD_DTA4_CK</v>
      </c>
      <c r="F70" s="89">
        <f t="shared" si="37"/>
        <v>2035</v>
      </c>
      <c r="G70" s="64">
        <v>2035</v>
      </c>
      <c r="H70" s="73"/>
      <c r="I70" s="109"/>
      <c r="J70" s="99">
        <f>0.4362069*(1/0.9)</f>
        <v>0.48467433333333337</v>
      </c>
      <c r="K70" s="99">
        <f>0.0327155175*(1/0.9)</f>
        <v>3.635057500000001E-2</v>
      </c>
      <c r="L70" s="110"/>
      <c r="M70" s="22">
        <v>15</v>
      </c>
      <c r="N70" s="73"/>
      <c r="Q70" s="26"/>
      <c r="R70" s="26"/>
      <c r="S70" s="26" t="str">
        <f>Commodities!$AD$46&amp;"_"&amp;LEFT(RIGHT(Commodities!$D$166,6),3)&amp;"_"&amp;$S$3&amp;"_ST"</f>
        <v>RSD_APA4_CK_GAS_N_ST</v>
      </c>
      <c r="T70" s="26" t="s">
        <v>1193</v>
      </c>
      <c r="U70" s="57" t="str">
        <f>General!$B$2</f>
        <v>PJ</v>
      </c>
      <c r="V70" s="57" t="str">
        <f>General!$D$18</f>
        <v>000s_Units</v>
      </c>
      <c r="W70" s="60" t="s">
        <v>847</v>
      </c>
      <c r="X70" s="57"/>
      <c r="Y70" s="26"/>
    </row>
    <row r="71" spans="2:25" ht="13.8" x14ac:dyDescent="0.25">
      <c r="B71" s="26" t="str">
        <f t="shared" si="33"/>
        <v>RSD_APA4_CK_GAS_N_ST</v>
      </c>
      <c r="C71" s="26" t="str">
        <f t="shared" si="34"/>
        <v>Apartment A4 Cook Gas Standard (N)</v>
      </c>
      <c r="D71" s="26" t="str">
        <f>Commodities!$D$166</f>
        <v>RSDGASNAT</v>
      </c>
      <c r="E71" s="26" t="str">
        <f>Commodities!$AD$46</f>
        <v>RSD_APA4_CK</v>
      </c>
      <c r="F71" s="84">
        <f>G71</f>
        <v>2018</v>
      </c>
      <c r="G71" s="57">
        <f>BASE_YEAR+1</f>
        <v>2018</v>
      </c>
      <c r="H71" s="72"/>
      <c r="I71" s="57"/>
      <c r="J71" s="98">
        <f>0.365*(1/0.9)</f>
        <v>0.40555555555555556</v>
      </c>
      <c r="K71" s="98">
        <f>0.009125*(1/0.9)</f>
        <v>1.0138888888888888E-2</v>
      </c>
      <c r="L71" s="57"/>
      <c r="M71" s="57">
        <v>15</v>
      </c>
      <c r="N71" s="72"/>
      <c r="Q71" s="26"/>
      <c r="R71" s="26"/>
      <c r="S71" s="26" t="str">
        <f>Commodities!$AD$46&amp;"_"&amp;LEFT(RIGHT(Commodities!$D$166,6),3)&amp;"_"&amp;$S$3&amp;"_IM"</f>
        <v>RSD_APA4_CK_GAS_N_IM</v>
      </c>
      <c r="T71" s="26" t="s">
        <v>1194</v>
      </c>
      <c r="U71" s="57" t="str">
        <f>General!$B$2</f>
        <v>PJ</v>
      </c>
      <c r="V71" s="57" t="str">
        <f>General!$D$18</f>
        <v>000s_Units</v>
      </c>
      <c r="W71" s="60" t="s">
        <v>847</v>
      </c>
      <c r="X71" s="57"/>
      <c r="Y71" s="26"/>
    </row>
    <row r="72" spans="2:25" ht="13.8" x14ac:dyDescent="0.25">
      <c r="B72" s="26" t="str">
        <f t="shared" si="33"/>
        <v>RSD_APA4_CK_GAS_N_IM</v>
      </c>
      <c r="C72" s="26" t="str">
        <f t="shared" si="34"/>
        <v>Apartment A4 Cook Gas Improved (N)</v>
      </c>
      <c r="D72" s="26" t="str">
        <f>Commodities!$D$166</f>
        <v>RSDGASNAT</v>
      </c>
      <c r="E72" s="26" t="str">
        <f>E71</f>
        <v>RSD_APA4_CK</v>
      </c>
      <c r="F72" s="84">
        <f t="shared" ref="F72:F73" si="38">G72</f>
        <v>2025</v>
      </c>
      <c r="G72" s="57">
        <v>2025</v>
      </c>
      <c r="H72" s="72"/>
      <c r="I72" s="57"/>
      <c r="J72" s="98">
        <f>0.39055*(1/0.9)</f>
        <v>0.43394444444444447</v>
      </c>
      <c r="K72" s="98">
        <f>0.00976375*(1/0.9)</f>
        <v>1.0848611111111111E-2</v>
      </c>
      <c r="L72" s="57"/>
      <c r="M72" s="57">
        <v>15</v>
      </c>
      <c r="N72" s="72"/>
      <c r="Q72" s="26"/>
      <c r="R72" s="26"/>
      <c r="S72" s="26" t="str">
        <f>Commodities!$AD$46&amp;"_"&amp;LEFT(RIGHT(Commodities!$D$166,6),3)&amp;"_"&amp;$S$3&amp;"_AD"</f>
        <v>RSD_APA4_CK_GAS_N_AD</v>
      </c>
      <c r="T72" s="26" t="s">
        <v>1195</v>
      </c>
      <c r="U72" s="57" t="str">
        <f>General!$B$2</f>
        <v>PJ</v>
      </c>
      <c r="V72" s="57" t="str">
        <f>General!$D$18</f>
        <v>000s_Units</v>
      </c>
      <c r="W72" s="60" t="s">
        <v>847</v>
      </c>
      <c r="X72" s="57"/>
      <c r="Y72" s="26"/>
    </row>
    <row r="73" spans="2:25" ht="13.8" x14ac:dyDescent="0.25">
      <c r="B73" s="26" t="str">
        <f t="shared" si="33"/>
        <v>RSD_APA4_CK_GAS_N_AD</v>
      </c>
      <c r="C73" s="26" t="str">
        <f t="shared" si="34"/>
        <v>Apartment A4 Cook Gas Advanced (N)</v>
      </c>
      <c r="D73" s="26" t="str">
        <f>Commodities!$D$166</f>
        <v>RSDGASNAT</v>
      </c>
      <c r="E73" s="26" t="str">
        <f t="shared" ref="E73:E79" si="39">E72</f>
        <v>RSD_APA4_CK</v>
      </c>
      <c r="F73" s="84">
        <f t="shared" si="38"/>
        <v>2035</v>
      </c>
      <c r="G73" s="57">
        <v>2035</v>
      </c>
      <c r="H73" s="72"/>
      <c r="I73" s="57"/>
      <c r="J73" s="98">
        <f>0.4178885*(1/0.9)</f>
        <v>0.46432055555555563</v>
      </c>
      <c r="K73" s="98">
        <f>0.0104472125*(1/0.9)</f>
        <v>1.160801388888889E-2</v>
      </c>
      <c r="L73" s="57"/>
      <c r="M73" s="57">
        <v>15</v>
      </c>
      <c r="N73" s="72"/>
      <c r="Q73" s="26"/>
      <c r="R73" s="26"/>
      <c r="S73" s="26" t="str">
        <f>Commodities!$AD$46&amp;"_"&amp;RIGHT(Commodities!$D$161,3)&amp;"_"&amp;$S$3&amp;"_ST"</f>
        <v>RSD_APA4_CK_LPG_N_ST</v>
      </c>
      <c r="T73" s="26" t="s">
        <v>1196</v>
      </c>
      <c r="U73" s="57" t="str">
        <f>General!$B$2</f>
        <v>PJ</v>
      </c>
      <c r="V73" s="57" t="str">
        <f>General!$D$18</f>
        <v>000s_Units</v>
      </c>
      <c r="W73" s="57"/>
      <c r="X73" s="57"/>
      <c r="Y73" s="26"/>
    </row>
    <row r="74" spans="2:25" ht="13.8" x14ac:dyDescent="0.25">
      <c r="B74" s="26" t="str">
        <f t="shared" si="33"/>
        <v>RSD_APA4_CK_LPG_N_ST</v>
      </c>
      <c r="C74" s="26" t="str">
        <f t="shared" si="34"/>
        <v>Apartment A4 Cook LPG Standard (N)</v>
      </c>
      <c r="D74" s="26" t="str">
        <f>Commodities!$D$161</f>
        <v>RSDOILLPG</v>
      </c>
      <c r="E74" s="26" t="str">
        <f t="shared" si="39"/>
        <v>RSD_APA4_CK</v>
      </c>
      <c r="F74" s="84">
        <f>G74</f>
        <v>2018</v>
      </c>
      <c r="G74" s="57">
        <f>BASE_YEAR+1</f>
        <v>2018</v>
      </c>
      <c r="H74" s="72"/>
      <c r="I74" s="57"/>
      <c r="J74" s="98">
        <f>0.365*(1/0.9)</f>
        <v>0.40555555555555556</v>
      </c>
      <c r="K74" s="98">
        <f>0.009125*(1/0.9)</f>
        <v>1.0138888888888888E-2</v>
      </c>
      <c r="L74" s="57"/>
      <c r="M74" s="57">
        <v>15</v>
      </c>
      <c r="N74" s="72"/>
      <c r="Q74" s="26"/>
      <c r="R74" s="26"/>
      <c r="S74" s="26" t="str">
        <f>Commodities!$AD$46&amp;"_"&amp;RIGHT(Commodities!$D$161,3)&amp;"_"&amp;$S$3&amp;"_IM"</f>
        <v>RSD_APA4_CK_LPG_N_IM</v>
      </c>
      <c r="T74" s="26" t="s">
        <v>1197</v>
      </c>
      <c r="U74" s="57" t="str">
        <f>General!$B$2</f>
        <v>PJ</v>
      </c>
      <c r="V74" s="57" t="str">
        <f>General!$D$18</f>
        <v>000s_Units</v>
      </c>
      <c r="W74" s="57"/>
      <c r="X74" s="57"/>
      <c r="Y74" s="26"/>
    </row>
    <row r="75" spans="2:25" ht="13.8" x14ac:dyDescent="0.25">
      <c r="B75" s="26" t="str">
        <f t="shared" si="33"/>
        <v>RSD_APA4_CK_LPG_N_IM</v>
      </c>
      <c r="C75" s="26" t="str">
        <f t="shared" si="34"/>
        <v>Apartment A4 Cook LPG Improved (N)</v>
      </c>
      <c r="D75" s="26" t="str">
        <f>Commodities!$D$161</f>
        <v>RSDOILLPG</v>
      </c>
      <c r="E75" s="26" t="str">
        <f t="shared" si="39"/>
        <v>RSD_APA4_CK</v>
      </c>
      <c r="F75" s="84">
        <f t="shared" ref="F75:F76" si="40">G75</f>
        <v>2025</v>
      </c>
      <c r="G75" s="57">
        <v>2025</v>
      </c>
      <c r="H75" s="72"/>
      <c r="I75" s="57"/>
      <c r="J75" s="98">
        <f>0.39055*(1/0.9)</f>
        <v>0.43394444444444447</v>
      </c>
      <c r="K75" s="98">
        <f>0.00976375*(1/0.9)</f>
        <v>1.0848611111111111E-2</v>
      </c>
      <c r="M75" s="57">
        <v>15</v>
      </c>
      <c r="N75" s="72"/>
      <c r="Q75" s="26"/>
      <c r="R75" s="26"/>
      <c r="S75" s="26" t="str">
        <f>Commodities!$AD$46&amp;"_"&amp;RIGHT(Commodities!$D$161,3)&amp;"_"&amp;$S$3&amp;"_AD"</f>
        <v>RSD_APA4_CK_LPG_N_AD</v>
      </c>
      <c r="T75" s="26" t="s">
        <v>1198</v>
      </c>
      <c r="U75" s="57" t="str">
        <f>General!$B$2</f>
        <v>PJ</v>
      </c>
      <c r="V75" s="57" t="str">
        <f>General!$D$18</f>
        <v>000s_Units</v>
      </c>
      <c r="W75" s="57"/>
      <c r="X75" s="57"/>
      <c r="Y75" s="26"/>
    </row>
    <row r="76" spans="2:25" ht="13.8" x14ac:dyDescent="0.25">
      <c r="B76" s="26" t="str">
        <f t="shared" si="33"/>
        <v>RSD_APA4_CK_LPG_N_AD</v>
      </c>
      <c r="C76" s="26" t="str">
        <f t="shared" si="34"/>
        <v>Apartment A4 Cook LPG Advanced (N)</v>
      </c>
      <c r="D76" s="26" t="str">
        <f>Commodities!$D$161</f>
        <v>RSDOILLPG</v>
      </c>
      <c r="E76" s="26" t="str">
        <f t="shared" si="39"/>
        <v>RSD_APA4_CK</v>
      </c>
      <c r="F76" s="84">
        <f t="shared" si="40"/>
        <v>2035</v>
      </c>
      <c r="G76" s="57">
        <v>2035</v>
      </c>
      <c r="H76" s="72"/>
      <c r="I76" s="57"/>
      <c r="J76" s="98">
        <f>0.4178885*(1/0.9)</f>
        <v>0.46432055555555563</v>
      </c>
      <c r="K76" s="98">
        <f>0.0104472125*(1/0.9)</f>
        <v>1.160801388888889E-2</v>
      </c>
      <c r="M76" s="57">
        <v>15</v>
      </c>
      <c r="N76" s="72"/>
      <c r="Q76" s="26"/>
      <c r="R76" s="26"/>
      <c r="S76" s="26" t="str">
        <f>Commodities!$AD$46&amp;"_"&amp;RIGHT(Commodities!$D$340,3)&amp;"_"&amp;$S$3&amp;"_ST"</f>
        <v>RSD_APA4_CK_ELC_N_ST</v>
      </c>
      <c r="T76" s="26" t="s">
        <v>1199</v>
      </c>
      <c r="U76" s="57" t="str">
        <f>General!$B$2</f>
        <v>PJ</v>
      </c>
      <c r="V76" s="57" t="str">
        <f>General!$D$18</f>
        <v>000s_Units</v>
      </c>
      <c r="W76" s="57" t="s">
        <v>723</v>
      </c>
      <c r="X76" s="57"/>
      <c r="Y76" s="26"/>
    </row>
    <row r="77" spans="2:25" ht="13.8" x14ac:dyDescent="0.25">
      <c r="B77" s="26" t="str">
        <f t="shared" si="33"/>
        <v>RSD_APA4_CK_ELC_N_ST</v>
      </c>
      <c r="C77" s="26" t="str">
        <f t="shared" si="34"/>
        <v>Apartment A4 Cook Electric Standard (N)</v>
      </c>
      <c r="D77" s="26" t="str">
        <f>Commodities!$D$341</f>
        <v>RSDELC</v>
      </c>
      <c r="E77" s="26" t="str">
        <f t="shared" si="39"/>
        <v>RSD_APA4_CK</v>
      </c>
      <c r="F77" s="84">
        <f>G77</f>
        <v>2018</v>
      </c>
      <c r="G77" s="57">
        <f>BASE_YEAR+1</f>
        <v>2018</v>
      </c>
      <c r="H77" s="72"/>
      <c r="I77" s="57"/>
      <c r="J77" s="98">
        <f>0.381*(1/0.9)</f>
        <v>0.42333333333333334</v>
      </c>
      <c r="K77" s="98">
        <f>0.028575*(1/0.9)</f>
        <v>3.175E-2</v>
      </c>
      <c r="M77" s="57">
        <v>15</v>
      </c>
      <c r="N77" s="72"/>
      <c r="Q77" s="26"/>
      <c r="R77" s="26"/>
      <c r="S77" s="26" t="str">
        <f>Commodities!$AD$46&amp;"_"&amp;RIGHT(Commodities!$D$340,3)&amp;"_"&amp;$S$3&amp;"_IM"</f>
        <v>RSD_APA4_CK_ELC_N_IM</v>
      </c>
      <c r="T77" s="26" t="s">
        <v>1200</v>
      </c>
      <c r="U77" s="57" t="str">
        <f>General!$B$2</f>
        <v>PJ</v>
      </c>
      <c r="V77" s="57" t="str">
        <f>General!$D$18</f>
        <v>000s_Units</v>
      </c>
      <c r="W77" s="57" t="s">
        <v>723</v>
      </c>
      <c r="X77" s="57"/>
      <c r="Y77" s="26"/>
    </row>
    <row r="78" spans="2:25" ht="13.8" x14ac:dyDescent="0.25">
      <c r="B78" s="26" t="str">
        <f t="shared" si="33"/>
        <v>RSD_APA4_CK_ELC_N_IM</v>
      </c>
      <c r="C78" s="26" t="str">
        <f t="shared" si="34"/>
        <v>Apartment A4 Cook Electric Improved (N)</v>
      </c>
      <c r="D78" s="26" t="str">
        <f>Commodities!$D$341</f>
        <v>RSDELC</v>
      </c>
      <c r="E78" s="26" t="str">
        <f t="shared" si="39"/>
        <v>RSD_APA4_CK</v>
      </c>
      <c r="F78" s="84">
        <f t="shared" ref="F78:F79" si="41">G78</f>
        <v>2025</v>
      </c>
      <c r="G78" s="57">
        <v>2025</v>
      </c>
      <c r="H78" s="72"/>
      <c r="I78" s="57"/>
      <c r="J78" s="98">
        <f>0.40767*(1/0.9)</f>
        <v>0.45296666666666674</v>
      </c>
      <c r="K78" s="98">
        <f>0.03057525*(1/0.9)</f>
        <v>3.3972500000000003E-2</v>
      </c>
      <c r="M78" s="57">
        <v>15</v>
      </c>
      <c r="N78" s="72"/>
      <c r="Q78" s="11"/>
      <c r="R78" s="11"/>
      <c r="S78" s="11" t="str">
        <f>Commodities!$AD$46&amp;"_"&amp;RIGHT(Commodities!$D$340,3)&amp;"_"&amp;$S$3&amp;"_AD"</f>
        <v>RSD_APA4_CK_ELC_N_AD</v>
      </c>
      <c r="T78" s="11" t="s">
        <v>1201</v>
      </c>
      <c r="U78" s="22" t="str">
        <f>General!$B$2</f>
        <v>PJ</v>
      </c>
      <c r="V78" s="22" t="str">
        <f>General!$D$18</f>
        <v>000s_Units</v>
      </c>
      <c r="W78" s="22" t="s">
        <v>723</v>
      </c>
      <c r="X78" s="22"/>
      <c r="Y78" s="11"/>
    </row>
    <row r="79" spans="2:25" ht="13.8" x14ac:dyDescent="0.25">
      <c r="B79" s="11" t="str">
        <f t="shared" si="33"/>
        <v>RSD_APA4_CK_ELC_N_AD</v>
      </c>
      <c r="C79" s="11" t="str">
        <f t="shared" si="34"/>
        <v>Apartment A4 Cook Electric Advanced (N)</v>
      </c>
      <c r="D79" s="11" t="str">
        <f>Commodities!$D$341</f>
        <v>RSDELC</v>
      </c>
      <c r="E79" s="11" t="str">
        <f t="shared" si="39"/>
        <v>RSD_APA4_CK</v>
      </c>
      <c r="F79" s="89">
        <f t="shared" si="41"/>
        <v>2035</v>
      </c>
      <c r="G79" s="64">
        <v>2035</v>
      </c>
      <c r="H79" s="73"/>
      <c r="I79" s="109"/>
      <c r="J79" s="99">
        <f>0.4362069*(1/0.9)</f>
        <v>0.48467433333333337</v>
      </c>
      <c r="K79" s="99">
        <f>0.0327155175*(1/0.9)</f>
        <v>3.635057500000001E-2</v>
      </c>
      <c r="L79" s="110"/>
      <c r="M79" s="22">
        <v>15</v>
      </c>
      <c r="N79" s="7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175"/>
  <sheetViews>
    <sheetView topLeftCell="A118" zoomScale="55" zoomScaleNormal="55" workbookViewId="0">
      <selection activeCell="A118" sqref="A1:XFD1048576"/>
    </sheetView>
  </sheetViews>
  <sheetFormatPr defaultRowHeight="16.5" customHeight="1" x14ac:dyDescent="0.25"/>
  <cols>
    <col min="1" max="1" width="8.88671875" style="60"/>
    <col min="2" max="2" width="32.109375" style="60" customWidth="1"/>
    <col min="3" max="3" width="60.109375" style="60" bestFit="1" customWidth="1"/>
    <col min="4" max="4" width="16.88671875" style="60" bestFit="1" customWidth="1"/>
    <col min="5" max="5" width="20.109375" style="60" bestFit="1" customWidth="1"/>
    <col min="6" max="6" width="8.88671875" style="60"/>
    <col min="7" max="7" width="12.5546875" style="60" bestFit="1" customWidth="1"/>
    <col min="8" max="8" width="25" style="60" bestFit="1" customWidth="1"/>
    <col min="9" max="9" width="21.109375" style="94" bestFit="1" customWidth="1"/>
    <col min="10" max="10" width="15.109375" style="60" bestFit="1" customWidth="1"/>
    <col min="11" max="11" width="17.88671875" style="60" bestFit="1" customWidth="1"/>
    <col min="12" max="12" width="19.33203125" style="60" bestFit="1" customWidth="1"/>
    <col min="13" max="13" width="18.88671875" style="60" bestFit="1" customWidth="1"/>
    <col min="14" max="14" width="26.33203125" style="60" bestFit="1" customWidth="1"/>
    <col min="15" max="16" width="8.88671875" style="60"/>
    <col min="17" max="17" width="10.88671875" style="60" customWidth="1"/>
    <col min="18" max="18" width="28.33203125" style="60" customWidth="1"/>
    <col min="19" max="19" width="64.44140625" style="60" customWidth="1"/>
    <col min="20" max="20" width="20.6640625" style="60" customWidth="1"/>
    <col min="21" max="21" width="14" style="60" bestFit="1" customWidth="1"/>
    <col min="22" max="22" width="33.44140625" style="60" bestFit="1" customWidth="1"/>
    <col min="23" max="25" width="8.88671875" style="60"/>
    <col min="26" max="26" width="83.33203125" style="60" bestFit="1" customWidth="1"/>
    <col min="27" max="16384" width="8.88671875" style="60"/>
  </cols>
  <sheetData>
    <row r="1" spans="2:31" s="10" customFormat="1" ht="16.5" customHeight="1" x14ac:dyDescent="0.3">
      <c r="B1" s="27" t="s">
        <v>801</v>
      </c>
      <c r="C1" s="27"/>
      <c r="D1" s="27"/>
      <c r="E1" s="27"/>
      <c r="F1" s="27"/>
      <c r="G1" s="27"/>
      <c r="H1" s="27"/>
      <c r="I1" s="21"/>
      <c r="O1" s="26"/>
      <c r="Q1" s="10" t="s">
        <v>791</v>
      </c>
    </row>
    <row r="2" spans="2:31" s="10" customFormat="1" ht="16.5" customHeight="1" x14ac:dyDescent="0.3">
      <c r="B2" s="27" t="s">
        <v>824</v>
      </c>
      <c r="C2" s="27"/>
      <c r="D2" s="27"/>
      <c r="E2" s="27"/>
      <c r="F2" s="27"/>
      <c r="G2" s="27"/>
      <c r="H2" s="27"/>
      <c r="I2" s="21"/>
      <c r="O2" s="26"/>
    </row>
    <row r="3" spans="2:31" s="10" customFormat="1" ht="16.5" customHeight="1" x14ac:dyDescent="0.25">
      <c r="B3" s="28"/>
      <c r="D3" s="29"/>
      <c r="E3" s="29"/>
      <c r="F3" s="29"/>
      <c r="G3" s="29"/>
      <c r="I3" s="57"/>
      <c r="J3" s="74"/>
      <c r="K3" s="74"/>
      <c r="L3" s="74"/>
      <c r="M3" s="75"/>
      <c r="O3" s="26"/>
      <c r="Q3" s="14" t="s">
        <v>792</v>
      </c>
      <c r="R3" s="14" t="s">
        <v>793</v>
      </c>
      <c r="S3" s="14"/>
      <c r="T3" s="14"/>
      <c r="U3" s="14"/>
      <c r="V3" s="14"/>
      <c r="W3" s="14"/>
      <c r="X3" s="14"/>
      <c r="AC3" s="26"/>
      <c r="AD3" s="26"/>
      <c r="AE3" s="26"/>
    </row>
    <row r="4" spans="2:31" s="10" customFormat="1" ht="16.5" customHeight="1" x14ac:dyDescent="0.25">
      <c r="E4" s="30"/>
      <c r="F4" s="31" t="s">
        <v>0</v>
      </c>
      <c r="G4" s="31"/>
      <c r="H4" s="74"/>
      <c r="I4" s="21"/>
      <c r="J4" s="10">
        <v>7</v>
      </c>
      <c r="K4" s="10">
        <v>8</v>
      </c>
      <c r="O4" s="26"/>
      <c r="Q4" s="13" t="s">
        <v>17</v>
      </c>
      <c r="R4" s="14"/>
      <c r="S4" s="14"/>
      <c r="T4" s="14"/>
      <c r="U4" s="14"/>
      <c r="V4" s="14"/>
      <c r="W4" s="14"/>
      <c r="X4" s="14"/>
      <c r="AC4" s="32"/>
      <c r="AD4" s="26"/>
      <c r="AE4" s="26"/>
    </row>
    <row r="5" spans="2:31" s="10" customFormat="1" ht="16.5" customHeight="1" x14ac:dyDescent="0.25">
      <c r="B5" s="33" t="s">
        <v>1</v>
      </c>
      <c r="C5" s="33" t="s">
        <v>794</v>
      </c>
      <c r="D5" s="33" t="s">
        <v>3</v>
      </c>
      <c r="E5" s="33" t="s">
        <v>4</v>
      </c>
      <c r="F5" s="34" t="s">
        <v>803</v>
      </c>
      <c r="G5" s="35" t="s">
        <v>14</v>
      </c>
      <c r="H5" s="36" t="s">
        <v>820</v>
      </c>
      <c r="I5" s="36" t="s">
        <v>789</v>
      </c>
      <c r="J5" s="36" t="s">
        <v>36</v>
      </c>
      <c r="K5" s="36" t="s">
        <v>5</v>
      </c>
      <c r="L5" s="36" t="s">
        <v>34</v>
      </c>
      <c r="M5" s="36" t="s">
        <v>780</v>
      </c>
      <c r="N5" s="36" t="s">
        <v>773</v>
      </c>
      <c r="O5" s="26"/>
      <c r="Q5" s="16" t="s">
        <v>15</v>
      </c>
      <c r="R5" s="16" t="s">
        <v>1</v>
      </c>
      <c r="S5" s="16" t="s">
        <v>2</v>
      </c>
      <c r="T5" s="16" t="s">
        <v>18</v>
      </c>
      <c r="U5" s="16" t="s">
        <v>19</v>
      </c>
      <c r="V5" s="16" t="s">
        <v>20</v>
      </c>
      <c r="W5" s="16" t="s">
        <v>21</v>
      </c>
      <c r="X5" s="16" t="s">
        <v>22</v>
      </c>
      <c r="Z5" s="76"/>
      <c r="AC5" s="77"/>
      <c r="AD5" s="26"/>
      <c r="AE5" s="26"/>
    </row>
    <row r="6" spans="2:31" s="10" customFormat="1" ht="16.5" customHeight="1" thickBot="1" x14ac:dyDescent="0.3">
      <c r="B6" s="41" t="s">
        <v>795</v>
      </c>
      <c r="C6" s="41" t="s">
        <v>28</v>
      </c>
      <c r="D6" s="41" t="s">
        <v>32</v>
      </c>
      <c r="E6" s="41" t="s">
        <v>33</v>
      </c>
      <c r="F6" s="42"/>
      <c r="G6" s="43" t="s">
        <v>35</v>
      </c>
      <c r="H6" s="41" t="s">
        <v>821</v>
      </c>
      <c r="I6" s="41" t="s">
        <v>805</v>
      </c>
      <c r="J6" s="43" t="s">
        <v>806</v>
      </c>
      <c r="K6" s="41" t="s">
        <v>37</v>
      </c>
      <c r="L6" s="41" t="s">
        <v>38</v>
      </c>
      <c r="M6" s="41" t="s">
        <v>781</v>
      </c>
      <c r="N6" s="41" t="s">
        <v>807</v>
      </c>
      <c r="O6" s="26"/>
      <c r="Q6" s="50" t="s">
        <v>796</v>
      </c>
      <c r="R6" s="50" t="s">
        <v>27</v>
      </c>
      <c r="S6" s="50" t="s">
        <v>28</v>
      </c>
      <c r="T6" s="50" t="s">
        <v>29</v>
      </c>
      <c r="U6" s="50" t="s">
        <v>30</v>
      </c>
      <c r="V6" s="50" t="s">
        <v>797</v>
      </c>
      <c r="W6" s="50" t="s">
        <v>798</v>
      </c>
      <c r="X6" s="50" t="s">
        <v>31</v>
      </c>
      <c r="Y6" s="21"/>
      <c r="Z6" s="78"/>
      <c r="AC6" s="79"/>
      <c r="AD6" s="26"/>
      <c r="AE6" s="26"/>
    </row>
    <row r="7" spans="2:31" s="10" customFormat="1" ht="16.5" customHeight="1" x14ac:dyDescent="0.25">
      <c r="B7" s="80"/>
      <c r="C7" s="81"/>
      <c r="D7" s="81"/>
      <c r="E7" s="81" t="s">
        <v>799</v>
      </c>
      <c r="F7" s="82"/>
      <c r="G7" s="81"/>
      <c r="H7" s="81" t="str">
        <f>General!$D$19</f>
        <v>TJ/unit</v>
      </c>
      <c r="I7" s="81" t="s">
        <v>808</v>
      </c>
      <c r="J7" s="81" t="str">
        <f>General!$D$26</f>
        <v>000$/unit</v>
      </c>
      <c r="K7" s="81" t="str">
        <f>General!$D$26</f>
        <v>000$/unit</v>
      </c>
      <c r="L7" s="81" t="str">
        <f>General!$D$15</f>
        <v>$/GJ</v>
      </c>
      <c r="M7" s="81" t="str">
        <f>General!$D$21</f>
        <v>Years</v>
      </c>
      <c r="N7" s="81"/>
      <c r="O7" s="26"/>
      <c r="P7" s="26"/>
      <c r="Q7" s="26" t="s">
        <v>809</v>
      </c>
      <c r="R7" s="10" t="str">
        <f>Commodities!$AD$47&amp;"_"&amp;$R$3&amp;"01"</f>
        <v>RSD_DTA1_LI_N01</v>
      </c>
      <c r="S7" s="10" t="s">
        <v>1253</v>
      </c>
      <c r="T7" s="57" t="str">
        <f>General!$D$18</f>
        <v>000s_Units</v>
      </c>
      <c r="U7" s="57" t="str">
        <f>General!$D$18</f>
        <v>000s_Units</v>
      </c>
      <c r="V7" s="57" t="s">
        <v>723</v>
      </c>
      <c r="W7" s="57"/>
      <c r="X7" s="26"/>
      <c r="AC7" s="83"/>
      <c r="AD7" s="26"/>
      <c r="AE7" s="26"/>
    </row>
    <row r="8" spans="2:31" s="10" customFormat="1" ht="16.5" customHeight="1" x14ac:dyDescent="0.25">
      <c r="B8" s="26" t="str">
        <f>R7</f>
        <v>RSD_DTA1_LI_N01</v>
      </c>
      <c r="C8" s="26" t="str">
        <f>S7</f>
        <v>Detached A1 Light Standard  (N)</v>
      </c>
      <c r="D8" s="26" t="str">
        <f>Commodities!$D$341</f>
        <v>RSDELC</v>
      </c>
      <c r="E8" s="26" t="str">
        <f>Commodities!$AD$47</f>
        <v>RSD_DTA1_LI</v>
      </c>
      <c r="F8" s="84">
        <f>G8</f>
        <v>2018</v>
      </c>
      <c r="G8" s="62">
        <f t="shared" ref="G8:G39" si="0">BASE_YEAR+1</f>
        <v>2018</v>
      </c>
      <c r="H8" s="72">
        <f>1/1.15</f>
        <v>0.86956521739130443</v>
      </c>
      <c r="I8" s="57">
        <v>1</v>
      </c>
      <c r="J8" s="85">
        <f>2.3*(1/0.9)/1000</f>
        <v>2.5555555555555553E-3</v>
      </c>
      <c r="K8" s="86"/>
      <c r="L8" s="55"/>
      <c r="M8" s="72">
        <v>2</v>
      </c>
      <c r="N8" s="72"/>
      <c r="O8" s="26"/>
      <c r="Q8" s="26"/>
      <c r="R8" s="10" t="str">
        <f>Commodities!$AD$47&amp;"_"&amp;$R$3&amp;"02"</f>
        <v>RSD_DTA1_LI_N02</v>
      </c>
      <c r="S8" s="10" t="s">
        <v>1254</v>
      </c>
      <c r="T8" s="57" t="str">
        <f>General!$D$18</f>
        <v>000s_Units</v>
      </c>
      <c r="U8" s="57" t="str">
        <f>General!$D$18</f>
        <v>000s_Units</v>
      </c>
      <c r="V8" s="57" t="s">
        <v>723</v>
      </c>
      <c r="W8" s="57"/>
      <c r="X8" s="26"/>
      <c r="AC8" s="83"/>
      <c r="AD8" s="26"/>
      <c r="AE8" s="26"/>
    </row>
    <row r="9" spans="2:31" s="10" customFormat="1" ht="16.5" customHeight="1" x14ac:dyDescent="0.25">
      <c r="B9" s="26" t="str">
        <f t="shared" ref="B9:B24" si="1">R8</f>
        <v>RSD_DTA1_LI_N02</v>
      </c>
      <c r="C9" s="26" t="str">
        <f t="shared" ref="C9:C24" si="2">S8</f>
        <v>Detached A1 Light Fluorescent  (N)</v>
      </c>
      <c r="D9" s="26" t="str">
        <f>Commodities!$D$341</f>
        <v>RSDELC</v>
      </c>
      <c r="E9" s="26" t="str">
        <f>E8</f>
        <v>RSD_DTA1_LI</v>
      </c>
      <c r="F9" s="84">
        <f t="shared" ref="F9:F14" si="3">G9</f>
        <v>2018</v>
      </c>
      <c r="G9" s="62">
        <f t="shared" si="0"/>
        <v>2018</v>
      </c>
      <c r="H9" s="72">
        <f>1/4.5</f>
        <v>0.22222222222222221</v>
      </c>
      <c r="I9" s="57">
        <v>1</v>
      </c>
      <c r="J9" s="87">
        <f>10*(1/0.9)/1000</f>
        <v>1.1111111111111112E-2</v>
      </c>
      <c r="K9" s="88"/>
      <c r="L9" s="57"/>
      <c r="M9" s="72">
        <v>8</v>
      </c>
      <c r="N9" s="72"/>
      <c r="O9" s="26"/>
      <c r="Q9" s="26"/>
      <c r="R9" s="10" t="str">
        <f>Commodities!$AD$47&amp;"_"&amp;$R$3&amp;"03"</f>
        <v>RSD_DTA1_LI_N03</v>
      </c>
      <c r="S9" s="10" t="s">
        <v>1255</v>
      </c>
      <c r="T9" s="57" t="str">
        <f>General!$D$18</f>
        <v>000s_Units</v>
      </c>
      <c r="U9" s="57" t="str">
        <f>General!$D$18</f>
        <v>000s_Units</v>
      </c>
      <c r="V9" s="57" t="s">
        <v>723</v>
      </c>
      <c r="W9" s="57"/>
      <c r="X9" s="26"/>
      <c r="AC9" s="83"/>
      <c r="AD9" s="26"/>
      <c r="AE9" s="26"/>
    </row>
    <row r="10" spans="2:31" s="10" customFormat="1" ht="16.5" customHeight="1" x14ac:dyDescent="0.25">
      <c r="B10" s="26" t="str">
        <f t="shared" si="1"/>
        <v>RSD_DTA1_LI_N03</v>
      </c>
      <c r="C10" s="26" t="str">
        <f t="shared" si="2"/>
        <v>Detached A1 Light LED  (N)</v>
      </c>
      <c r="D10" s="26" t="str">
        <f>Commodities!$D$341</f>
        <v>RSDELC</v>
      </c>
      <c r="E10" s="26" t="str">
        <f>E9</f>
        <v>RSD_DTA1_LI</v>
      </c>
      <c r="F10" s="84">
        <f t="shared" si="3"/>
        <v>2025</v>
      </c>
      <c r="G10" s="62">
        <f>BASE_YEAR+8</f>
        <v>2025</v>
      </c>
      <c r="H10" s="72">
        <f>1/7</f>
        <v>0.14285714285714285</v>
      </c>
      <c r="I10" s="57">
        <v>1</v>
      </c>
      <c r="J10" s="87">
        <f>20*(1/0.9)/1000</f>
        <v>2.2222222222222223E-2</v>
      </c>
      <c r="K10" s="88"/>
      <c r="L10" s="57"/>
      <c r="M10" s="72">
        <v>12</v>
      </c>
      <c r="N10" s="72"/>
      <c r="O10" s="26"/>
      <c r="Q10" s="11"/>
      <c r="R10" s="11" t="str">
        <f>Commodities!$AD$47&amp;"_"&amp;$R$3&amp;"04"</f>
        <v>RSD_DTA1_LI_N04</v>
      </c>
      <c r="S10" s="11" t="s">
        <v>1256</v>
      </c>
      <c r="T10" s="22" t="str">
        <f>General!$D$18</f>
        <v>000s_Units</v>
      </c>
      <c r="U10" s="22" t="str">
        <f>General!$D$18</f>
        <v>000s_Units</v>
      </c>
      <c r="V10" s="22" t="s">
        <v>723</v>
      </c>
      <c r="W10" s="22"/>
      <c r="X10" s="11"/>
      <c r="AC10" s="40"/>
    </row>
    <row r="11" spans="2:31" s="10" customFormat="1" ht="16.5" customHeight="1" x14ac:dyDescent="0.25">
      <c r="B11" s="11" t="str">
        <f t="shared" si="1"/>
        <v>RSD_DTA1_LI_N04</v>
      </c>
      <c r="C11" s="11" t="str">
        <f t="shared" si="2"/>
        <v>Detached A1 Light Halogen  (N)</v>
      </c>
      <c r="D11" s="11" t="str">
        <f>Commodities!$D$341</f>
        <v>RSDELC</v>
      </c>
      <c r="E11" s="11" t="str">
        <f>E10</f>
        <v>RSD_DTA1_LI</v>
      </c>
      <c r="F11" s="89">
        <f>G11</f>
        <v>2018</v>
      </c>
      <c r="G11" s="64">
        <f t="shared" si="0"/>
        <v>2018</v>
      </c>
      <c r="H11" s="73">
        <f>1/2</f>
        <v>0.5</v>
      </c>
      <c r="I11" s="22">
        <v>1</v>
      </c>
      <c r="J11" s="90">
        <f>6.5*(1/0.9)/1000</f>
        <v>7.2222222222222219E-3</v>
      </c>
      <c r="K11" s="91"/>
      <c r="L11" s="22"/>
      <c r="M11" s="73">
        <v>5</v>
      </c>
      <c r="N11" s="73"/>
      <c r="O11" s="26"/>
      <c r="Q11" s="26"/>
      <c r="R11" s="10" t="str">
        <f>Commodities!$AD$48&amp;"_"&amp;$R$3&amp;"01"</f>
        <v>RSD_APA1_LI_N01</v>
      </c>
      <c r="S11" s="10" t="s">
        <v>1270</v>
      </c>
      <c r="T11" s="57" t="str">
        <f>General!$D$18</f>
        <v>000s_Units</v>
      </c>
      <c r="U11" s="57" t="str">
        <f>General!$D$18</f>
        <v>000s_Units</v>
      </c>
      <c r="V11" s="57" t="s">
        <v>723</v>
      </c>
      <c r="W11" s="57"/>
      <c r="X11" s="26"/>
      <c r="AC11" s="40"/>
    </row>
    <row r="12" spans="2:31" s="10" customFormat="1" ht="16.5" customHeight="1" x14ac:dyDescent="0.25">
      <c r="B12" s="26" t="str">
        <f t="shared" si="1"/>
        <v>RSD_APA1_LI_N01</v>
      </c>
      <c r="C12" s="26" t="str">
        <f t="shared" si="2"/>
        <v>Apartment A1  Light Standard  (N)</v>
      </c>
      <c r="D12" s="26" t="str">
        <f>Commodities!$D$341</f>
        <v>RSDELC</v>
      </c>
      <c r="E12" s="26" t="str">
        <f>Commodities!$AD$48</f>
        <v>RSD_APA1_LI</v>
      </c>
      <c r="F12" s="84">
        <f>G12</f>
        <v>2018</v>
      </c>
      <c r="G12" s="62">
        <f t="shared" si="0"/>
        <v>2018</v>
      </c>
      <c r="H12" s="72">
        <f>1/1.15</f>
        <v>0.86956521739130443</v>
      </c>
      <c r="I12" s="57">
        <v>1</v>
      </c>
      <c r="J12" s="85">
        <f>2.3*(1/0.9)/1000</f>
        <v>2.5555555555555553E-3</v>
      </c>
      <c r="K12" s="86"/>
      <c r="L12" s="55"/>
      <c r="M12" s="72">
        <v>2</v>
      </c>
      <c r="N12" s="72"/>
      <c r="O12" s="26"/>
      <c r="Q12" s="26"/>
      <c r="R12" s="10" t="str">
        <f>Commodities!$AD$48&amp;"_"&amp;$R$3&amp;"02"</f>
        <v>RSD_APA1_LI_N02</v>
      </c>
      <c r="S12" s="10" t="s">
        <v>1271</v>
      </c>
      <c r="T12" s="57" t="str">
        <f>General!$D$18</f>
        <v>000s_Units</v>
      </c>
      <c r="U12" s="57" t="str">
        <f>General!$D$18</f>
        <v>000s_Units</v>
      </c>
      <c r="V12" s="57" t="s">
        <v>723</v>
      </c>
      <c r="W12" s="57"/>
      <c r="X12" s="26"/>
      <c r="AC12" s="40"/>
    </row>
    <row r="13" spans="2:31" s="10" customFormat="1" ht="16.5" customHeight="1" x14ac:dyDescent="0.25">
      <c r="B13" s="26" t="str">
        <f t="shared" si="1"/>
        <v>RSD_APA1_LI_N02</v>
      </c>
      <c r="C13" s="26" t="str">
        <f t="shared" si="2"/>
        <v>Apartment A1  Light Fluorescent  (N)</v>
      </c>
      <c r="D13" s="26" t="str">
        <f>Commodities!$D$341</f>
        <v>RSDELC</v>
      </c>
      <c r="E13" s="26" t="str">
        <f>E12</f>
        <v>RSD_APA1_LI</v>
      </c>
      <c r="F13" s="84">
        <f t="shared" si="3"/>
        <v>2018</v>
      </c>
      <c r="G13" s="62">
        <f t="shared" si="0"/>
        <v>2018</v>
      </c>
      <c r="H13" s="72">
        <f>1/4.5</f>
        <v>0.22222222222222221</v>
      </c>
      <c r="I13" s="57">
        <v>1</v>
      </c>
      <c r="J13" s="87">
        <f>10*(1/0.9)/1000</f>
        <v>1.1111111111111112E-2</v>
      </c>
      <c r="K13" s="88"/>
      <c r="L13" s="57"/>
      <c r="M13" s="72">
        <v>8</v>
      </c>
      <c r="N13" s="72"/>
      <c r="O13" s="26"/>
      <c r="Q13" s="26"/>
      <c r="R13" s="10" t="str">
        <f>Commodities!$AD$48&amp;"_"&amp;$R$3&amp;"03"</f>
        <v>RSD_APA1_LI_N03</v>
      </c>
      <c r="S13" s="10" t="s">
        <v>1272</v>
      </c>
      <c r="T13" s="57" t="str">
        <f>General!$D$18</f>
        <v>000s_Units</v>
      </c>
      <c r="U13" s="57" t="str">
        <f>General!$D$18</f>
        <v>000s_Units</v>
      </c>
      <c r="V13" s="57" t="s">
        <v>723</v>
      </c>
      <c r="W13" s="57"/>
      <c r="X13" s="26"/>
      <c r="AC13" s="40"/>
    </row>
    <row r="14" spans="2:31" s="10" customFormat="1" ht="16.5" customHeight="1" x14ac:dyDescent="0.25">
      <c r="B14" s="26" t="str">
        <f t="shared" si="1"/>
        <v>RSD_APA1_LI_N03</v>
      </c>
      <c r="C14" s="26" t="str">
        <f t="shared" si="2"/>
        <v>Apartment A1  Light LED  (N)</v>
      </c>
      <c r="D14" s="26" t="str">
        <f>Commodities!$D$341</f>
        <v>RSDELC</v>
      </c>
      <c r="E14" s="26" t="str">
        <f>E13</f>
        <v>RSD_APA1_LI</v>
      </c>
      <c r="F14" s="84">
        <f t="shared" si="3"/>
        <v>2025</v>
      </c>
      <c r="G14" s="62">
        <f>BASE_YEAR+8</f>
        <v>2025</v>
      </c>
      <c r="H14" s="72">
        <f>1/7</f>
        <v>0.14285714285714285</v>
      </c>
      <c r="I14" s="57">
        <v>1</v>
      </c>
      <c r="J14" s="87">
        <f>20*(1/0.9)/1000</f>
        <v>2.2222222222222223E-2</v>
      </c>
      <c r="K14" s="88"/>
      <c r="L14" s="57"/>
      <c r="M14" s="72">
        <v>12</v>
      </c>
      <c r="N14" s="72"/>
      <c r="O14" s="26"/>
      <c r="Q14" s="11"/>
      <c r="R14" s="11" t="str">
        <f>Commodities!$AD$48&amp;"_"&amp;$R$3&amp;"04"</f>
        <v>RSD_APA1_LI_N04</v>
      </c>
      <c r="S14" s="11" t="s">
        <v>1273</v>
      </c>
      <c r="T14" s="22" t="str">
        <f>General!$D$18</f>
        <v>000s_Units</v>
      </c>
      <c r="U14" s="22" t="str">
        <f>General!$D$18</f>
        <v>000s_Units</v>
      </c>
      <c r="V14" s="22" t="s">
        <v>723</v>
      </c>
      <c r="W14" s="22"/>
      <c r="X14" s="11"/>
      <c r="AC14" s="40"/>
    </row>
    <row r="15" spans="2:31" ht="16.5" customHeight="1" x14ac:dyDescent="0.25">
      <c r="B15" s="11" t="str">
        <f t="shared" si="1"/>
        <v>RSD_APA1_LI_N04</v>
      </c>
      <c r="C15" s="11" t="str">
        <f t="shared" si="2"/>
        <v>Apartment A1  Light Halogen  (N)</v>
      </c>
      <c r="D15" s="11" t="str">
        <f>Commodities!$D$341</f>
        <v>RSDELC</v>
      </c>
      <c r="E15" s="11" t="str">
        <f>E14</f>
        <v>RSD_APA1_LI</v>
      </c>
      <c r="F15" s="89">
        <f t="shared" ref="F15:F27" si="4">G15</f>
        <v>2018</v>
      </c>
      <c r="G15" s="64">
        <f t="shared" si="0"/>
        <v>2018</v>
      </c>
      <c r="H15" s="73">
        <f>1/2</f>
        <v>0.5</v>
      </c>
      <c r="I15" s="22">
        <v>1</v>
      </c>
      <c r="J15" s="90">
        <f>6.5*(1/0.9)/1000</f>
        <v>7.2222222222222219E-3</v>
      </c>
      <c r="K15" s="91"/>
      <c r="L15" s="22"/>
      <c r="M15" s="73">
        <v>5</v>
      </c>
      <c r="N15" s="73"/>
      <c r="Q15" s="26"/>
      <c r="R15" s="10" t="str">
        <f>Commodities!$AD$49&amp;"_"&amp;$R$3&amp;"01"</f>
        <v>RSD_DTA2_LI_N01</v>
      </c>
      <c r="S15" s="10" t="s">
        <v>1236</v>
      </c>
      <c r="T15" s="57" t="str">
        <f>General!$D$18</f>
        <v>000s_Units</v>
      </c>
      <c r="U15" s="57" t="str">
        <f>General!$D$18</f>
        <v>000s_Units</v>
      </c>
      <c r="V15" s="57" t="s">
        <v>723</v>
      </c>
      <c r="W15" s="57"/>
      <c r="X15" s="26"/>
      <c r="Z15" s="10"/>
    </row>
    <row r="16" spans="2:31" ht="16.5" customHeight="1" x14ac:dyDescent="0.25">
      <c r="B16" s="26" t="str">
        <f t="shared" si="1"/>
        <v>RSD_DTA2_LI_N01</v>
      </c>
      <c r="C16" s="26" t="str">
        <f t="shared" si="2"/>
        <v>Detached A2  Light Standard  (N)</v>
      </c>
      <c r="D16" s="26" t="str">
        <f>Commodities!$D$341</f>
        <v>RSDELC</v>
      </c>
      <c r="E16" s="26" t="str">
        <f>Commodities!$AD$49</f>
        <v>RSD_DTA2_LI</v>
      </c>
      <c r="F16" s="84">
        <f t="shared" si="4"/>
        <v>2018</v>
      </c>
      <c r="G16" s="62">
        <f t="shared" si="0"/>
        <v>2018</v>
      </c>
      <c r="H16" s="72">
        <f>1/1.15</f>
        <v>0.86956521739130443</v>
      </c>
      <c r="I16" s="57">
        <v>1</v>
      </c>
      <c r="J16" s="85">
        <f>2.3*(1/0.9)/1000</f>
        <v>2.5555555555555553E-3</v>
      </c>
      <c r="K16" s="86"/>
      <c r="L16" s="55"/>
      <c r="M16" s="72">
        <v>2</v>
      </c>
      <c r="N16" s="72"/>
      <c r="Q16" s="26"/>
      <c r="R16" s="10" t="str">
        <f>Commodities!$AD$49&amp;"_"&amp;$R$3&amp;"02"</f>
        <v>RSD_DTA2_LI_N02</v>
      </c>
      <c r="S16" s="10" t="s">
        <v>1237</v>
      </c>
      <c r="T16" s="57" t="str">
        <f>General!$D$18</f>
        <v>000s_Units</v>
      </c>
      <c r="U16" s="57" t="str">
        <f>General!$D$18</f>
        <v>000s_Units</v>
      </c>
      <c r="V16" s="57" t="s">
        <v>723</v>
      </c>
      <c r="W16" s="57"/>
      <c r="X16" s="26"/>
      <c r="Z16" s="10"/>
    </row>
    <row r="17" spans="2:26" ht="16.5" customHeight="1" x14ac:dyDescent="0.25">
      <c r="B17" s="26" t="str">
        <f t="shared" si="1"/>
        <v>RSD_DTA2_LI_N02</v>
      </c>
      <c r="C17" s="26" t="str">
        <f t="shared" si="2"/>
        <v>Detached A2  Light Fluorescent  (N)</v>
      </c>
      <c r="D17" s="26" t="str">
        <f>Commodities!$D$341</f>
        <v>RSDELC</v>
      </c>
      <c r="E17" s="26" t="str">
        <f>E16</f>
        <v>RSD_DTA2_LI</v>
      </c>
      <c r="F17" s="84">
        <f t="shared" si="4"/>
        <v>2018</v>
      </c>
      <c r="G17" s="62">
        <f t="shared" si="0"/>
        <v>2018</v>
      </c>
      <c r="H17" s="72">
        <f>1/4.5</f>
        <v>0.22222222222222221</v>
      </c>
      <c r="I17" s="57">
        <v>1</v>
      </c>
      <c r="J17" s="87">
        <f>10*(1/0.9)/1000</f>
        <v>1.1111111111111112E-2</v>
      </c>
      <c r="K17" s="88"/>
      <c r="L17" s="57"/>
      <c r="M17" s="72">
        <v>8</v>
      </c>
      <c r="N17" s="72"/>
      <c r="Q17" s="26"/>
      <c r="R17" s="10" t="str">
        <f>Commodities!$AD$49&amp;"_"&amp;$R$3&amp;"03"</f>
        <v>RSD_DTA2_LI_N03</v>
      </c>
      <c r="S17" s="10" t="s">
        <v>1238</v>
      </c>
      <c r="T17" s="57" t="str">
        <f>General!$D$18</f>
        <v>000s_Units</v>
      </c>
      <c r="U17" s="57" t="str">
        <f>General!$D$18</f>
        <v>000s_Units</v>
      </c>
      <c r="V17" s="57" t="s">
        <v>723</v>
      </c>
      <c r="W17" s="57"/>
      <c r="X17" s="26"/>
      <c r="Z17" s="10"/>
    </row>
    <row r="18" spans="2:26" ht="16.5" customHeight="1" x14ac:dyDescent="0.25">
      <c r="B18" s="26" t="str">
        <f t="shared" si="1"/>
        <v>RSD_DTA2_LI_N03</v>
      </c>
      <c r="C18" s="26" t="str">
        <f t="shared" si="2"/>
        <v>Detached A2  Light LED  (N)</v>
      </c>
      <c r="D18" s="26" t="str">
        <f>Commodities!$D$341</f>
        <v>RSDELC</v>
      </c>
      <c r="E18" s="26" t="str">
        <f>E17</f>
        <v>RSD_DTA2_LI</v>
      </c>
      <c r="F18" s="84">
        <f t="shared" si="4"/>
        <v>2025</v>
      </c>
      <c r="G18" s="62">
        <f>BASE_YEAR+8</f>
        <v>2025</v>
      </c>
      <c r="H18" s="72">
        <f>1/7</f>
        <v>0.14285714285714285</v>
      </c>
      <c r="I18" s="57">
        <v>1</v>
      </c>
      <c r="J18" s="87">
        <f>20*(1/0.9)/1000</f>
        <v>2.2222222222222223E-2</v>
      </c>
      <c r="K18" s="88"/>
      <c r="L18" s="57"/>
      <c r="M18" s="72">
        <v>12</v>
      </c>
      <c r="N18" s="72"/>
      <c r="Q18" s="11"/>
      <c r="R18" s="11" t="str">
        <f>Commodities!$AD$49&amp;"_"&amp;$R$3&amp;"04"</f>
        <v>RSD_DTA2_LI_N04</v>
      </c>
      <c r="S18" s="11" t="s">
        <v>1239</v>
      </c>
      <c r="T18" s="22" t="str">
        <f>General!$D$18</f>
        <v>000s_Units</v>
      </c>
      <c r="U18" s="22" t="str">
        <f>General!$D$18</f>
        <v>000s_Units</v>
      </c>
      <c r="V18" s="22" t="s">
        <v>723</v>
      </c>
      <c r="W18" s="22"/>
      <c r="X18" s="11"/>
      <c r="Z18" s="10"/>
    </row>
    <row r="19" spans="2:26" ht="16.5" customHeight="1" x14ac:dyDescent="0.25">
      <c r="B19" s="11" t="str">
        <f t="shared" si="1"/>
        <v>RSD_DTA2_LI_N04</v>
      </c>
      <c r="C19" s="11" t="str">
        <f t="shared" si="2"/>
        <v>Detached A2  Light Halogen  (N)</v>
      </c>
      <c r="D19" s="11" t="str">
        <f>Commodities!$D$341</f>
        <v>RSDELC</v>
      </c>
      <c r="E19" s="11" t="str">
        <f>E18</f>
        <v>RSD_DTA2_LI</v>
      </c>
      <c r="F19" s="89">
        <f t="shared" si="4"/>
        <v>2018</v>
      </c>
      <c r="G19" s="64">
        <f t="shared" si="0"/>
        <v>2018</v>
      </c>
      <c r="H19" s="73">
        <f>1/2</f>
        <v>0.5</v>
      </c>
      <c r="I19" s="22">
        <v>1</v>
      </c>
      <c r="J19" s="90">
        <f>6.5*(1/0.9)/1000</f>
        <v>7.2222222222222219E-3</v>
      </c>
      <c r="K19" s="91"/>
      <c r="L19" s="22"/>
      <c r="M19" s="73">
        <v>5</v>
      </c>
      <c r="N19" s="73"/>
      <c r="Q19" s="26"/>
      <c r="R19" s="10" t="str">
        <f>Commodities!$AD$50&amp;"_"&amp;$R$3&amp;"01"</f>
        <v>RSD_APA2_LI_N01</v>
      </c>
      <c r="S19" s="10" t="s">
        <v>1274</v>
      </c>
      <c r="T19" s="57" t="str">
        <f>General!$D$18</f>
        <v>000s_Units</v>
      </c>
      <c r="U19" s="57" t="str">
        <f>General!$D$18</f>
        <v>000s_Units</v>
      </c>
      <c r="V19" s="57" t="s">
        <v>723</v>
      </c>
      <c r="W19" s="57"/>
      <c r="X19" s="26"/>
      <c r="Z19" s="10"/>
    </row>
    <row r="20" spans="2:26" ht="16.5" customHeight="1" x14ac:dyDescent="0.25">
      <c r="B20" s="26" t="str">
        <f t="shared" si="1"/>
        <v>RSD_APA2_LI_N01</v>
      </c>
      <c r="C20" s="26" t="str">
        <f t="shared" si="2"/>
        <v>Apartment A2   Light Standard  (N)</v>
      </c>
      <c r="D20" s="26" t="str">
        <f>Commodities!$D$341</f>
        <v>RSDELC</v>
      </c>
      <c r="E20" s="26" t="str">
        <f>Commodities!$AD$50</f>
        <v>RSD_APA2_LI</v>
      </c>
      <c r="F20" s="84">
        <f t="shared" si="4"/>
        <v>2018</v>
      </c>
      <c r="G20" s="62">
        <f t="shared" si="0"/>
        <v>2018</v>
      </c>
      <c r="H20" s="72">
        <f>1/1.15</f>
        <v>0.86956521739130443</v>
      </c>
      <c r="I20" s="57">
        <v>1</v>
      </c>
      <c r="J20" s="85">
        <f>2.3*(1/0.9)/1000</f>
        <v>2.5555555555555553E-3</v>
      </c>
      <c r="K20" s="86"/>
      <c r="L20" s="55"/>
      <c r="M20" s="72">
        <v>2</v>
      </c>
      <c r="N20" s="72"/>
      <c r="Q20" s="26"/>
      <c r="R20" s="10" t="str">
        <f>Commodities!$AD$50&amp;"_"&amp;$R$3&amp;"02"</f>
        <v>RSD_APA2_LI_N02</v>
      </c>
      <c r="S20" s="10" t="s">
        <v>1275</v>
      </c>
      <c r="T20" s="57" t="str">
        <f>General!$D$18</f>
        <v>000s_Units</v>
      </c>
      <c r="U20" s="57" t="str">
        <f>General!$D$18</f>
        <v>000s_Units</v>
      </c>
      <c r="V20" s="57" t="s">
        <v>723</v>
      </c>
      <c r="W20" s="57"/>
      <c r="X20" s="26"/>
      <c r="Z20" s="10"/>
    </row>
    <row r="21" spans="2:26" ht="16.5" customHeight="1" x14ac:dyDescent="0.25">
      <c r="B21" s="26" t="str">
        <f t="shared" si="1"/>
        <v>RSD_APA2_LI_N02</v>
      </c>
      <c r="C21" s="26" t="str">
        <f t="shared" si="2"/>
        <v>Apartment A2   Light Fluorescent  (N)</v>
      </c>
      <c r="D21" s="26" t="str">
        <f>Commodities!$D$341</f>
        <v>RSDELC</v>
      </c>
      <c r="E21" s="26" t="str">
        <f>E20</f>
        <v>RSD_APA2_LI</v>
      </c>
      <c r="F21" s="84">
        <f t="shared" si="4"/>
        <v>2018</v>
      </c>
      <c r="G21" s="62">
        <f t="shared" si="0"/>
        <v>2018</v>
      </c>
      <c r="H21" s="72">
        <f>1/4.5</f>
        <v>0.22222222222222221</v>
      </c>
      <c r="I21" s="57">
        <v>1</v>
      </c>
      <c r="J21" s="87">
        <f>10*(1/0.9)/1000</f>
        <v>1.1111111111111112E-2</v>
      </c>
      <c r="K21" s="88"/>
      <c r="L21" s="57"/>
      <c r="M21" s="72">
        <v>8</v>
      </c>
      <c r="N21" s="72"/>
      <c r="Q21" s="26"/>
      <c r="R21" s="10" t="str">
        <f>Commodities!$AD$50&amp;"_"&amp;$R$3&amp;"03"</f>
        <v>RSD_APA2_LI_N03</v>
      </c>
      <c r="S21" s="10" t="s">
        <v>1276</v>
      </c>
      <c r="T21" s="57" t="str">
        <f>General!$D$18</f>
        <v>000s_Units</v>
      </c>
      <c r="U21" s="57" t="str">
        <f>General!$D$18</f>
        <v>000s_Units</v>
      </c>
      <c r="V21" s="57" t="s">
        <v>723</v>
      </c>
      <c r="W21" s="57"/>
      <c r="X21" s="26"/>
      <c r="Z21" s="10"/>
    </row>
    <row r="22" spans="2:26" ht="16.5" customHeight="1" x14ac:dyDescent="0.25">
      <c r="B22" s="26" t="str">
        <f t="shared" si="1"/>
        <v>RSD_APA2_LI_N03</v>
      </c>
      <c r="C22" s="26" t="str">
        <f t="shared" si="2"/>
        <v>Apartment A2   Light LED  (N)</v>
      </c>
      <c r="D22" s="26" t="str">
        <f>Commodities!$D$341</f>
        <v>RSDELC</v>
      </c>
      <c r="E22" s="26" t="str">
        <f>E21</f>
        <v>RSD_APA2_LI</v>
      </c>
      <c r="F22" s="84">
        <f t="shared" si="4"/>
        <v>2025</v>
      </c>
      <c r="G22" s="62">
        <f>BASE_YEAR+8</f>
        <v>2025</v>
      </c>
      <c r="H22" s="72">
        <f>1/7</f>
        <v>0.14285714285714285</v>
      </c>
      <c r="I22" s="57">
        <v>1</v>
      </c>
      <c r="J22" s="87">
        <f>20*(1/0.9)/1000</f>
        <v>2.2222222222222223E-2</v>
      </c>
      <c r="K22" s="88"/>
      <c r="L22" s="57"/>
      <c r="M22" s="72">
        <v>12</v>
      </c>
      <c r="N22" s="72"/>
      <c r="Q22" s="11"/>
      <c r="R22" s="11" t="str">
        <f>Commodities!$AD$50&amp;"_"&amp;$R$3&amp;"04"</f>
        <v>RSD_APA2_LI_N04</v>
      </c>
      <c r="S22" s="11" t="s">
        <v>1277</v>
      </c>
      <c r="T22" s="22" t="str">
        <f>General!$D$18</f>
        <v>000s_Units</v>
      </c>
      <c r="U22" s="22" t="str">
        <f>General!$D$18</f>
        <v>000s_Units</v>
      </c>
      <c r="V22" s="22" t="s">
        <v>723</v>
      </c>
      <c r="W22" s="22"/>
      <c r="X22" s="11"/>
      <c r="Z22" s="10"/>
    </row>
    <row r="23" spans="2:26" ht="16.5" customHeight="1" x14ac:dyDescent="0.25">
      <c r="B23" s="11" t="str">
        <f t="shared" si="1"/>
        <v>RSD_APA2_LI_N04</v>
      </c>
      <c r="C23" s="11" t="str">
        <f t="shared" si="2"/>
        <v>Apartment A2   Light Halogen  (N)</v>
      </c>
      <c r="D23" s="11" t="str">
        <f>Commodities!$D$341</f>
        <v>RSDELC</v>
      </c>
      <c r="E23" s="11" t="str">
        <f>E22</f>
        <v>RSD_APA2_LI</v>
      </c>
      <c r="F23" s="89">
        <f t="shared" si="4"/>
        <v>2018</v>
      </c>
      <c r="G23" s="64">
        <f t="shared" si="0"/>
        <v>2018</v>
      </c>
      <c r="H23" s="73">
        <f>1/2</f>
        <v>0.5</v>
      </c>
      <c r="I23" s="22">
        <v>1</v>
      </c>
      <c r="J23" s="90">
        <f>6.5*(1/0.9)/1000</f>
        <v>7.2222222222222219E-3</v>
      </c>
      <c r="K23" s="91"/>
      <c r="L23" s="22"/>
      <c r="M23" s="73">
        <v>5</v>
      </c>
      <c r="N23" s="73"/>
      <c r="Q23" s="26"/>
      <c r="R23" s="10" t="str">
        <f>Commodities!$AD$51&amp;"_"&amp;$R$3&amp;"01"</f>
        <v>RSD_DTA3_LI_N01</v>
      </c>
      <c r="S23" s="10" t="s">
        <v>1219</v>
      </c>
      <c r="T23" s="57" t="str">
        <f>General!$D$18</f>
        <v>000s_Units</v>
      </c>
      <c r="U23" s="57" t="str">
        <f>General!$D$18</f>
        <v>000s_Units</v>
      </c>
      <c r="V23" s="57" t="s">
        <v>723</v>
      </c>
      <c r="W23" s="57"/>
      <c r="X23" s="26"/>
      <c r="Z23" s="10"/>
    </row>
    <row r="24" spans="2:26" ht="16.5" customHeight="1" x14ac:dyDescent="0.25">
      <c r="B24" s="26" t="str">
        <f t="shared" si="1"/>
        <v>RSD_DTA3_LI_N01</v>
      </c>
      <c r="C24" s="26" t="str">
        <f t="shared" si="2"/>
        <v>Detached A3  Light Standard  (N)</v>
      </c>
      <c r="D24" s="26" t="str">
        <f>Commodities!$D$341</f>
        <v>RSDELC</v>
      </c>
      <c r="E24" s="26" t="str">
        <f>Commodities!$AD$51</f>
        <v>RSD_DTA3_LI</v>
      </c>
      <c r="F24" s="84">
        <f t="shared" si="4"/>
        <v>2018</v>
      </c>
      <c r="G24" s="62">
        <f t="shared" si="0"/>
        <v>2018</v>
      </c>
      <c r="H24" s="72">
        <f>1/1.15</f>
        <v>0.86956521739130443</v>
      </c>
      <c r="I24" s="57">
        <v>1</v>
      </c>
      <c r="J24" s="85">
        <f>2.3*(1/0.9)/1000</f>
        <v>2.5555555555555553E-3</v>
      </c>
      <c r="K24" s="86"/>
      <c r="L24" s="55"/>
      <c r="M24" s="72">
        <v>2</v>
      </c>
      <c r="N24" s="72"/>
      <c r="Q24" s="26"/>
      <c r="R24" s="10" t="str">
        <f>Commodities!$AD$51&amp;"_"&amp;$R$3&amp;"02"</f>
        <v>RSD_DTA3_LI_N02</v>
      </c>
      <c r="S24" s="10" t="s">
        <v>1220</v>
      </c>
      <c r="T24" s="57" t="str">
        <f>General!$D$18</f>
        <v>000s_Units</v>
      </c>
      <c r="U24" s="57" t="str">
        <f>General!$D$18</f>
        <v>000s_Units</v>
      </c>
      <c r="V24" s="57" t="s">
        <v>723</v>
      </c>
      <c r="W24" s="57"/>
      <c r="X24" s="26"/>
      <c r="Z24" s="10"/>
    </row>
    <row r="25" spans="2:26" ht="16.5" customHeight="1" x14ac:dyDescent="0.25">
      <c r="B25" s="26" t="str">
        <f t="shared" ref="B25:C27" si="5">R24</f>
        <v>RSD_DTA3_LI_N02</v>
      </c>
      <c r="C25" s="26" t="str">
        <f t="shared" si="5"/>
        <v>Detached A3  Light Fluorescent  (N)</v>
      </c>
      <c r="D25" s="26" t="str">
        <f>Commodities!$D$341</f>
        <v>RSDELC</v>
      </c>
      <c r="E25" s="26" t="str">
        <f>E24</f>
        <v>RSD_DTA3_LI</v>
      </c>
      <c r="F25" s="84">
        <f t="shared" si="4"/>
        <v>2018</v>
      </c>
      <c r="G25" s="62">
        <f t="shared" si="0"/>
        <v>2018</v>
      </c>
      <c r="H25" s="72">
        <f>1/4.5</f>
        <v>0.22222222222222221</v>
      </c>
      <c r="I25" s="57">
        <v>1</v>
      </c>
      <c r="J25" s="87">
        <f>10*(1/0.9)/1000</f>
        <v>1.1111111111111112E-2</v>
      </c>
      <c r="K25" s="88"/>
      <c r="L25" s="57"/>
      <c r="M25" s="72">
        <v>8</v>
      </c>
      <c r="N25" s="72"/>
      <c r="Q25" s="26"/>
      <c r="R25" s="10" t="str">
        <f>Commodities!$AD$51&amp;"_"&amp;$R$3&amp;"03"</f>
        <v>RSD_DTA3_LI_N03</v>
      </c>
      <c r="S25" s="10" t="s">
        <v>1221</v>
      </c>
      <c r="T25" s="57" t="str">
        <f>General!$D$18</f>
        <v>000s_Units</v>
      </c>
      <c r="U25" s="57" t="str">
        <f>General!$D$18</f>
        <v>000s_Units</v>
      </c>
      <c r="V25" s="57" t="s">
        <v>723</v>
      </c>
      <c r="W25" s="57"/>
      <c r="X25" s="26"/>
      <c r="Z25" s="10"/>
    </row>
    <row r="26" spans="2:26" ht="16.5" customHeight="1" x14ac:dyDescent="0.25">
      <c r="B26" s="26" t="str">
        <f t="shared" si="5"/>
        <v>RSD_DTA3_LI_N03</v>
      </c>
      <c r="C26" s="26" t="str">
        <f t="shared" si="5"/>
        <v>Detached A3  Light LED  (N)</v>
      </c>
      <c r="D26" s="26" t="str">
        <f>Commodities!$D$341</f>
        <v>RSDELC</v>
      </c>
      <c r="E26" s="26" t="str">
        <f>E25</f>
        <v>RSD_DTA3_LI</v>
      </c>
      <c r="F26" s="84">
        <f t="shared" si="4"/>
        <v>2025</v>
      </c>
      <c r="G26" s="62">
        <f>BASE_YEAR+8</f>
        <v>2025</v>
      </c>
      <c r="H26" s="72">
        <f>1/7</f>
        <v>0.14285714285714285</v>
      </c>
      <c r="I26" s="57">
        <v>1</v>
      </c>
      <c r="J26" s="87">
        <f>20*(1/0.9)/1000</f>
        <v>2.2222222222222223E-2</v>
      </c>
      <c r="K26" s="88"/>
      <c r="L26" s="57"/>
      <c r="M26" s="72">
        <v>12</v>
      </c>
      <c r="N26" s="72"/>
      <c r="Q26" s="11"/>
      <c r="R26" s="11" t="str">
        <f>Commodities!$AD$51&amp;"_"&amp;$R$3&amp;"04"</f>
        <v>RSD_DTA3_LI_N04</v>
      </c>
      <c r="S26" s="11" t="s">
        <v>1222</v>
      </c>
      <c r="T26" s="22" t="str">
        <f>General!$D$18</f>
        <v>000s_Units</v>
      </c>
      <c r="U26" s="22" t="str">
        <f>General!$D$18</f>
        <v>000s_Units</v>
      </c>
      <c r="V26" s="22" t="s">
        <v>723</v>
      </c>
      <c r="W26" s="22"/>
      <c r="X26" s="11"/>
      <c r="Z26" s="10"/>
    </row>
    <row r="27" spans="2:26" ht="16.5" customHeight="1" x14ac:dyDescent="0.25">
      <c r="B27" s="11" t="str">
        <f t="shared" si="5"/>
        <v>RSD_DTA3_LI_N04</v>
      </c>
      <c r="C27" s="11" t="str">
        <f t="shared" si="5"/>
        <v>Detached A3  Light Halogen  (N)</v>
      </c>
      <c r="D27" s="11" t="str">
        <f>Commodities!$D$341</f>
        <v>RSDELC</v>
      </c>
      <c r="E27" s="11" t="str">
        <f>E26</f>
        <v>RSD_DTA3_LI</v>
      </c>
      <c r="F27" s="89">
        <f t="shared" si="4"/>
        <v>2018</v>
      </c>
      <c r="G27" s="64">
        <f t="shared" si="0"/>
        <v>2018</v>
      </c>
      <c r="H27" s="73">
        <f>1/2</f>
        <v>0.5</v>
      </c>
      <c r="I27" s="22">
        <v>1</v>
      </c>
      <c r="J27" s="90">
        <f>6.5*(1/0.9)/1000</f>
        <v>7.2222222222222219E-3</v>
      </c>
      <c r="K27" s="91"/>
      <c r="L27" s="22"/>
      <c r="M27" s="73">
        <v>5</v>
      </c>
      <c r="N27" s="73"/>
      <c r="Q27" s="26"/>
      <c r="R27" s="10" t="str">
        <f>Commodities!$AD$52&amp;"_"&amp;$R$3&amp;"01"</f>
        <v>RSD_APA3_LI_N01</v>
      </c>
      <c r="S27" s="10" t="s">
        <v>1278</v>
      </c>
      <c r="T27" s="57" t="str">
        <f>General!$D$18</f>
        <v>000s_Units</v>
      </c>
      <c r="U27" s="57" t="str">
        <f>General!$D$18</f>
        <v>000s_Units</v>
      </c>
      <c r="V27" s="57" t="s">
        <v>723</v>
      </c>
      <c r="W27" s="57"/>
      <c r="X27" s="26"/>
      <c r="Z27" s="10"/>
    </row>
    <row r="28" spans="2:26" ht="16.5" customHeight="1" x14ac:dyDescent="0.25">
      <c r="B28" s="26" t="str">
        <f t="shared" ref="B28:B39" si="6">R27</f>
        <v>RSD_APA3_LI_N01</v>
      </c>
      <c r="C28" s="26" t="str">
        <f t="shared" ref="C28:C39" si="7">S27</f>
        <v>Apartment A3   Light Standard  (N)</v>
      </c>
      <c r="D28" s="26" t="str">
        <f>Commodities!$D$341</f>
        <v>RSDELC</v>
      </c>
      <c r="E28" s="26" t="str">
        <f>Commodities!$AD$52</f>
        <v>RSD_APA3_LI</v>
      </c>
      <c r="F28" s="84">
        <f t="shared" ref="F28:F39" si="8">G28</f>
        <v>2018</v>
      </c>
      <c r="G28" s="62">
        <f t="shared" si="0"/>
        <v>2018</v>
      </c>
      <c r="H28" s="72">
        <f>1/1.15</f>
        <v>0.86956521739130443</v>
      </c>
      <c r="I28" s="57">
        <v>1</v>
      </c>
      <c r="J28" s="85">
        <f>2.3*(1/0.9)/1000</f>
        <v>2.5555555555555553E-3</v>
      </c>
      <c r="K28" s="86"/>
      <c r="L28" s="55"/>
      <c r="M28" s="72">
        <v>2</v>
      </c>
      <c r="N28" s="72"/>
      <c r="Q28" s="26"/>
      <c r="R28" s="10" t="str">
        <f>Commodities!$AD$52&amp;"_"&amp;$R$3&amp;"02"</f>
        <v>RSD_APA3_LI_N02</v>
      </c>
      <c r="S28" s="10" t="s">
        <v>1279</v>
      </c>
      <c r="T28" s="57" t="str">
        <f>General!$D$18</f>
        <v>000s_Units</v>
      </c>
      <c r="U28" s="57" t="str">
        <f>General!$D$18</f>
        <v>000s_Units</v>
      </c>
      <c r="V28" s="57" t="s">
        <v>723</v>
      </c>
      <c r="W28" s="57"/>
      <c r="X28" s="26"/>
      <c r="Z28" s="10"/>
    </row>
    <row r="29" spans="2:26" ht="16.5" customHeight="1" x14ac:dyDescent="0.25">
      <c r="B29" s="26" t="str">
        <f t="shared" si="6"/>
        <v>RSD_APA3_LI_N02</v>
      </c>
      <c r="C29" s="26" t="str">
        <f t="shared" si="7"/>
        <v>Apartment A3   Light Fluorescent  (N)</v>
      </c>
      <c r="D29" s="26" t="str">
        <f>Commodities!$D$341</f>
        <v>RSDELC</v>
      </c>
      <c r="E29" s="26" t="str">
        <f>E28</f>
        <v>RSD_APA3_LI</v>
      </c>
      <c r="F29" s="84">
        <f t="shared" si="8"/>
        <v>2018</v>
      </c>
      <c r="G29" s="62">
        <f t="shared" si="0"/>
        <v>2018</v>
      </c>
      <c r="H29" s="72">
        <f>1/4.5</f>
        <v>0.22222222222222221</v>
      </c>
      <c r="I29" s="57">
        <v>1</v>
      </c>
      <c r="J29" s="87">
        <f>10*(1/0.9)/1000</f>
        <v>1.1111111111111112E-2</v>
      </c>
      <c r="K29" s="88"/>
      <c r="L29" s="57"/>
      <c r="M29" s="72">
        <v>8</v>
      </c>
      <c r="N29" s="72"/>
      <c r="Q29" s="26"/>
      <c r="R29" s="10" t="str">
        <f>Commodities!$AD$52&amp;"_"&amp;$R$3&amp;"03"</f>
        <v>RSD_APA3_LI_N03</v>
      </c>
      <c r="S29" s="10" t="s">
        <v>1280</v>
      </c>
      <c r="T29" s="57" t="str">
        <f>General!$D$18</f>
        <v>000s_Units</v>
      </c>
      <c r="U29" s="57" t="str">
        <f>General!$D$18</f>
        <v>000s_Units</v>
      </c>
      <c r="V29" s="57" t="s">
        <v>723</v>
      </c>
      <c r="W29" s="57"/>
      <c r="X29" s="26"/>
      <c r="Z29" s="10"/>
    </row>
    <row r="30" spans="2:26" ht="16.5" customHeight="1" x14ac:dyDescent="0.25">
      <c r="B30" s="26" t="str">
        <f t="shared" si="6"/>
        <v>RSD_APA3_LI_N03</v>
      </c>
      <c r="C30" s="26" t="str">
        <f t="shared" si="7"/>
        <v>Apartment A3   Light LED  (N)</v>
      </c>
      <c r="D30" s="26" t="str">
        <f>Commodities!$D$341</f>
        <v>RSDELC</v>
      </c>
      <c r="E30" s="26" t="str">
        <f>E29</f>
        <v>RSD_APA3_LI</v>
      </c>
      <c r="F30" s="84">
        <f t="shared" si="8"/>
        <v>2025</v>
      </c>
      <c r="G30" s="62">
        <f>BASE_YEAR+8</f>
        <v>2025</v>
      </c>
      <c r="H30" s="72">
        <f>1/7</f>
        <v>0.14285714285714285</v>
      </c>
      <c r="I30" s="57">
        <v>1</v>
      </c>
      <c r="J30" s="87">
        <f>20*(1/0.9)/1000</f>
        <v>2.2222222222222223E-2</v>
      </c>
      <c r="K30" s="88"/>
      <c r="L30" s="57"/>
      <c r="M30" s="72">
        <v>12</v>
      </c>
      <c r="N30" s="72"/>
      <c r="Q30" s="11"/>
      <c r="R30" s="11" t="str">
        <f>Commodities!$AD$52&amp;"_"&amp;$R$3&amp;"04"</f>
        <v>RSD_APA3_LI_N04</v>
      </c>
      <c r="S30" s="11" t="s">
        <v>1281</v>
      </c>
      <c r="T30" s="22" t="str">
        <f>General!$D$18</f>
        <v>000s_Units</v>
      </c>
      <c r="U30" s="22" t="str">
        <f>General!$D$18</f>
        <v>000s_Units</v>
      </c>
      <c r="V30" s="22" t="s">
        <v>723</v>
      </c>
      <c r="W30" s="22"/>
      <c r="X30" s="11"/>
      <c r="Z30" s="10"/>
    </row>
    <row r="31" spans="2:26" ht="16.5" customHeight="1" x14ac:dyDescent="0.25">
      <c r="B31" s="11" t="str">
        <f t="shared" si="6"/>
        <v>RSD_APA3_LI_N04</v>
      </c>
      <c r="C31" s="11" t="str">
        <f t="shared" si="7"/>
        <v>Apartment A3   Light Halogen  (N)</v>
      </c>
      <c r="D31" s="11" t="str">
        <f>Commodities!$D$341</f>
        <v>RSDELC</v>
      </c>
      <c r="E31" s="11" t="str">
        <f>E30</f>
        <v>RSD_APA3_LI</v>
      </c>
      <c r="F31" s="89">
        <f t="shared" si="8"/>
        <v>2018</v>
      </c>
      <c r="G31" s="64">
        <f t="shared" si="0"/>
        <v>2018</v>
      </c>
      <c r="H31" s="73">
        <f>1/2</f>
        <v>0.5</v>
      </c>
      <c r="I31" s="22">
        <v>1</v>
      </c>
      <c r="J31" s="90">
        <f>6.5*(1/0.9)/1000</f>
        <v>7.2222222222222219E-3</v>
      </c>
      <c r="K31" s="91"/>
      <c r="L31" s="22"/>
      <c r="M31" s="73">
        <v>5</v>
      </c>
      <c r="N31" s="73"/>
      <c r="Q31" s="26"/>
      <c r="R31" s="10" t="str">
        <f>Commodities!$AD$53&amp;"_"&amp;$R$3&amp;"01"</f>
        <v>RSD_DTA4_LI_N01</v>
      </c>
      <c r="S31" s="10" t="s">
        <v>1202</v>
      </c>
      <c r="T31" s="57" t="str">
        <f>General!$D$18</f>
        <v>000s_Units</v>
      </c>
      <c r="U31" s="57" t="str">
        <f>General!$D$18</f>
        <v>000s_Units</v>
      </c>
      <c r="V31" s="57" t="s">
        <v>723</v>
      </c>
      <c r="W31" s="57"/>
      <c r="X31" s="26"/>
      <c r="Z31" s="10"/>
    </row>
    <row r="32" spans="2:26" ht="16.5" customHeight="1" x14ac:dyDescent="0.25">
      <c r="B32" s="26" t="str">
        <f t="shared" si="6"/>
        <v>RSD_DTA4_LI_N01</v>
      </c>
      <c r="C32" s="26" t="str">
        <f t="shared" si="7"/>
        <v>Detached A4  Light Standard  (N)</v>
      </c>
      <c r="D32" s="26" t="str">
        <f>Commodities!$D$341</f>
        <v>RSDELC</v>
      </c>
      <c r="E32" s="26" t="str">
        <f>Commodities!$AD$53</f>
        <v>RSD_DTA4_LI</v>
      </c>
      <c r="F32" s="84">
        <f t="shared" si="8"/>
        <v>2018</v>
      </c>
      <c r="G32" s="62">
        <f t="shared" si="0"/>
        <v>2018</v>
      </c>
      <c r="H32" s="72">
        <f>1/1.15</f>
        <v>0.86956521739130443</v>
      </c>
      <c r="I32" s="57">
        <v>1</v>
      </c>
      <c r="J32" s="85">
        <f>2.3*(1/0.9)/1000</f>
        <v>2.5555555555555553E-3</v>
      </c>
      <c r="K32" s="86"/>
      <c r="L32" s="55"/>
      <c r="M32" s="72">
        <v>2</v>
      </c>
      <c r="N32" s="72"/>
      <c r="Q32" s="26"/>
      <c r="R32" s="10" t="str">
        <f>Commodities!$AD$53&amp;"_"&amp;$R$3&amp;"02"</f>
        <v>RSD_DTA4_LI_N02</v>
      </c>
      <c r="S32" s="10" t="s">
        <v>1203</v>
      </c>
      <c r="T32" s="57" t="str">
        <f>General!$D$18</f>
        <v>000s_Units</v>
      </c>
      <c r="U32" s="57" t="str">
        <f>General!$D$18</f>
        <v>000s_Units</v>
      </c>
      <c r="V32" s="57" t="s">
        <v>723</v>
      </c>
      <c r="W32" s="57"/>
      <c r="X32" s="26"/>
      <c r="Z32" s="10"/>
    </row>
    <row r="33" spans="2:26" ht="16.5" customHeight="1" x14ac:dyDescent="0.25">
      <c r="B33" s="26" t="str">
        <f t="shared" si="6"/>
        <v>RSD_DTA4_LI_N02</v>
      </c>
      <c r="C33" s="26" t="str">
        <f t="shared" si="7"/>
        <v>Detached A4  Light Fluorescent  (N)</v>
      </c>
      <c r="D33" s="26" t="str">
        <f>Commodities!$D$341</f>
        <v>RSDELC</v>
      </c>
      <c r="E33" s="26" t="str">
        <f>E32</f>
        <v>RSD_DTA4_LI</v>
      </c>
      <c r="F33" s="84">
        <f t="shared" si="8"/>
        <v>2018</v>
      </c>
      <c r="G33" s="62">
        <f t="shared" si="0"/>
        <v>2018</v>
      </c>
      <c r="H33" s="72">
        <f>1/4.5</f>
        <v>0.22222222222222221</v>
      </c>
      <c r="I33" s="57">
        <v>1</v>
      </c>
      <c r="J33" s="87">
        <f>10*(1/0.9)/1000</f>
        <v>1.1111111111111112E-2</v>
      </c>
      <c r="K33" s="88"/>
      <c r="L33" s="57"/>
      <c r="M33" s="72">
        <v>8</v>
      </c>
      <c r="N33" s="72"/>
      <c r="Q33" s="26"/>
      <c r="R33" s="10" t="str">
        <f>Commodities!$AD$53&amp;"_"&amp;$R$3&amp;"03"</f>
        <v>RSD_DTA4_LI_N03</v>
      </c>
      <c r="S33" s="10" t="s">
        <v>1204</v>
      </c>
      <c r="T33" s="57" t="str">
        <f>General!$D$18</f>
        <v>000s_Units</v>
      </c>
      <c r="U33" s="57" t="str">
        <f>General!$D$18</f>
        <v>000s_Units</v>
      </c>
      <c r="V33" s="57" t="s">
        <v>723</v>
      </c>
      <c r="W33" s="57"/>
      <c r="X33" s="26"/>
      <c r="Z33" s="10"/>
    </row>
    <row r="34" spans="2:26" ht="16.5" customHeight="1" x14ac:dyDescent="0.25">
      <c r="B34" s="26" t="str">
        <f t="shared" si="6"/>
        <v>RSD_DTA4_LI_N03</v>
      </c>
      <c r="C34" s="26" t="str">
        <f t="shared" si="7"/>
        <v>Detached A4  Light LED  (N)</v>
      </c>
      <c r="D34" s="26" t="str">
        <f>Commodities!$D$341</f>
        <v>RSDELC</v>
      </c>
      <c r="E34" s="26" t="str">
        <f>E33</f>
        <v>RSD_DTA4_LI</v>
      </c>
      <c r="F34" s="84">
        <f t="shared" si="8"/>
        <v>2025</v>
      </c>
      <c r="G34" s="62">
        <f>BASE_YEAR+8</f>
        <v>2025</v>
      </c>
      <c r="H34" s="72">
        <f>1/7</f>
        <v>0.14285714285714285</v>
      </c>
      <c r="I34" s="57">
        <v>1</v>
      </c>
      <c r="J34" s="87">
        <f>20*(1/0.9)/1000</f>
        <v>2.2222222222222223E-2</v>
      </c>
      <c r="K34" s="88"/>
      <c r="L34" s="57"/>
      <c r="M34" s="72">
        <v>12</v>
      </c>
      <c r="N34" s="72"/>
      <c r="Q34" s="11"/>
      <c r="R34" s="11" t="str">
        <f>Commodities!$AD$53&amp;"_"&amp;$R$3&amp;"04"</f>
        <v>RSD_DTA4_LI_N04</v>
      </c>
      <c r="S34" s="11" t="s">
        <v>1205</v>
      </c>
      <c r="T34" s="22" t="str">
        <f>General!$D$18</f>
        <v>000s_Units</v>
      </c>
      <c r="U34" s="22" t="str">
        <f>General!$D$18</f>
        <v>000s_Units</v>
      </c>
      <c r="V34" s="22" t="s">
        <v>723</v>
      </c>
      <c r="W34" s="22"/>
      <c r="X34" s="11"/>
      <c r="Z34" s="10"/>
    </row>
    <row r="35" spans="2:26" ht="16.5" customHeight="1" x14ac:dyDescent="0.25">
      <c r="B35" s="11" t="str">
        <f t="shared" si="6"/>
        <v>RSD_DTA4_LI_N04</v>
      </c>
      <c r="C35" s="11" t="str">
        <f t="shared" si="7"/>
        <v>Detached A4  Light Halogen  (N)</v>
      </c>
      <c r="D35" s="11" t="str">
        <f>Commodities!$D$341</f>
        <v>RSDELC</v>
      </c>
      <c r="E35" s="11" t="str">
        <f>E34</f>
        <v>RSD_DTA4_LI</v>
      </c>
      <c r="F35" s="89">
        <f t="shared" si="8"/>
        <v>2018</v>
      </c>
      <c r="G35" s="64">
        <f t="shared" si="0"/>
        <v>2018</v>
      </c>
      <c r="H35" s="73">
        <f>1/2</f>
        <v>0.5</v>
      </c>
      <c r="I35" s="22">
        <v>1</v>
      </c>
      <c r="J35" s="90">
        <f>6.5*(1/0.9)/1000</f>
        <v>7.2222222222222219E-3</v>
      </c>
      <c r="K35" s="91"/>
      <c r="L35" s="22"/>
      <c r="M35" s="73">
        <v>5</v>
      </c>
      <c r="N35" s="73"/>
      <c r="Q35" s="26"/>
      <c r="R35" s="10" t="str">
        <f>Commodities!$AD$54&amp;"_"&amp;$R$3&amp;"01"</f>
        <v>RSD_APA4_LI_N01</v>
      </c>
      <c r="S35" s="10" t="s">
        <v>1282</v>
      </c>
      <c r="T35" s="57" t="str">
        <f>General!$D$18</f>
        <v>000s_Units</v>
      </c>
      <c r="U35" s="57" t="str">
        <f>General!$D$18</f>
        <v>000s_Units</v>
      </c>
      <c r="V35" s="57" t="s">
        <v>723</v>
      </c>
      <c r="W35" s="57"/>
      <c r="X35" s="26"/>
      <c r="Z35" s="10"/>
    </row>
    <row r="36" spans="2:26" ht="16.5" customHeight="1" x14ac:dyDescent="0.25">
      <c r="B36" s="26" t="str">
        <f t="shared" si="6"/>
        <v>RSD_APA4_LI_N01</v>
      </c>
      <c r="C36" s="26" t="str">
        <f t="shared" si="7"/>
        <v>Apartment A4  Light Standard  (N)</v>
      </c>
      <c r="D36" s="26" t="str">
        <f>Commodities!$D$341</f>
        <v>RSDELC</v>
      </c>
      <c r="E36" s="26" t="str">
        <f>Commodities!$AD$54</f>
        <v>RSD_APA4_LI</v>
      </c>
      <c r="F36" s="84">
        <f t="shared" si="8"/>
        <v>2018</v>
      </c>
      <c r="G36" s="62">
        <f t="shared" si="0"/>
        <v>2018</v>
      </c>
      <c r="H36" s="72">
        <f>1/1.15</f>
        <v>0.86956521739130443</v>
      </c>
      <c r="I36" s="57">
        <v>1</v>
      </c>
      <c r="J36" s="85">
        <f>2.3*(1/0.9)/1000</f>
        <v>2.5555555555555553E-3</v>
      </c>
      <c r="K36" s="86"/>
      <c r="L36" s="55"/>
      <c r="M36" s="72">
        <v>2</v>
      </c>
      <c r="N36" s="72"/>
      <c r="Q36" s="26"/>
      <c r="R36" s="10" t="str">
        <f>Commodities!$AD$54&amp;"_"&amp;$R$3&amp;"02"</f>
        <v>RSD_APA4_LI_N02</v>
      </c>
      <c r="S36" s="10" t="s">
        <v>1283</v>
      </c>
      <c r="T36" s="57" t="str">
        <f>General!$D$18</f>
        <v>000s_Units</v>
      </c>
      <c r="U36" s="57" t="str">
        <f>General!$D$18</f>
        <v>000s_Units</v>
      </c>
      <c r="V36" s="57" t="s">
        <v>723</v>
      </c>
      <c r="W36" s="57"/>
      <c r="X36" s="26"/>
      <c r="Z36" s="10"/>
    </row>
    <row r="37" spans="2:26" ht="16.5" customHeight="1" x14ac:dyDescent="0.25">
      <c r="B37" s="26" t="str">
        <f t="shared" si="6"/>
        <v>RSD_APA4_LI_N02</v>
      </c>
      <c r="C37" s="26" t="str">
        <f t="shared" si="7"/>
        <v>Apartment A4  Light Fluorescent  (N)</v>
      </c>
      <c r="D37" s="26" t="str">
        <f>Commodities!$D$341</f>
        <v>RSDELC</v>
      </c>
      <c r="E37" s="26" t="str">
        <f>E36</f>
        <v>RSD_APA4_LI</v>
      </c>
      <c r="F37" s="84">
        <f t="shared" si="8"/>
        <v>2018</v>
      </c>
      <c r="G37" s="62">
        <f t="shared" si="0"/>
        <v>2018</v>
      </c>
      <c r="H37" s="72">
        <f>1/4.5</f>
        <v>0.22222222222222221</v>
      </c>
      <c r="I37" s="57">
        <v>1</v>
      </c>
      <c r="J37" s="87">
        <f>10*(1/0.9)/1000</f>
        <v>1.1111111111111112E-2</v>
      </c>
      <c r="K37" s="88"/>
      <c r="L37" s="57"/>
      <c r="M37" s="72">
        <v>8</v>
      </c>
      <c r="N37" s="72"/>
      <c r="Q37" s="26"/>
      <c r="R37" s="10" t="str">
        <f>Commodities!$AD$54&amp;"_"&amp;$R$3&amp;"03"</f>
        <v>RSD_APA4_LI_N03</v>
      </c>
      <c r="S37" s="10" t="s">
        <v>1284</v>
      </c>
      <c r="T37" s="57" t="str">
        <f>General!$D$18</f>
        <v>000s_Units</v>
      </c>
      <c r="U37" s="57" t="str">
        <f>General!$D$18</f>
        <v>000s_Units</v>
      </c>
      <c r="V37" s="57" t="s">
        <v>723</v>
      </c>
      <c r="W37" s="57"/>
      <c r="X37" s="26"/>
      <c r="Z37" s="10"/>
    </row>
    <row r="38" spans="2:26" ht="16.5" customHeight="1" thickBot="1" x14ac:dyDescent="0.3">
      <c r="B38" s="26" t="str">
        <f t="shared" si="6"/>
        <v>RSD_APA4_LI_N03</v>
      </c>
      <c r="C38" s="26" t="str">
        <f t="shared" si="7"/>
        <v>Apartment A4  Light LED  (N)</v>
      </c>
      <c r="D38" s="26" t="str">
        <f>Commodities!$D$341</f>
        <v>RSDELC</v>
      </c>
      <c r="E38" s="26" t="str">
        <f>E37</f>
        <v>RSD_APA4_LI</v>
      </c>
      <c r="F38" s="84">
        <f t="shared" si="8"/>
        <v>2025</v>
      </c>
      <c r="G38" s="62">
        <f>BASE_YEAR+8</f>
        <v>2025</v>
      </c>
      <c r="H38" s="72">
        <f>1/7</f>
        <v>0.14285714285714285</v>
      </c>
      <c r="I38" s="57">
        <v>1</v>
      </c>
      <c r="J38" s="87">
        <f>20*(1/0.9)/1000</f>
        <v>2.2222222222222223E-2</v>
      </c>
      <c r="K38" s="88"/>
      <c r="L38" s="57"/>
      <c r="M38" s="72">
        <v>12</v>
      </c>
      <c r="N38" s="72"/>
      <c r="Q38" s="92"/>
      <c r="R38" s="92" t="str">
        <f>Commodities!$AD$54&amp;"_"&amp;$R$3&amp;"04"</f>
        <v>RSD_APA4_LI_N04</v>
      </c>
      <c r="S38" s="92" t="s">
        <v>1285</v>
      </c>
      <c r="T38" s="93" t="str">
        <f>General!$D$18</f>
        <v>000s_Units</v>
      </c>
      <c r="U38" s="93" t="str">
        <f>General!$D$18</f>
        <v>000s_Units</v>
      </c>
      <c r="V38" s="93" t="s">
        <v>723</v>
      </c>
      <c r="W38" s="93"/>
      <c r="X38" s="92"/>
      <c r="Z38" s="10"/>
    </row>
    <row r="39" spans="2:26" ht="16.5" customHeight="1" thickTop="1" x14ac:dyDescent="0.25">
      <c r="B39" s="11" t="str">
        <f t="shared" si="6"/>
        <v>RSD_APA4_LI_N04</v>
      </c>
      <c r="C39" s="11" t="str">
        <f t="shared" si="7"/>
        <v>Apartment A4  Light Halogen  (N)</v>
      </c>
      <c r="D39" s="11" t="str">
        <f>Commodities!$D$341</f>
        <v>RSDELC</v>
      </c>
      <c r="E39" s="11" t="str">
        <f>E38</f>
        <v>RSD_APA4_LI</v>
      </c>
      <c r="F39" s="89">
        <f t="shared" si="8"/>
        <v>2018</v>
      </c>
      <c r="G39" s="64">
        <f t="shared" si="0"/>
        <v>2018</v>
      </c>
      <c r="H39" s="73">
        <f>1/2</f>
        <v>0.5</v>
      </c>
      <c r="I39" s="22">
        <v>1</v>
      </c>
      <c r="J39" s="90">
        <f>6.5*(1/0.9)/1000</f>
        <v>7.2222222222222219E-3</v>
      </c>
      <c r="K39" s="91"/>
      <c r="L39" s="22"/>
      <c r="M39" s="73">
        <v>5</v>
      </c>
      <c r="N39" s="73"/>
      <c r="Q39" s="10"/>
      <c r="R39" s="10" t="str">
        <f>Commodities!$AD$55&amp;"_"&amp;$R$3&amp;"_ST"</f>
        <v>RSD_DTA1_RF_N_ST</v>
      </c>
      <c r="S39" s="10" t="s">
        <v>1257</v>
      </c>
      <c r="T39" s="21" t="str">
        <f>General!$D$18</f>
        <v>000s_Units</v>
      </c>
      <c r="U39" s="21" t="str">
        <f>General!$D$18</f>
        <v>000s_Units</v>
      </c>
      <c r="V39" s="21" t="s">
        <v>723</v>
      </c>
      <c r="W39" s="21"/>
      <c r="X39" s="21"/>
      <c r="Z39" s="10"/>
    </row>
    <row r="40" spans="2:26" ht="16.5" customHeight="1" x14ac:dyDescent="0.25">
      <c r="B40" s="26"/>
      <c r="C40" s="26"/>
      <c r="Q40" s="10"/>
      <c r="R40" s="10" t="str">
        <f>Commodities!$AD$55&amp;"_"&amp;$R$3&amp;"_IM"</f>
        <v>RSD_DTA1_RF_N_IM</v>
      </c>
      <c r="S40" s="10" t="s">
        <v>1258</v>
      </c>
      <c r="T40" s="21" t="str">
        <f>General!$D$18</f>
        <v>000s_Units</v>
      </c>
      <c r="U40" s="21" t="str">
        <f>General!$D$18</f>
        <v>000s_Units</v>
      </c>
      <c r="V40" s="21" t="s">
        <v>723</v>
      </c>
      <c r="W40" s="21"/>
      <c r="X40" s="21"/>
      <c r="Z40" s="10"/>
    </row>
    <row r="41" spans="2:26" ht="16.5" customHeight="1" x14ac:dyDescent="0.25">
      <c r="B41" s="26"/>
      <c r="C41" s="26"/>
      <c r="Q41" s="11"/>
      <c r="R41" s="11" t="str">
        <f>Commodities!$AD$55&amp;"_"&amp;$R$3&amp;"_AD"</f>
        <v>RSD_DTA1_RF_N_AD</v>
      </c>
      <c r="S41" s="11" t="s">
        <v>1259</v>
      </c>
      <c r="T41" s="22" t="str">
        <f>General!$D$18</f>
        <v>000s_Units</v>
      </c>
      <c r="U41" s="22" t="str">
        <f>General!$D$18</f>
        <v>000s_Units</v>
      </c>
      <c r="V41" s="22" t="s">
        <v>723</v>
      </c>
      <c r="W41" s="22"/>
      <c r="X41" s="22"/>
      <c r="Z41" s="10"/>
    </row>
    <row r="42" spans="2:26" ht="16.5" customHeight="1" x14ac:dyDescent="0.3">
      <c r="B42" s="27" t="s">
        <v>825</v>
      </c>
      <c r="C42" s="27"/>
      <c r="D42" s="27"/>
      <c r="E42" s="27"/>
      <c r="F42" s="27"/>
      <c r="G42" s="27"/>
      <c r="H42" s="27"/>
      <c r="I42" s="21"/>
      <c r="J42" s="10"/>
      <c r="K42" s="10"/>
      <c r="L42" s="10"/>
      <c r="M42" s="10"/>
      <c r="N42" s="10"/>
      <c r="O42" s="26"/>
      <c r="Q42" s="10"/>
      <c r="R42" s="10" t="str">
        <f>Commodities!$AD$56&amp;"_"&amp;$R$3&amp;"_ST"</f>
        <v>RSD_APA1_RF_N_ST</v>
      </c>
      <c r="S42" s="10" t="s">
        <v>1286</v>
      </c>
      <c r="T42" s="21" t="str">
        <f>General!$D$18</f>
        <v>000s_Units</v>
      </c>
      <c r="U42" s="21" t="str">
        <f>General!$D$18</f>
        <v>000s_Units</v>
      </c>
      <c r="V42" s="21" t="s">
        <v>723</v>
      </c>
      <c r="W42" s="21"/>
      <c r="X42" s="21"/>
      <c r="Z42" s="10"/>
    </row>
    <row r="43" spans="2:26" ht="16.5" customHeight="1" x14ac:dyDescent="0.25">
      <c r="B43" s="28"/>
      <c r="C43" s="10"/>
      <c r="D43" s="29"/>
      <c r="E43" s="29"/>
      <c r="F43" s="29"/>
      <c r="G43" s="29"/>
      <c r="H43" s="10"/>
      <c r="I43" s="57"/>
      <c r="J43" s="74"/>
      <c r="K43" s="74"/>
      <c r="L43" s="74"/>
      <c r="M43" s="75"/>
      <c r="N43" s="10"/>
      <c r="O43" s="26"/>
      <c r="Q43" s="10"/>
      <c r="R43" s="10" t="str">
        <f>Commodities!$AD$56&amp;"_"&amp;$R$3&amp;"_IM"</f>
        <v>RSD_APA1_RF_N_IM</v>
      </c>
      <c r="S43" s="10" t="s">
        <v>1287</v>
      </c>
      <c r="T43" s="21" t="str">
        <f>General!$D$18</f>
        <v>000s_Units</v>
      </c>
      <c r="U43" s="21" t="str">
        <f>General!$D$18</f>
        <v>000s_Units</v>
      </c>
      <c r="V43" s="21" t="s">
        <v>723</v>
      </c>
      <c r="W43" s="21"/>
      <c r="X43" s="21"/>
      <c r="Z43" s="10"/>
    </row>
    <row r="44" spans="2:26" ht="16.5" customHeight="1" x14ac:dyDescent="0.25">
      <c r="B44" s="10"/>
      <c r="C44" s="10"/>
      <c r="D44" s="10"/>
      <c r="E44" s="30"/>
      <c r="F44" s="31" t="s">
        <v>0</v>
      </c>
      <c r="G44" s="31"/>
      <c r="H44" s="74"/>
      <c r="I44" s="21"/>
      <c r="J44" s="10"/>
      <c r="K44" s="10"/>
      <c r="L44" s="10"/>
      <c r="M44" s="10"/>
      <c r="N44" s="10"/>
      <c r="O44" s="26"/>
      <c r="Q44" s="11"/>
      <c r="R44" s="11" t="str">
        <f>Commodities!$AD$56&amp;"_"&amp;$R$3&amp;"_AD"</f>
        <v>RSD_APA1_RF_N_AD</v>
      </c>
      <c r="S44" s="11" t="s">
        <v>1288</v>
      </c>
      <c r="T44" s="22" t="str">
        <f>General!$D$18</f>
        <v>000s_Units</v>
      </c>
      <c r="U44" s="22" t="str">
        <f>General!$D$18</f>
        <v>000s_Units</v>
      </c>
      <c r="V44" s="22" t="s">
        <v>723</v>
      </c>
      <c r="W44" s="22"/>
      <c r="X44" s="22"/>
      <c r="Z44" s="10"/>
    </row>
    <row r="45" spans="2:26" ht="16.5" customHeight="1" x14ac:dyDescent="0.25">
      <c r="B45" s="33" t="s">
        <v>1</v>
      </c>
      <c r="C45" s="33" t="s">
        <v>794</v>
      </c>
      <c r="D45" s="33" t="s">
        <v>3</v>
      </c>
      <c r="E45" s="33" t="s">
        <v>4</v>
      </c>
      <c r="F45" s="34" t="s">
        <v>803</v>
      </c>
      <c r="G45" s="35" t="s">
        <v>14</v>
      </c>
      <c r="H45" s="36" t="s">
        <v>820</v>
      </c>
      <c r="I45" s="36" t="s">
        <v>789</v>
      </c>
      <c r="J45" s="36" t="s">
        <v>36</v>
      </c>
      <c r="K45" s="36" t="s">
        <v>5</v>
      </c>
      <c r="L45" s="36" t="s">
        <v>34</v>
      </c>
      <c r="M45" s="36" t="s">
        <v>780</v>
      </c>
      <c r="N45" s="36" t="s">
        <v>773</v>
      </c>
      <c r="O45" s="26"/>
      <c r="Q45" s="10"/>
      <c r="R45" s="10" t="str">
        <f>Commodities!$AD$57&amp;"_"&amp;$R$3&amp;"_ST"</f>
        <v>RSD_DTA2_RF_N_ST</v>
      </c>
      <c r="S45" s="10" t="s">
        <v>1240</v>
      </c>
      <c r="T45" s="21" t="str">
        <f>General!$D$18</f>
        <v>000s_Units</v>
      </c>
      <c r="U45" s="21" t="str">
        <f>General!$D$18</f>
        <v>000s_Units</v>
      </c>
      <c r="V45" s="21" t="s">
        <v>723</v>
      </c>
      <c r="W45" s="21"/>
      <c r="X45" s="21"/>
      <c r="Z45" s="10"/>
    </row>
    <row r="46" spans="2:26" ht="16.5" customHeight="1" thickBot="1" x14ac:dyDescent="0.3">
      <c r="B46" s="41" t="s">
        <v>795</v>
      </c>
      <c r="C46" s="41" t="s">
        <v>28</v>
      </c>
      <c r="D46" s="41" t="s">
        <v>32</v>
      </c>
      <c r="E46" s="41" t="s">
        <v>33</v>
      </c>
      <c r="F46" s="42"/>
      <c r="G46" s="43" t="s">
        <v>35</v>
      </c>
      <c r="H46" s="41" t="s">
        <v>821</v>
      </c>
      <c r="I46" s="41" t="s">
        <v>805</v>
      </c>
      <c r="J46" s="43" t="s">
        <v>806</v>
      </c>
      <c r="K46" s="41" t="s">
        <v>37</v>
      </c>
      <c r="L46" s="41" t="s">
        <v>38</v>
      </c>
      <c r="M46" s="41" t="s">
        <v>781</v>
      </c>
      <c r="N46" s="41" t="s">
        <v>807</v>
      </c>
      <c r="O46" s="26"/>
      <c r="Q46" s="10"/>
      <c r="R46" s="10" t="str">
        <f>Commodities!$AD$57&amp;"_"&amp;$R$3&amp;"_IM"</f>
        <v>RSD_DTA2_RF_N_IM</v>
      </c>
      <c r="S46" s="10" t="s">
        <v>1241</v>
      </c>
      <c r="T46" s="21" t="str">
        <f>General!$D$18</f>
        <v>000s_Units</v>
      </c>
      <c r="U46" s="21" t="str">
        <f>General!$D$18</f>
        <v>000s_Units</v>
      </c>
      <c r="V46" s="21" t="s">
        <v>723</v>
      </c>
      <c r="W46" s="21"/>
      <c r="X46" s="21"/>
      <c r="Z46" s="10"/>
    </row>
    <row r="47" spans="2:26" ht="16.5" customHeight="1" x14ac:dyDescent="0.25">
      <c r="B47" s="80"/>
      <c r="C47" s="81"/>
      <c r="D47" s="81"/>
      <c r="E47" s="81" t="s">
        <v>799</v>
      </c>
      <c r="F47" s="82"/>
      <c r="G47" s="81"/>
      <c r="H47" s="81" t="str">
        <f>General!$D$19</f>
        <v>TJ/unit</v>
      </c>
      <c r="I47" s="81" t="s">
        <v>808</v>
      </c>
      <c r="J47" s="81" t="str">
        <f>General!$D$26</f>
        <v>000$/unit</v>
      </c>
      <c r="K47" s="81" t="str">
        <f>General!$D$26</f>
        <v>000$/unit</v>
      </c>
      <c r="L47" s="81" t="str">
        <f>General!$D$15</f>
        <v>$/GJ</v>
      </c>
      <c r="M47" s="81" t="str">
        <f>General!$D$21</f>
        <v>Years</v>
      </c>
      <c r="N47" s="81"/>
      <c r="O47" s="26"/>
      <c r="Q47" s="11"/>
      <c r="R47" s="11" t="str">
        <f>Commodities!$AD$57&amp;"_"&amp;$R$3&amp;"_AD"</f>
        <v>RSD_DTA2_RF_N_AD</v>
      </c>
      <c r="S47" s="11" t="s">
        <v>1242</v>
      </c>
      <c r="T47" s="22" t="str">
        <f>General!$D$18</f>
        <v>000s_Units</v>
      </c>
      <c r="U47" s="22" t="str">
        <f>General!$D$18</f>
        <v>000s_Units</v>
      </c>
      <c r="V47" s="22" t="s">
        <v>723</v>
      </c>
      <c r="W47" s="22"/>
      <c r="X47" s="22"/>
      <c r="Z47" s="10"/>
    </row>
    <row r="48" spans="2:26" ht="16.5" customHeight="1" x14ac:dyDescent="0.25">
      <c r="B48" s="53" t="str">
        <f t="shared" ref="B48:B65" si="9">R39</f>
        <v>RSD_DTA1_RF_N_ST</v>
      </c>
      <c r="C48" s="53" t="str">
        <f t="shared" ref="C48:C65" si="10">S39</f>
        <v>Detached A1 Refrigerating Standard (Class A,B) (N)</v>
      </c>
      <c r="D48" s="53" t="str">
        <f>Commodities!$D$341</f>
        <v>RSDELC</v>
      </c>
      <c r="E48" s="53" t="str">
        <f>Commodities!$AD$55</f>
        <v>RSD_DTA1_RF</v>
      </c>
      <c r="F48" s="95">
        <f>G48</f>
        <v>2018</v>
      </c>
      <c r="G48" s="55">
        <f>BASE_YEAR+1</f>
        <v>2018</v>
      </c>
      <c r="H48" s="96"/>
      <c r="I48" s="55"/>
      <c r="J48" s="97">
        <f>(0.459*(1/0.9))*1.5</f>
        <v>0.76500000000000001</v>
      </c>
      <c r="K48" s="55"/>
      <c r="L48" s="55"/>
      <c r="M48" s="96">
        <v>10</v>
      </c>
      <c r="N48" s="96"/>
      <c r="O48" s="26"/>
      <c r="Q48" s="10"/>
      <c r="R48" s="10" t="str">
        <f>Commodities!$AD$58&amp;"_"&amp;$R$3&amp;"_ST"</f>
        <v>RSD_APA2_RF_N_ST</v>
      </c>
      <c r="S48" s="10" t="s">
        <v>1289</v>
      </c>
      <c r="T48" s="21" t="str">
        <f>General!$D$18</f>
        <v>000s_Units</v>
      </c>
      <c r="U48" s="21" t="str">
        <f>General!$D$18</f>
        <v>000s_Units</v>
      </c>
      <c r="V48" s="21" t="s">
        <v>723</v>
      </c>
      <c r="W48" s="21"/>
      <c r="X48" s="21"/>
      <c r="Z48" s="10"/>
    </row>
    <row r="49" spans="1:27" ht="16.5" customHeight="1" x14ac:dyDescent="0.25">
      <c r="B49" s="26" t="str">
        <f t="shared" si="9"/>
        <v>RSD_DTA1_RF_N_IM</v>
      </c>
      <c r="C49" s="26" t="str">
        <f t="shared" si="10"/>
        <v>Detached A1 Refrigerating Improved (Class A+) (N)</v>
      </c>
      <c r="D49" s="26" t="str">
        <f>Commodities!$D$341</f>
        <v>RSDELC</v>
      </c>
      <c r="E49" s="26" t="str">
        <f>E48</f>
        <v>RSD_DTA1_RF</v>
      </c>
      <c r="F49" s="84">
        <f t="shared" ref="F49:F54" si="11">G49</f>
        <v>2025</v>
      </c>
      <c r="G49" s="57">
        <v>2025</v>
      </c>
      <c r="H49" s="72"/>
      <c r="I49" s="57"/>
      <c r="J49" s="98">
        <f>(0.49113*(1/0.9))*1.5</f>
        <v>0.81855000000000011</v>
      </c>
      <c r="K49" s="57"/>
      <c r="L49" s="57"/>
      <c r="M49" s="72">
        <v>10</v>
      </c>
      <c r="N49" s="72"/>
      <c r="O49" s="26"/>
      <c r="Q49" s="10"/>
      <c r="R49" s="10" t="str">
        <f>Commodities!$AD$58&amp;"_"&amp;$R$3&amp;"_IM"</f>
        <v>RSD_APA2_RF_N_IM</v>
      </c>
      <c r="S49" s="10" t="s">
        <v>1290</v>
      </c>
      <c r="T49" s="21" t="str">
        <f>General!$D$18</f>
        <v>000s_Units</v>
      </c>
      <c r="U49" s="21" t="str">
        <f>General!$D$18</f>
        <v>000s_Units</v>
      </c>
      <c r="V49" s="21" t="s">
        <v>723</v>
      </c>
      <c r="W49" s="21"/>
      <c r="X49" s="21"/>
      <c r="Z49" s="10"/>
    </row>
    <row r="50" spans="1:27" ht="16.5" customHeight="1" x14ac:dyDescent="0.25">
      <c r="B50" s="11" t="str">
        <f t="shared" si="9"/>
        <v>RSD_DTA1_RF_N_AD</v>
      </c>
      <c r="C50" s="11" t="str">
        <f t="shared" si="10"/>
        <v>Detached A1 Refrigerating Advanced (Class A++) (N)</v>
      </c>
      <c r="D50" s="11" t="str">
        <f>Commodities!$D$341</f>
        <v>RSDELC</v>
      </c>
      <c r="E50" s="11" t="str">
        <f>E49</f>
        <v>RSD_DTA1_RF</v>
      </c>
      <c r="F50" s="89">
        <f t="shared" si="11"/>
        <v>2035</v>
      </c>
      <c r="G50" s="22">
        <v>2035</v>
      </c>
      <c r="H50" s="73"/>
      <c r="I50" s="22"/>
      <c r="J50" s="99">
        <f>(0.5255091*(1/0.9))*1.5</f>
        <v>0.87584849999999992</v>
      </c>
      <c r="K50" s="22"/>
      <c r="L50" s="22"/>
      <c r="M50" s="73">
        <v>10</v>
      </c>
      <c r="N50" s="73"/>
      <c r="O50" s="26"/>
      <c r="Q50" s="11"/>
      <c r="R50" s="11" t="str">
        <f>Commodities!$AD$58&amp;"_"&amp;$R$3&amp;"_AD"</f>
        <v>RSD_APA2_RF_N_AD</v>
      </c>
      <c r="S50" s="11" t="s">
        <v>1291</v>
      </c>
      <c r="T50" s="22" t="str">
        <f>General!$D$18</f>
        <v>000s_Units</v>
      </c>
      <c r="U50" s="22" t="str">
        <f>General!$D$18</f>
        <v>000s_Units</v>
      </c>
      <c r="V50" s="22" t="s">
        <v>723</v>
      </c>
      <c r="W50" s="22"/>
      <c r="X50" s="22"/>
      <c r="Z50" s="10"/>
    </row>
    <row r="51" spans="1:27" ht="16.5" customHeight="1" x14ac:dyDescent="0.25">
      <c r="B51" s="53" t="str">
        <f t="shared" si="9"/>
        <v>RSD_APA1_RF_N_ST</v>
      </c>
      <c r="C51" s="53" t="str">
        <f t="shared" si="10"/>
        <v>Apartment A1 Refrigerating Standard (Class A,B) (N)</v>
      </c>
      <c r="D51" s="53" t="str">
        <f>Commodities!$D$341</f>
        <v>RSDELC</v>
      </c>
      <c r="E51" s="53" t="str">
        <f>Commodities!$AD$56</f>
        <v>RSD_APA1_RF</v>
      </c>
      <c r="F51" s="95">
        <f>G51</f>
        <v>2018</v>
      </c>
      <c r="G51" s="55">
        <f>BASE_YEAR+1</f>
        <v>2018</v>
      </c>
      <c r="H51" s="72"/>
      <c r="I51" s="57"/>
      <c r="J51" s="97">
        <f>(0.459*(1/0.9))*1.5</f>
        <v>0.76500000000000001</v>
      </c>
      <c r="K51" s="55"/>
      <c r="L51" s="55"/>
      <c r="M51" s="96">
        <v>10</v>
      </c>
      <c r="N51" s="96"/>
      <c r="O51" s="26"/>
      <c r="Q51" s="10"/>
      <c r="R51" s="10" t="str">
        <f>Commodities!$AD$59&amp;"_"&amp;$R$3&amp;"_ST"</f>
        <v>RSD_DTA3_RF_N_ST</v>
      </c>
      <c r="S51" s="10" t="s">
        <v>1223</v>
      </c>
      <c r="T51" s="21" t="str">
        <f>General!$D$18</f>
        <v>000s_Units</v>
      </c>
      <c r="U51" s="21" t="str">
        <f>General!$D$18</f>
        <v>000s_Units</v>
      </c>
      <c r="V51" s="21" t="s">
        <v>723</v>
      </c>
      <c r="W51" s="21"/>
      <c r="X51" s="21"/>
      <c r="Z51" s="10"/>
    </row>
    <row r="52" spans="1:27" ht="16.5" customHeight="1" x14ac:dyDescent="0.25">
      <c r="B52" s="26" t="str">
        <f t="shared" si="9"/>
        <v>RSD_APA1_RF_N_IM</v>
      </c>
      <c r="C52" s="26" t="str">
        <f t="shared" si="10"/>
        <v>Apartment A1 Refrigerating Improved (Class A+) (N)</v>
      </c>
      <c r="D52" s="26" t="str">
        <f>Commodities!$D$341</f>
        <v>RSDELC</v>
      </c>
      <c r="E52" s="26" t="str">
        <f>E51</f>
        <v>RSD_APA1_RF</v>
      </c>
      <c r="F52" s="84">
        <f>G52</f>
        <v>2025</v>
      </c>
      <c r="G52" s="57">
        <v>2025</v>
      </c>
      <c r="H52" s="72"/>
      <c r="I52" s="57"/>
      <c r="J52" s="98">
        <f>(0.49113*(1/0.9))*1.5</f>
        <v>0.81855000000000011</v>
      </c>
      <c r="K52" s="57"/>
      <c r="L52" s="57"/>
      <c r="M52" s="72">
        <v>10</v>
      </c>
      <c r="N52" s="72"/>
      <c r="O52" s="26"/>
      <c r="Q52" s="10"/>
      <c r="R52" s="10" t="str">
        <f>Commodities!$AD$59&amp;"_"&amp;$R$3&amp;"_IM"</f>
        <v>RSD_DTA3_RF_N_IM</v>
      </c>
      <c r="S52" s="10" t="s">
        <v>1224</v>
      </c>
      <c r="T52" s="21" t="str">
        <f>General!$D$18</f>
        <v>000s_Units</v>
      </c>
      <c r="U52" s="21" t="str">
        <f>General!$D$18</f>
        <v>000s_Units</v>
      </c>
      <c r="V52" s="21" t="s">
        <v>723</v>
      </c>
      <c r="W52" s="21"/>
      <c r="X52" s="21"/>
      <c r="Z52" s="10"/>
    </row>
    <row r="53" spans="1:27" ht="16.5" customHeight="1" x14ac:dyDescent="0.25">
      <c r="B53" s="11" t="str">
        <f t="shared" si="9"/>
        <v>RSD_APA1_RF_N_AD</v>
      </c>
      <c r="C53" s="11" t="str">
        <f t="shared" si="10"/>
        <v>Apartment A1 Refrigerating Advanced (Class A++) (N)</v>
      </c>
      <c r="D53" s="11" t="str">
        <f>Commodities!$D$341</f>
        <v>RSDELC</v>
      </c>
      <c r="E53" s="11" t="str">
        <f>E52</f>
        <v>RSD_APA1_RF</v>
      </c>
      <c r="F53" s="89">
        <f t="shared" si="11"/>
        <v>2035</v>
      </c>
      <c r="G53" s="22">
        <v>2035</v>
      </c>
      <c r="H53" s="73"/>
      <c r="I53" s="22"/>
      <c r="J53" s="99">
        <f>(0.5255091*(1/0.9))*1.5</f>
        <v>0.87584849999999992</v>
      </c>
      <c r="K53" s="22"/>
      <c r="L53" s="22"/>
      <c r="M53" s="73">
        <v>10</v>
      </c>
      <c r="N53" s="73"/>
      <c r="O53" s="26"/>
      <c r="Q53" s="11"/>
      <c r="R53" s="11" t="str">
        <f>Commodities!$AD$59&amp;"_"&amp;$R$3&amp;"_AD"</f>
        <v>RSD_DTA3_RF_N_AD</v>
      </c>
      <c r="S53" s="11" t="s">
        <v>1225</v>
      </c>
      <c r="T53" s="22" t="str">
        <f>General!$D$18</f>
        <v>000s_Units</v>
      </c>
      <c r="U53" s="22" t="str">
        <f>General!$D$18</f>
        <v>000s_Units</v>
      </c>
      <c r="V53" s="22" t="s">
        <v>723</v>
      </c>
      <c r="W53" s="22"/>
      <c r="X53" s="22"/>
      <c r="Z53" s="10"/>
    </row>
    <row r="54" spans="1:27" ht="16.5" customHeight="1" x14ac:dyDescent="0.25">
      <c r="B54" s="53" t="str">
        <f t="shared" si="9"/>
        <v>RSD_DTA2_RF_N_ST</v>
      </c>
      <c r="C54" s="53" t="str">
        <f t="shared" si="10"/>
        <v>Detached A2 Refrigerating Standard (Class A,B) (N)</v>
      </c>
      <c r="D54" s="53" t="str">
        <f>Commodities!$D$341</f>
        <v>RSDELC</v>
      </c>
      <c r="E54" s="53" t="str">
        <f>Commodities!$AD$57</f>
        <v>RSD_DTA2_RF</v>
      </c>
      <c r="F54" s="95">
        <f t="shared" si="11"/>
        <v>2018</v>
      </c>
      <c r="G54" s="55">
        <f>BASE_YEAR+1</f>
        <v>2018</v>
      </c>
      <c r="H54" s="72"/>
      <c r="I54" s="57"/>
      <c r="J54" s="97">
        <f>(0.459*(1/0.9))*1.5</f>
        <v>0.76500000000000001</v>
      </c>
      <c r="K54" s="55"/>
      <c r="L54" s="55"/>
      <c r="M54" s="96">
        <v>10</v>
      </c>
      <c r="N54" s="96"/>
      <c r="O54" s="26"/>
      <c r="Q54" s="10"/>
      <c r="R54" s="10" t="str">
        <f>Commodities!$AD$60&amp;"_"&amp;$R$3&amp;"_ST"</f>
        <v>RSD_APA3_RF_N_ST</v>
      </c>
      <c r="S54" s="10" t="s">
        <v>1292</v>
      </c>
      <c r="T54" s="21" t="str">
        <f>General!$D$18</f>
        <v>000s_Units</v>
      </c>
      <c r="U54" s="21" t="str">
        <f>General!$D$18</f>
        <v>000s_Units</v>
      </c>
      <c r="V54" s="21" t="s">
        <v>723</v>
      </c>
      <c r="W54" s="21"/>
      <c r="X54" s="21"/>
      <c r="Z54" s="10"/>
    </row>
    <row r="55" spans="1:27" ht="16.5" customHeight="1" x14ac:dyDescent="0.25">
      <c r="B55" s="26" t="str">
        <f t="shared" si="9"/>
        <v>RSD_DTA2_RF_N_IM</v>
      </c>
      <c r="C55" s="26" t="str">
        <f t="shared" si="10"/>
        <v>Detached A2 Refrigerating Improved (Class A+) (N)</v>
      </c>
      <c r="D55" s="26" t="str">
        <f>Commodities!$D$341</f>
        <v>RSDELC</v>
      </c>
      <c r="E55" s="26" t="str">
        <f>E54</f>
        <v>RSD_DTA2_RF</v>
      </c>
      <c r="F55" s="84">
        <f t="shared" ref="F55:F68" si="12">G55</f>
        <v>2025</v>
      </c>
      <c r="G55" s="57">
        <v>2025</v>
      </c>
      <c r="H55" s="72"/>
      <c r="I55" s="57"/>
      <c r="J55" s="98">
        <f>(0.49113*(1/0.9))*1.5</f>
        <v>0.81855000000000011</v>
      </c>
      <c r="K55" s="57"/>
      <c r="L55" s="57"/>
      <c r="M55" s="72">
        <v>10</v>
      </c>
      <c r="N55" s="72"/>
      <c r="Q55" s="10"/>
      <c r="R55" s="10" t="str">
        <f>Commodities!$AD$60&amp;"_"&amp;$R$3&amp;"_IM"</f>
        <v>RSD_APA3_RF_N_IM</v>
      </c>
      <c r="S55" s="10" t="s">
        <v>1293</v>
      </c>
      <c r="T55" s="21" t="str">
        <f>General!$D$18</f>
        <v>000s_Units</v>
      </c>
      <c r="U55" s="21" t="str">
        <f>General!$D$18</f>
        <v>000s_Units</v>
      </c>
      <c r="V55" s="21" t="s">
        <v>723</v>
      </c>
      <c r="W55" s="21"/>
      <c r="X55" s="21"/>
      <c r="Z55" s="10"/>
    </row>
    <row r="56" spans="1:27" ht="16.5" customHeight="1" x14ac:dyDescent="0.25">
      <c r="B56" s="11" t="str">
        <f t="shared" si="9"/>
        <v>RSD_DTA2_RF_N_AD</v>
      </c>
      <c r="C56" s="11" t="str">
        <f t="shared" si="10"/>
        <v>Detached A2 Refrigerating Advanced (Class A++) (N)</v>
      </c>
      <c r="D56" s="11" t="str">
        <f>Commodities!$D$341</f>
        <v>RSDELC</v>
      </c>
      <c r="E56" s="11" t="str">
        <f>E55</f>
        <v>RSD_DTA2_RF</v>
      </c>
      <c r="F56" s="89">
        <f t="shared" si="12"/>
        <v>2035</v>
      </c>
      <c r="G56" s="22">
        <v>2035</v>
      </c>
      <c r="H56" s="73"/>
      <c r="I56" s="22"/>
      <c r="J56" s="99">
        <f>(0.5255091*(1/0.9))*1.5</f>
        <v>0.87584849999999992</v>
      </c>
      <c r="K56" s="22"/>
      <c r="L56" s="22"/>
      <c r="M56" s="73">
        <v>10</v>
      </c>
      <c r="N56" s="73"/>
      <c r="Q56" s="11"/>
      <c r="R56" s="11" t="str">
        <f>Commodities!$AD$60&amp;"_"&amp;$R$3&amp;"_AD"</f>
        <v>RSD_APA3_RF_N_AD</v>
      </c>
      <c r="S56" s="11" t="s">
        <v>1294</v>
      </c>
      <c r="T56" s="22" t="str">
        <f>General!$D$18</f>
        <v>000s_Units</v>
      </c>
      <c r="U56" s="22" t="str">
        <f>General!$D$18</f>
        <v>000s_Units</v>
      </c>
      <c r="V56" s="22" t="s">
        <v>723</v>
      </c>
      <c r="W56" s="22"/>
      <c r="X56" s="22"/>
      <c r="Z56" s="10"/>
    </row>
    <row r="57" spans="1:27" ht="16.5" customHeight="1" x14ac:dyDescent="0.25">
      <c r="B57" s="53" t="str">
        <f t="shared" si="9"/>
        <v>RSD_APA2_RF_N_ST</v>
      </c>
      <c r="C57" s="53" t="str">
        <f t="shared" si="10"/>
        <v>Apartment A2  Refrigerating Standard (Class A,B) (N)</v>
      </c>
      <c r="D57" s="53" t="str">
        <f>Commodities!$D$341</f>
        <v>RSDELC</v>
      </c>
      <c r="E57" s="53" t="str">
        <f>Commodities!$AD$58</f>
        <v>RSD_APA2_RF</v>
      </c>
      <c r="F57" s="95">
        <f t="shared" si="12"/>
        <v>2018</v>
      </c>
      <c r="G57" s="55">
        <f>BASE_YEAR+1</f>
        <v>2018</v>
      </c>
      <c r="H57" s="72"/>
      <c r="I57" s="57"/>
      <c r="J57" s="97">
        <f>(0.459*(1/0.9))*1.5</f>
        <v>0.76500000000000001</v>
      </c>
      <c r="K57" s="55"/>
      <c r="L57" s="55"/>
      <c r="M57" s="96">
        <v>10</v>
      </c>
      <c r="N57" s="96"/>
      <c r="Q57" s="10"/>
      <c r="R57" s="10" t="str">
        <f>Commodities!$AD$61&amp;"_"&amp;$R$3&amp;"_ST"</f>
        <v>RSD_DTA4_RF_N_ST</v>
      </c>
      <c r="S57" s="10" t="s">
        <v>1206</v>
      </c>
      <c r="T57" s="21" t="str">
        <f>General!$D$18</f>
        <v>000s_Units</v>
      </c>
      <c r="U57" s="21" t="str">
        <f>General!$D$18</f>
        <v>000s_Units</v>
      </c>
      <c r="V57" s="21" t="s">
        <v>723</v>
      </c>
      <c r="W57" s="21"/>
      <c r="X57" s="21"/>
      <c r="Z57" s="10"/>
    </row>
    <row r="58" spans="1:27" s="32" customFormat="1" ht="16.5" customHeight="1" x14ac:dyDescent="0.25">
      <c r="A58" s="60"/>
      <c r="B58" s="26" t="str">
        <f t="shared" si="9"/>
        <v>RSD_APA2_RF_N_IM</v>
      </c>
      <c r="C58" s="26" t="str">
        <f t="shared" si="10"/>
        <v>Apartment A2  Refrigerating Improved (Class A+) (N)</v>
      </c>
      <c r="D58" s="26" t="str">
        <f>Commodities!$D$341</f>
        <v>RSDELC</v>
      </c>
      <c r="E58" s="26" t="str">
        <f>E57</f>
        <v>RSD_APA2_RF</v>
      </c>
      <c r="F58" s="84">
        <f t="shared" si="12"/>
        <v>2025</v>
      </c>
      <c r="G58" s="57">
        <v>2025</v>
      </c>
      <c r="H58" s="72"/>
      <c r="I58" s="57"/>
      <c r="J58" s="98">
        <f>(0.49113*(1/0.9))*1.5</f>
        <v>0.81855000000000011</v>
      </c>
      <c r="K58" s="57"/>
      <c r="L58" s="57"/>
      <c r="M58" s="72">
        <v>10</v>
      </c>
      <c r="N58" s="72"/>
      <c r="O58" s="60"/>
      <c r="Q58" s="10"/>
      <c r="R58" s="10" t="str">
        <f>Commodities!$AD$61&amp;"_"&amp;$R$3&amp;"_IM"</f>
        <v>RSD_DTA4_RF_N_IM</v>
      </c>
      <c r="S58" s="10" t="s">
        <v>1207</v>
      </c>
      <c r="T58" s="21" t="str">
        <f>General!$D$18</f>
        <v>000s_Units</v>
      </c>
      <c r="U58" s="21" t="str">
        <f>General!$D$18</f>
        <v>000s_Units</v>
      </c>
      <c r="V58" s="21" t="s">
        <v>723</v>
      </c>
      <c r="W58" s="21"/>
      <c r="X58" s="21"/>
      <c r="Y58" s="60"/>
      <c r="Z58" s="10"/>
      <c r="AA58" s="60"/>
    </row>
    <row r="59" spans="1:27" s="32" customFormat="1" ht="16.5" customHeight="1" thickBot="1" x14ac:dyDescent="0.3">
      <c r="A59" s="60"/>
      <c r="B59" s="11" t="str">
        <f t="shared" si="9"/>
        <v>RSD_APA2_RF_N_AD</v>
      </c>
      <c r="C59" s="11" t="str">
        <f t="shared" si="10"/>
        <v>Apartment A2  Refrigerating Advanced (Class A++) (N)</v>
      </c>
      <c r="D59" s="11" t="str">
        <f>Commodities!$D$341</f>
        <v>RSDELC</v>
      </c>
      <c r="E59" s="11" t="str">
        <f>E58</f>
        <v>RSD_APA2_RF</v>
      </c>
      <c r="F59" s="89">
        <f t="shared" si="12"/>
        <v>2035</v>
      </c>
      <c r="G59" s="22">
        <v>2035</v>
      </c>
      <c r="H59" s="73"/>
      <c r="I59" s="22"/>
      <c r="J59" s="99">
        <f>(0.5255091*(1/0.9))*1.5</f>
        <v>0.87584849999999992</v>
      </c>
      <c r="K59" s="22"/>
      <c r="L59" s="22"/>
      <c r="M59" s="73">
        <v>10</v>
      </c>
      <c r="N59" s="73"/>
      <c r="O59" s="60"/>
      <c r="Q59" s="11"/>
      <c r="R59" s="11" t="str">
        <f>Commodities!$AD$61&amp;"_"&amp;$R$3&amp;"_AD"</f>
        <v>RSD_DTA4_RF_N_AD</v>
      </c>
      <c r="S59" s="92" t="s">
        <v>1208</v>
      </c>
      <c r="T59" s="22" t="str">
        <f>General!$D$18</f>
        <v>000s_Units</v>
      </c>
      <c r="U59" s="22" t="str">
        <f>General!$D$18</f>
        <v>000s_Units</v>
      </c>
      <c r="V59" s="22" t="s">
        <v>723</v>
      </c>
      <c r="W59" s="22"/>
      <c r="X59" s="22"/>
      <c r="Y59" s="60"/>
      <c r="Z59" s="10"/>
    </row>
    <row r="60" spans="1:27" s="32" customFormat="1" ht="16.5" customHeight="1" thickTop="1" x14ac:dyDescent="0.25">
      <c r="A60" s="60"/>
      <c r="B60" s="53" t="str">
        <f t="shared" si="9"/>
        <v>RSD_DTA3_RF_N_ST</v>
      </c>
      <c r="C60" s="53" t="str">
        <f t="shared" si="10"/>
        <v>Detached A3 Refrigerating Standard (Class A,B) (N)</v>
      </c>
      <c r="D60" s="53" t="str">
        <f>Commodities!$D$341</f>
        <v>RSDELC</v>
      </c>
      <c r="E60" s="53" t="str">
        <f>Commodities!$AD$59</f>
        <v>RSD_DTA3_RF</v>
      </c>
      <c r="F60" s="95">
        <f t="shared" si="12"/>
        <v>2018</v>
      </c>
      <c r="G60" s="55">
        <f>BASE_YEAR+1</f>
        <v>2018</v>
      </c>
      <c r="H60" s="72"/>
      <c r="I60" s="57"/>
      <c r="J60" s="97">
        <f>(0.459*(1/0.9))*1.5</f>
        <v>0.76500000000000001</v>
      </c>
      <c r="K60" s="55"/>
      <c r="L60" s="55"/>
      <c r="M60" s="96">
        <v>10</v>
      </c>
      <c r="N60" s="96"/>
      <c r="O60" s="60"/>
      <c r="Q60" s="10"/>
      <c r="R60" s="10" t="str">
        <f>Commodities!$AD$62&amp;"_"&amp;$R$3&amp;"_ST"</f>
        <v>RSD_APA4_RF_N_ST</v>
      </c>
      <c r="S60" s="10" t="s">
        <v>1295</v>
      </c>
      <c r="T60" s="21" t="str">
        <f>General!$D$18</f>
        <v>000s_Units</v>
      </c>
      <c r="U60" s="21" t="str">
        <f>General!$D$18</f>
        <v>000s_Units</v>
      </c>
      <c r="V60" s="21" t="s">
        <v>723</v>
      </c>
      <c r="W60" s="21"/>
      <c r="X60" s="21"/>
      <c r="Y60" s="60"/>
      <c r="Z60" s="10"/>
    </row>
    <row r="61" spans="1:27" s="32" customFormat="1" ht="16.5" customHeight="1" x14ac:dyDescent="0.25">
      <c r="A61" s="60"/>
      <c r="B61" s="26" t="str">
        <f t="shared" si="9"/>
        <v>RSD_DTA3_RF_N_IM</v>
      </c>
      <c r="C61" s="26" t="str">
        <f t="shared" si="10"/>
        <v>Detached A3 Refrigerating Improved (Class A+) (N)</v>
      </c>
      <c r="D61" s="26" t="str">
        <f>Commodities!$D$341</f>
        <v>RSDELC</v>
      </c>
      <c r="E61" s="26" t="str">
        <f>E60</f>
        <v>RSD_DTA3_RF</v>
      </c>
      <c r="F61" s="84">
        <f t="shared" si="12"/>
        <v>2025</v>
      </c>
      <c r="G61" s="57">
        <v>2025</v>
      </c>
      <c r="H61" s="72"/>
      <c r="I61" s="57"/>
      <c r="J61" s="98">
        <f>(0.49113*(1/0.9))*1.5</f>
        <v>0.81855000000000011</v>
      </c>
      <c r="K61" s="57"/>
      <c r="L61" s="57"/>
      <c r="M61" s="72">
        <v>10</v>
      </c>
      <c r="N61" s="72"/>
      <c r="O61" s="60"/>
      <c r="Q61" s="10"/>
      <c r="R61" s="10" t="str">
        <f>Commodities!$AD$62&amp;"_"&amp;$R$3&amp;"_IM"</f>
        <v>RSD_APA4_RF_N_IM</v>
      </c>
      <c r="S61" s="10" t="s">
        <v>1296</v>
      </c>
      <c r="T61" s="21" t="str">
        <f>General!$D$18</f>
        <v>000s_Units</v>
      </c>
      <c r="U61" s="21" t="str">
        <f>General!$D$18</f>
        <v>000s_Units</v>
      </c>
      <c r="V61" s="21" t="s">
        <v>723</v>
      </c>
      <c r="W61" s="21"/>
      <c r="X61" s="21"/>
      <c r="Y61" s="60"/>
      <c r="Z61" s="10"/>
    </row>
    <row r="62" spans="1:27" s="32" customFormat="1" ht="16.5" customHeight="1" thickBot="1" x14ac:dyDescent="0.3">
      <c r="A62" s="60"/>
      <c r="B62" s="11" t="str">
        <f t="shared" si="9"/>
        <v>RSD_DTA3_RF_N_AD</v>
      </c>
      <c r="C62" s="11" t="str">
        <f t="shared" si="10"/>
        <v>Detached A3 Refrigerating Advanced (Class A++)  (N)</v>
      </c>
      <c r="D62" s="11" t="str">
        <f>Commodities!$D$341</f>
        <v>RSDELC</v>
      </c>
      <c r="E62" s="11" t="str">
        <f>E61</f>
        <v>RSD_DTA3_RF</v>
      </c>
      <c r="F62" s="89">
        <f t="shared" si="12"/>
        <v>2035</v>
      </c>
      <c r="G62" s="22">
        <v>2035</v>
      </c>
      <c r="H62" s="73"/>
      <c r="I62" s="22"/>
      <c r="J62" s="99">
        <f>(0.5255091*(1/0.9))*1.5</f>
        <v>0.87584849999999992</v>
      </c>
      <c r="K62" s="22"/>
      <c r="L62" s="22"/>
      <c r="M62" s="73">
        <v>10</v>
      </c>
      <c r="N62" s="73"/>
      <c r="O62" s="60"/>
      <c r="Q62" s="92"/>
      <c r="R62" s="92" t="str">
        <f>Commodities!$AD$62&amp;"_"&amp;$R$3&amp;"_AD"</f>
        <v>RSD_APA4_RF_N_AD</v>
      </c>
      <c r="S62" s="92" t="s">
        <v>1297</v>
      </c>
      <c r="T62" s="93" t="str">
        <f>General!$D$18</f>
        <v>000s_Units</v>
      </c>
      <c r="U62" s="93" t="str">
        <f>General!$D$18</f>
        <v>000s_Units</v>
      </c>
      <c r="V62" s="93" t="s">
        <v>723</v>
      </c>
      <c r="W62" s="93"/>
      <c r="X62" s="92"/>
      <c r="Y62" s="60"/>
      <c r="Z62" s="10"/>
    </row>
    <row r="63" spans="1:27" s="32" customFormat="1" ht="16.5" customHeight="1" thickTop="1" x14ac:dyDescent="0.25">
      <c r="A63" s="60"/>
      <c r="B63" s="53" t="str">
        <f t="shared" si="9"/>
        <v>RSD_APA3_RF_N_ST</v>
      </c>
      <c r="C63" s="53" t="str">
        <f t="shared" si="10"/>
        <v>Apartment A3 Refrigerating Standard (Class A,B) (N)</v>
      </c>
      <c r="D63" s="53" t="str">
        <f>Commodities!$D$341</f>
        <v>RSDELC</v>
      </c>
      <c r="E63" s="53" t="str">
        <f>Commodities!$AD$60</f>
        <v>RSD_APA3_RF</v>
      </c>
      <c r="F63" s="95">
        <f t="shared" si="12"/>
        <v>2018</v>
      </c>
      <c r="G63" s="55">
        <f>BASE_YEAR+1</f>
        <v>2018</v>
      </c>
      <c r="H63" s="72"/>
      <c r="I63" s="57"/>
      <c r="J63" s="97">
        <f>(0.459*(1/0.9))*1.5</f>
        <v>0.76500000000000001</v>
      </c>
      <c r="K63" s="55"/>
      <c r="L63" s="55"/>
      <c r="M63" s="96">
        <v>10</v>
      </c>
      <c r="N63" s="96"/>
      <c r="O63" s="60"/>
      <c r="Q63" s="10"/>
      <c r="R63" s="10" t="str">
        <f>Commodities!$AD$63&amp;"_"&amp;$R$3&amp;"_ST"</f>
        <v>RSD_DTA1_CW_N_ST</v>
      </c>
      <c r="S63" s="10" t="s">
        <v>1260</v>
      </c>
      <c r="T63" s="21" t="str">
        <f>General!$D$18</f>
        <v>000s_Units</v>
      </c>
      <c r="U63" s="21" t="str">
        <f>General!$D$18</f>
        <v>000s_Units</v>
      </c>
      <c r="V63" s="21" t="s">
        <v>723</v>
      </c>
      <c r="W63" s="21"/>
      <c r="X63" s="21"/>
      <c r="Y63" s="60"/>
      <c r="Z63" s="10"/>
    </row>
    <row r="64" spans="1:27" s="32" customFormat="1" ht="16.5" customHeight="1" x14ac:dyDescent="0.25">
      <c r="A64" s="60"/>
      <c r="B64" s="26" t="str">
        <f t="shared" si="9"/>
        <v>RSD_APA3_RF_N_IM</v>
      </c>
      <c r="C64" s="26" t="str">
        <f t="shared" si="10"/>
        <v>Apartment A3 Refrigerating Improved (Class A+) (N)</v>
      </c>
      <c r="D64" s="26" t="str">
        <f>Commodities!$D$341</f>
        <v>RSDELC</v>
      </c>
      <c r="E64" s="26" t="str">
        <f>E63</f>
        <v>RSD_APA3_RF</v>
      </c>
      <c r="F64" s="84">
        <f t="shared" si="12"/>
        <v>2025</v>
      </c>
      <c r="G64" s="57">
        <v>2025</v>
      </c>
      <c r="H64" s="72"/>
      <c r="I64" s="57"/>
      <c r="J64" s="98">
        <f>(0.49113*(1/0.9))*1.5</f>
        <v>0.81855000000000011</v>
      </c>
      <c r="K64" s="57"/>
      <c r="L64" s="57"/>
      <c r="M64" s="72">
        <v>10</v>
      </c>
      <c r="N64" s="72"/>
      <c r="O64" s="60"/>
      <c r="Q64" s="10"/>
      <c r="R64" s="10" t="str">
        <f>Commodities!$AD$63&amp;"_"&amp;$R$3&amp;"_IM"</f>
        <v>RSD_DTA1_CW_N_IM</v>
      </c>
      <c r="S64" s="10" t="s">
        <v>1261</v>
      </c>
      <c r="T64" s="21" t="str">
        <f>General!$D$18</f>
        <v>000s_Units</v>
      </c>
      <c r="U64" s="21" t="str">
        <f>General!$D$18</f>
        <v>000s_Units</v>
      </c>
      <c r="V64" s="21" t="s">
        <v>723</v>
      </c>
      <c r="W64" s="21"/>
      <c r="X64" s="21"/>
      <c r="Y64" s="60"/>
      <c r="Z64" s="10"/>
    </row>
    <row r="65" spans="1:27" s="32" customFormat="1" ht="16.5" customHeight="1" x14ac:dyDescent="0.25">
      <c r="A65" s="60"/>
      <c r="B65" s="11" t="str">
        <f t="shared" si="9"/>
        <v>RSD_APA3_RF_N_AD</v>
      </c>
      <c r="C65" s="11" t="str">
        <f t="shared" si="10"/>
        <v>Apartment A3 Refrigerating Advanced (Class A++) (N)</v>
      </c>
      <c r="D65" s="11" t="str">
        <f>Commodities!$D$341</f>
        <v>RSDELC</v>
      </c>
      <c r="E65" s="11" t="str">
        <f>E64</f>
        <v>RSD_APA3_RF</v>
      </c>
      <c r="F65" s="89">
        <f t="shared" si="12"/>
        <v>2035</v>
      </c>
      <c r="G65" s="22">
        <v>2035</v>
      </c>
      <c r="H65" s="73"/>
      <c r="I65" s="22"/>
      <c r="J65" s="99">
        <f>(0.5255091*(1/0.9))*1.5</f>
        <v>0.87584849999999992</v>
      </c>
      <c r="K65" s="22"/>
      <c r="L65" s="22"/>
      <c r="M65" s="73">
        <v>10</v>
      </c>
      <c r="N65" s="73"/>
      <c r="O65" s="60"/>
      <c r="Q65" s="10"/>
      <c r="R65" s="10" t="str">
        <f>Commodities!$AD$63&amp;"_"&amp;$R$3&amp;"_AD01"</f>
        <v>RSD_DTA1_CW_N_AD01</v>
      </c>
      <c r="S65" s="10" t="s">
        <v>1262</v>
      </c>
      <c r="T65" s="21" t="str">
        <f>General!$D$18</f>
        <v>000s_Units</v>
      </c>
      <c r="U65" s="21" t="str">
        <f>General!$D$18</f>
        <v>000s_Units</v>
      </c>
      <c r="V65" s="21" t="s">
        <v>723</v>
      </c>
      <c r="W65" s="21"/>
      <c r="X65" s="21"/>
      <c r="Y65" s="60"/>
      <c r="Z65" s="10"/>
    </row>
    <row r="66" spans="1:27" ht="16.5" customHeight="1" x14ac:dyDescent="0.25">
      <c r="B66" s="53" t="str">
        <f t="shared" ref="B66:B71" si="13">R57</f>
        <v>RSD_DTA4_RF_N_ST</v>
      </c>
      <c r="C66" s="53" t="str">
        <f t="shared" ref="C66:C71" si="14">S57</f>
        <v>Detached A4 Refrigerating Standard (Class A,B) (N)</v>
      </c>
      <c r="D66" s="53" t="str">
        <f>Commodities!$D$341</f>
        <v>RSDELC</v>
      </c>
      <c r="E66" s="53" t="str">
        <f>Commodities!$AD$61</f>
        <v>RSD_DTA4_RF</v>
      </c>
      <c r="F66" s="95">
        <f t="shared" si="12"/>
        <v>2018</v>
      </c>
      <c r="G66" s="55">
        <f>BASE_YEAR+1</f>
        <v>2018</v>
      </c>
      <c r="H66" s="72"/>
      <c r="I66" s="57"/>
      <c r="J66" s="97">
        <f>(0.459*(1/0.9))*1.5</f>
        <v>0.76500000000000001</v>
      </c>
      <c r="K66" s="55"/>
      <c r="L66" s="55"/>
      <c r="M66" s="96">
        <v>10</v>
      </c>
      <c r="N66" s="96"/>
      <c r="Q66" s="11"/>
      <c r="R66" s="11" t="str">
        <f>Commodities!$AD$63&amp;"_"&amp;$R$3&amp;"_AD02"</f>
        <v>RSD_DTA1_CW_N_AD02</v>
      </c>
      <c r="S66" s="11" t="s">
        <v>1263</v>
      </c>
      <c r="T66" s="22" t="str">
        <f>General!$D$18</f>
        <v>000s_Units</v>
      </c>
      <c r="U66" s="22" t="str">
        <f>General!$D$18</f>
        <v>000s_Units</v>
      </c>
      <c r="V66" s="22" t="s">
        <v>723</v>
      </c>
      <c r="W66" s="22"/>
      <c r="X66" s="22"/>
      <c r="Z66" s="10"/>
      <c r="AA66" s="32"/>
    </row>
    <row r="67" spans="1:27" ht="16.5" customHeight="1" x14ac:dyDescent="0.25">
      <c r="B67" s="26" t="str">
        <f t="shared" si="13"/>
        <v>RSD_DTA4_RF_N_IM</v>
      </c>
      <c r="C67" s="26" t="str">
        <f t="shared" si="14"/>
        <v>Detached A4 Refrigerating Improved (Class A+) (N)</v>
      </c>
      <c r="D67" s="26" t="str">
        <f>Commodities!$D$341</f>
        <v>RSDELC</v>
      </c>
      <c r="E67" s="26" t="str">
        <f>E66</f>
        <v>RSD_DTA4_RF</v>
      </c>
      <c r="F67" s="84">
        <f t="shared" si="12"/>
        <v>2025</v>
      </c>
      <c r="G67" s="57">
        <v>2025</v>
      </c>
      <c r="H67" s="72"/>
      <c r="I67" s="57"/>
      <c r="J67" s="98">
        <f>(0.49113*(1/0.9))*1.5</f>
        <v>0.81855000000000011</v>
      </c>
      <c r="K67" s="57"/>
      <c r="L67" s="57"/>
      <c r="M67" s="72">
        <v>10</v>
      </c>
      <c r="N67" s="72"/>
      <c r="Q67" s="10"/>
      <c r="R67" s="10" t="str">
        <f>Commodities!$AD$64&amp;"_"&amp;$R$3&amp;"_ST"</f>
        <v>RSD_APA1_CW_N_ST</v>
      </c>
      <c r="S67" s="10" t="s">
        <v>1298</v>
      </c>
      <c r="T67" s="21" t="str">
        <f>General!$D$18</f>
        <v>000s_Units</v>
      </c>
      <c r="U67" s="21" t="str">
        <f>General!$D$18</f>
        <v>000s_Units</v>
      </c>
      <c r="V67" s="21" t="s">
        <v>723</v>
      </c>
      <c r="W67" s="21"/>
      <c r="X67" s="21"/>
      <c r="Z67" s="10"/>
    </row>
    <row r="68" spans="1:27" ht="16.5" customHeight="1" x14ac:dyDescent="0.25">
      <c r="B68" s="11" t="str">
        <f t="shared" si="13"/>
        <v>RSD_DTA4_RF_N_AD</v>
      </c>
      <c r="C68" s="11" t="str">
        <f t="shared" si="14"/>
        <v>Detached A4 Refrigerating Advanced (Class A++) (N)</v>
      </c>
      <c r="D68" s="11" t="str">
        <f>Commodities!$D$341</f>
        <v>RSDELC</v>
      </c>
      <c r="E68" s="11" t="str">
        <f>E67</f>
        <v>RSD_DTA4_RF</v>
      </c>
      <c r="F68" s="89">
        <f t="shared" si="12"/>
        <v>2035</v>
      </c>
      <c r="G68" s="22">
        <v>2035</v>
      </c>
      <c r="H68" s="73"/>
      <c r="I68" s="22"/>
      <c r="J68" s="99">
        <f>(0.5255091*(1/0.9))*1.5</f>
        <v>0.87584849999999992</v>
      </c>
      <c r="K68" s="22"/>
      <c r="L68" s="22"/>
      <c r="M68" s="73">
        <v>10</v>
      </c>
      <c r="N68" s="73"/>
      <c r="Q68" s="10"/>
      <c r="R68" s="10" t="str">
        <f>Commodities!$AD$64&amp;"_"&amp;$R$3&amp;"_IM"</f>
        <v>RSD_APA1_CW_N_IM</v>
      </c>
      <c r="S68" s="10" t="s">
        <v>1299</v>
      </c>
      <c r="T68" s="21" t="str">
        <f>General!$D$18</f>
        <v>000s_Units</v>
      </c>
      <c r="U68" s="21" t="str">
        <f>General!$D$18</f>
        <v>000s_Units</v>
      </c>
      <c r="V68" s="21" t="s">
        <v>723</v>
      </c>
      <c r="W68" s="21"/>
      <c r="X68" s="21"/>
      <c r="Z68" s="10"/>
    </row>
    <row r="69" spans="1:27" ht="16.5" customHeight="1" x14ac:dyDescent="0.25">
      <c r="B69" s="53" t="str">
        <f t="shared" si="13"/>
        <v>RSD_APA4_RF_N_ST</v>
      </c>
      <c r="C69" s="53" t="str">
        <f t="shared" si="14"/>
        <v>Apartment A4 Refrigerating Standard (Class A,B) (N)</v>
      </c>
      <c r="D69" s="53" t="str">
        <f>Commodities!$D$341</f>
        <v>RSDELC</v>
      </c>
      <c r="E69" s="53" t="str">
        <f>Commodities!$AD$62</f>
        <v>RSD_APA4_RF</v>
      </c>
      <c r="F69" s="95">
        <f t="shared" ref="F69:F71" si="15">G69</f>
        <v>2018</v>
      </c>
      <c r="G69" s="55">
        <f>BASE_YEAR+1</f>
        <v>2018</v>
      </c>
      <c r="H69" s="72"/>
      <c r="I69" s="57"/>
      <c r="J69" s="97">
        <f>(0.459*(1/0.9))*1.5</f>
        <v>0.76500000000000001</v>
      </c>
      <c r="K69" s="55"/>
      <c r="L69" s="55"/>
      <c r="M69" s="96">
        <v>10</v>
      </c>
      <c r="N69" s="96"/>
      <c r="Q69" s="10"/>
      <c r="R69" s="10" t="str">
        <f>Commodities!$AD$64&amp;"_"&amp;$R$3&amp;"_AD01"</f>
        <v>RSD_APA1_CW_N_AD01</v>
      </c>
      <c r="S69" s="10" t="s">
        <v>1300</v>
      </c>
      <c r="T69" s="21" t="str">
        <f>General!$D$18</f>
        <v>000s_Units</v>
      </c>
      <c r="U69" s="21" t="str">
        <f>General!$D$18</f>
        <v>000s_Units</v>
      </c>
      <c r="V69" s="21" t="s">
        <v>723</v>
      </c>
      <c r="W69" s="21"/>
      <c r="X69" s="21"/>
      <c r="Z69" s="10"/>
    </row>
    <row r="70" spans="1:27" ht="16.5" customHeight="1" x14ac:dyDescent="0.25">
      <c r="B70" s="26" t="str">
        <f t="shared" si="13"/>
        <v>RSD_APA4_RF_N_IM</v>
      </c>
      <c r="C70" s="26" t="str">
        <f t="shared" si="14"/>
        <v>Apartment A4 Refrigerating Improved (Class A+) (N)</v>
      </c>
      <c r="D70" s="26" t="str">
        <f>Commodities!$D$341</f>
        <v>RSDELC</v>
      </c>
      <c r="E70" s="26" t="str">
        <f>E69</f>
        <v>RSD_APA4_RF</v>
      </c>
      <c r="F70" s="84">
        <f t="shared" si="15"/>
        <v>2025</v>
      </c>
      <c r="G70" s="57">
        <v>2025</v>
      </c>
      <c r="H70" s="72"/>
      <c r="I70" s="57"/>
      <c r="J70" s="98">
        <f>(0.49113*(1/0.9))*1.5</f>
        <v>0.81855000000000011</v>
      </c>
      <c r="K70" s="57"/>
      <c r="L70" s="57"/>
      <c r="M70" s="72">
        <v>10</v>
      </c>
      <c r="N70" s="72"/>
      <c r="Q70" s="11"/>
      <c r="R70" s="11" t="str">
        <f>Commodities!$AD$64&amp;"_"&amp;$R$3&amp;"_AD02"</f>
        <v>RSD_APA1_CW_N_AD02</v>
      </c>
      <c r="S70" s="11" t="s">
        <v>1301</v>
      </c>
      <c r="T70" s="22" t="str">
        <f>General!$D$18</f>
        <v>000s_Units</v>
      </c>
      <c r="U70" s="22" t="str">
        <f>General!$D$18</f>
        <v>000s_Units</v>
      </c>
      <c r="V70" s="22" t="s">
        <v>723</v>
      </c>
      <c r="W70" s="22"/>
      <c r="X70" s="22"/>
      <c r="Z70" s="10"/>
    </row>
    <row r="71" spans="1:27" ht="16.5" customHeight="1" x14ac:dyDescent="0.25">
      <c r="B71" s="11" t="str">
        <f t="shared" si="13"/>
        <v>RSD_APA4_RF_N_AD</v>
      </c>
      <c r="C71" s="11" t="str">
        <f t="shared" si="14"/>
        <v>Apartment A4 Refrigerating Advanced (Class A++) (N)</v>
      </c>
      <c r="D71" s="11" t="str">
        <f>Commodities!$D$341</f>
        <v>RSDELC</v>
      </c>
      <c r="E71" s="11" t="str">
        <f>E70</f>
        <v>RSD_APA4_RF</v>
      </c>
      <c r="F71" s="89">
        <f t="shared" si="15"/>
        <v>2035</v>
      </c>
      <c r="G71" s="22">
        <v>2035</v>
      </c>
      <c r="H71" s="73"/>
      <c r="I71" s="22"/>
      <c r="J71" s="99">
        <f>(0.5255091*(1/0.9))*1.5</f>
        <v>0.87584849999999992</v>
      </c>
      <c r="K71" s="22"/>
      <c r="L71" s="22"/>
      <c r="M71" s="73">
        <v>10</v>
      </c>
      <c r="N71" s="73"/>
      <c r="Q71" s="10"/>
      <c r="R71" s="10" t="str">
        <f>Commodities!$AD$65&amp;"_"&amp;$R$3&amp;"_ST"</f>
        <v>RSD_DTA2_CW_N_ST</v>
      </c>
      <c r="S71" s="10" t="s">
        <v>1243</v>
      </c>
      <c r="T71" s="21" t="str">
        <f>General!$D$18</f>
        <v>000s_Units</v>
      </c>
      <c r="U71" s="21" t="str">
        <f>General!$D$18</f>
        <v>000s_Units</v>
      </c>
      <c r="V71" s="21" t="s">
        <v>723</v>
      </c>
      <c r="W71" s="21"/>
      <c r="X71" s="21"/>
      <c r="Z71" s="26"/>
    </row>
    <row r="72" spans="1:27" ht="16.5" customHeight="1" x14ac:dyDescent="0.25">
      <c r="A72" s="32"/>
      <c r="B72" s="26"/>
      <c r="C72" s="26"/>
      <c r="D72" s="26"/>
      <c r="E72" s="26"/>
      <c r="F72" s="57"/>
      <c r="G72" s="57"/>
      <c r="H72" s="72"/>
      <c r="I72" s="57"/>
      <c r="J72" s="72"/>
      <c r="K72" s="57"/>
      <c r="L72" s="57"/>
      <c r="M72" s="72"/>
      <c r="N72" s="72"/>
      <c r="O72" s="32"/>
      <c r="Q72" s="10"/>
      <c r="R72" s="10" t="str">
        <f>Commodities!$AD$65&amp;"_"&amp;$R$3&amp;"_IM"</f>
        <v>RSD_DTA2_CW_N_IM</v>
      </c>
      <c r="S72" s="10" t="s">
        <v>1244</v>
      </c>
      <c r="T72" s="21" t="str">
        <f>General!$D$18</f>
        <v>000s_Units</v>
      </c>
      <c r="U72" s="21" t="str">
        <f>General!$D$18</f>
        <v>000s_Units</v>
      </c>
      <c r="V72" s="21" t="s">
        <v>723</v>
      </c>
      <c r="W72" s="21"/>
      <c r="X72" s="21"/>
      <c r="Z72" s="26"/>
    </row>
    <row r="73" spans="1:27" ht="16.5" customHeight="1" x14ac:dyDescent="0.25">
      <c r="A73" s="32"/>
      <c r="B73" s="26"/>
      <c r="C73" s="26"/>
      <c r="D73" s="26"/>
      <c r="E73" s="26"/>
      <c r="F73" s="57"/>
      <c r="G73" s="57"/>
      <c r="H73" s="72"/>
      <c r="I73" s="57"/>
      <c r="J73" s="72"/>
      <c r="K73" s="57"/>
      <c r="L73" s="57"/>
      <c r="M73" s="72"/>
      <c r="N73" s="72"/>
      <c r="O73" s="32"/>
      <c r="Q73" s="10"/>
      <c r="R73" s="10" t="str">
        <f>Commodities!$AD$65&amp;"_"&amp;$R$3&amp;"_AD01"</f>
        <v>RSD_DTA2_CW_N_AD01</v>
      </c>
      <c r="S73" s="10" t="s">
        <v>1245</v>
      </c>
      <c r="T73" s="21" t="str">
        <f>General!$D$18</f>
        <v>000s_Units</v>
      </c>
      <c r="U73" s="21" t="str">
        <f>General!$D$18</f>
        <v>000s_Units</v>
      </c>
      <c r="V73" s="21" t="s">
        <v>723</v>
      </c>
      <c r="W73" s="21"/>
      <c r="X73" s="21"/>
      <c r="Z73" s="26"/>
    </row>
    <row r="74" spans="1:27" ht="16.5" customHeight="1" x14ac:dyDescent="0.3">
      <c r="B74" s="27" t="s">
        <v>826</v>
      </c>
      <c r="C74" s="27"/>
      <c r="D74" s="27"/>
      <c r="E74" s="27"/>
      <c r="F74" s="27"/>
      <c r="G74" s="27"/>
      <c r="H74" s="27"/>
      <c r="I74" s="21"/>
      <c r="J74" s="10"/>
      <c r="K74" s="10"/>
      <c r="L74" s="10"/>
      <c r="M74" s="10"/>
      <c r="N74" s="10"/>
      <c r="O74" s="26"/>
      <c r="Q74" s="11"/>
      <c r="R74" s="11" t="str">
        <f>Commodities!$AD$65&amp;"_"&amp;$R$3&amp;"_AD02"</f>
        <v>RSD_DTA2_CW_N_AD02</v>
      </c>
      <c r="S74" s="11" t="s">
        <v>1246</v>
      </c>
      <c r="T74" s="22" t="str">
        <f>General!$D$18</f>
        <v>000s_Units</v>
      </c>
      <c r="U74" s="22" t="str">
        <f>General!$D$18</f>
        <v>000s_Units</v>
      </c>
      <c r="V74" s="22" t="s">
        <v>723</v>
      </c>
      <c r="W74" s="22"/>
      <c r="X74" s="22"/>
      <c r="Z74" s="26"/>
    </row>
    <row r="75" spans="1:27" ht="16.5" customHeight="1" x14ac:dyDescent="0.25">
      <c r="B75" s="28"/>
      <c r="C75" s="10"/>
      <c r="D75" s="29"/>
      <c r="E75" s="29"/>
      <c r="F75" s="29"/>
      <c r="G75" s="29"/>
      <c r="H75" s="10"/>
      <c r="I75" s="57"/>
      <c r="J75" s="74"/>
      <c r="K75" s="74"/>
      <c r="L75" s="74"/>
      <c r="M75" s="75"/>
      <c r="N75" s="10"/>
      <c r="O75" s="26"/>
      <c r="Q75" s="10"/>
      <c r="R75" s="10" t="str">
        <f>Commodities!$AD$66&amp;"_"&amp;$R$3&amp;"_ST"</f>
        <v>RSD_APA2_CW_N_ST</v>
      </c>
      <c r="S75" s="10" t="s">
        <v>1302</v>
      </c>
      <c r="T75" s="21" t="str">
        <f>General!$D$18</f>
        <v>000s_Units</v>
      </c>
      <c r="U75" s="21" t="str">
        <f>General!$D$18</f>
        <v>000s_Units</v>
      </c>
      <c r="V75" s="21" t="s">
        <v>723</v>
      </c>
      <c r="W75" s="21"/>
      <c r="X75" s="21"/>
      <c r="Y75" s="32"/>
      <c r="Z75" s="26"/>
    </row>
    <row r="76" spans="1:27" ht="16.5" customHeight="1" x14ac:dyDescent="0.25">
      <c r="B76" s="10"/>
      <c r="C76" s="10"/>
      <c r="D76" s="10"/>
      <c r="E76" s="30"/>
      <c r="F76" s="31" t="s">
        <v>0</v>
      </c>
      <c r="G76" s="31"/>
      <c r="H76" s="74"/>
      <c r="I76" s="21"/>
      <c r="J76" s="10"/>
      <c r="K76" s="10"/>
      <c r="L76" s="10"/>
      <c r="M76" s="10"/>
      <c r="N76" s="10"/>
      <c r="O76" s="26"/>
      <c r="Q76" s="10"/>
      <c r="R76" s="10" t="str">
        <f>Commodities!$AD$66&amp;"_"&amp;$R$3&amp;"_IM"</f>
        <v>RSD_APA2_CW_N_IM</v>
      </c>
      <c r="S76" s="10" t="s">
        <v>1303</v>
      </c>
      <c r="T76" s="21" t="str">
        <f>General!$D$18</f>
        <v>000s_Units</v>
      </c>
      <c r="U76" s="21" t="str">
        <f>General!$D$18</f>
        <v>000s_Units</v>
      </c>
      <c r="V76" s="21" t="s">
        <v>723</v>
      </c>
      <c r="W76" s="21"/>
      <c r="X76" s="21"/>
      <c r="Y76" s="32"/>
      <c r="Z76" s="26"/>
    </row>
    <row r="77" spans="1:27" ht="16.5" customHeight="1" x14ac:dyDescent="0.25">
      <c r="B77" s="33" t="s">
        <v>1</v>
      </c>
      <c r="C77" s="33" t="s">
        <v>794</v>
      </c>
      <c r="D77" s="33" t="s">
        <v>3</v>
      </c>
      <c r="E77" s="33" t="s">
        <v>4</v>
      </c>
      <c r="F77" s="34" t="s">
        <v>803</v>
      </c>
      <c r="G77" s="35" t="s">
        <v>14</v>
      </c>
      <c r="H77" s="36" t="s">
        <v>820</v>
      </c>
      <c r="I77" s="36" t="s">
        <v>789</v>
      </c>
      <c r="J77" s="36" t="s">
        <v>36</v>
      </c>
      <c r="K77" s="36" t="s">
        <v>5</v>
      </c>
      <c r="L77" s="36" t="s">
        <v>34</v>
      </c>
      <c r="M77" s="36" t="s">
        <v>780</v>
      </c>
      <c r="N77" s="36" t="s">
        <v>773</v>
      </c>
      <c r="O77" s="26"/>
      <c r="Q77" s="10"/>
      <c r="R77" s="10" t="str">
        <f>Commodities!$AD$66&amp;"_"&amp;$R$3&amp;"_AD01"</f>
        <v>RSD_APA2_CW_N_AD01</v>
      </c>
      <c r="S77" s="10" t="s">
        <v>1304</v>
      </c>
      <c r="T77" s="21" t="str">
        <f>General!$D$18</f>
        <v>000s_Units</v>
      </c>
      <c r="U77" s="21" t="str">
        <f>General!$D$18</f>
        <v>000s_Units</v>
      </c>
      <c r="V77" s="21" t="s">
        <v>723</v>
      </c>
      <c r="W77" s="21"/>
      <c r="X77" s="21"/>
      <c r="Y77" s="32"/>
      <c r="Z77" s="10"/>
    </row>
    <row r="78" spans="1:27" ht="16.5" customHeight="1" thickBot="1" x14ac:dyDescent="0.3">
      <c r="B78" s="41" t="s">
        <v>795</v>
      </c>
      <c r="C78" s="41" t="s">
        <v>28</v>
      </c>
      <c r="D78" s="41" t="s">
        <v>32</v>
      </c>
      <c r="E78" s="41" t="s">
        <v>33</v>
      </c>
      <c r="F78" s="42"/>
      <c r="G78" s="43" t="s">
        <v>35</v>
      </c>
      <c r="H78" s="41" t="s">
        <v>821</v>
      </c>
      <c r="I78" s="41" t="s">
        <v>805</v>
      </c>
      <c r="J78" s="43" t="s">
        <v>806</v>
      </c>
      <c r="K78" s="41" t="s">
        <v>37</v>
      </c>
      <c r="L78" s="41" t="s">
        <v>38</v>
      </c>
      <c r="M78" s="41" t="s">
        <v>781</v>
      </c>
      <c r="N78" s="41" t="s">
        <v>807</v>
      </c>
      <c r="O78" s="26"/>
      <c r="Q78" s="11"/>
      <c r="R78" s="11" t="str">
        <f>Commodities!$AD$66&amp;"_"&amp;$R$3&amp;"_AD02"</f>
        <v>RSD_APA2_CW_N_AD02</v>
      </c>
      <c r="S78" s="11" t="s">
        <v>1305</v>
      </c>
      <c r="T78" s="22" t="str">
        <f>General!$D$18</f>
        <v>000s_Units</v>
      </c>
      <c r="U78" s="22" t="str">
        <f>General!$D$18</f>
        <v>000s_Units</v>
      </c>
      <c r="V78" s="22" t="s">
        <v>723</v>
      </c>
      <c r="W78" s="22"/>
      <c r="X78" s="22"/>
      <c r="Y78" s="32"/>
      <c r="Z78" s="10"/>
    </row>
    <row r="79" spans="1:27" ht="16.5" customHeight="1" x14ac:dyDescent="0.25">
      <c r="B79" s="80"/>
      <c r="C79" s="81"/>
      <c r="D79" s="81"/>
      <c r="E79" s="81" t="s">
        <v>799</v>
      </c>
      <c r="F79" s="82"/>
      <c r="G79" s="81"/>
      <c r="H79" s="81" t="str">
        <f>General!$D$19</f>
        <v>TJ/unit</v>
      </c>
      <c r="I79" s="81" t="s">
        <v>808</v>
      </c>
      <c r="J79" s="81" t="str">
        <f>General!$D$26</f>
        <v>000$/unit</v>
      </c>
      <c r="K79" s="81" t="str">
        <f>General!$D$26</f>
        <v>000$/unit</v>
      </c>
      <c r="L79" s="81" t="str">
        <f>General!$D$15</f>
        <v>$/GJ</v>
      </c>
      <c r="M79" s="81" t="str">
        <f>General!$D$21</f>
        <v>Years</v>
      </c>
      <c r="N79" s="81"/>
      <c r="O79" s="26"/>
      <c r="Q79" s="10"/>
      <c r="R79" s="10" t="str">
        <f>Commodities!$AD$67&amp;"_"&amp;$R$3&amp;"_ST"</f>
        <v>RSD_DTA3_CW_N_ST</v>
      </c>
      <c r="S79" s="10" t="s">
        <v>1226</v>
      </c>
      <c r="T79" s="21" t="str">
        <f>General!$D$18</f>
        <v>000s_Units</v>
      </c>
      <c r="U79" s="21" t="str">
        <f>General!$D$18</f>
        <v>000s_Units</v>
      </c>
      <c r="V79" s="21" t="s">
        <v>723</v>
      </c>
      <c r="W79" s="21"/>
      <c r="X79" s="21"/>
      <c r="Y79" s="32"/>
      <c r="Z79" s="26"/>
    </row>
    <row r="80" spans="1:27" ht="16.5" customHeight="1" x14ac:dyDescent="0.25">
      <c r="B80" s="53" t="str">
        <f t="shared" ref="B80:B103" si="16">R63</f>
        <v>RSD_DTA1_CW_N_ST</v>
      </c>
      <c r="C80" s="53" t="str">
        <f t="shared" ref="C80:C103" si="17">S63</f>
        <v>Detached A1 Cloth Washing Standard A,B (N)</v>
      </c>
      <c r="D80" s="53" t="str">
        <f>Commodities!$D$341</f>
        <v>RSDELC</v>
      </c>
      <c r="E80" s="53" t="str">
        <f>Commodities!$AD$63</f>
        <v>RSD_DTA1_CW</v>
      </c>
      <c r="F80" s="95">
        <f>G80</f>
        <v>2018</v>
      </c>
      <c r="G80" s="55">
        <f>BASE_YEAR+1</f>
        <v>2018</v>
      </c>
      <c r="H80" s="96"/>
      <c r="I80" s="55"/>
      <c r="J80" s="98">
        <f>(0.4*(1/0.9))*0.85</f>
        <v>0.37777777777777777</v>
      </c>
      <c r="K80" s="55"/>
      <c r="L80" s="55"/>
      <c r="M80" s="96">
        <v>15</v>
      </c>
      <c r="N80" s="96"/>
      <c r="O80" s="26"/>
      <c r="Q80" s="10"/>
      <c r="R80" s="10" t="str">
        <f>Commodities!$AD$67&amp;"_"&amp;$R$3&amp;"_IM"</f>
        <v>RSD_DTA3_CW_N_IM</v>
      </c>
      <c r="S80" s="10" t="s">
        <v>1227</v>
      </c>
      <c r="T80" s="21" t="str">
        <f>General!$D$18</f>
        <v>000s_Units</v>
      </c>
      <c r="U80" s="21" t="str">
        <f>General!$D$18</f>
        <v>000s_Units</v>
      </c>
      <c r="V80" s="21" t="s">
        <v>723</v>
      </c>
      <c r="W80" s="21"/>
      <c r="X80" s="21"/>
      <c r="Y80" s="32"/>
      <c r="Z80" s="10"/>
    </row>
    <row r="81" spans="2:26" ht="16.5" customHeight="1" x14ac:dyDescent="0.25">
      <c r="B81" s="26" t="str">
        <f t="shared" si="16"/>
        <v>RSD_DTA1_CW_N_IM</v>
      </c>
      <c r="C81" s="26" t="str">
        <f t="shared" si="17"/>
        <v>Detached A1 Cloth Washing Improved A+ (N)</v>
      </c>
      <c r="D81" s="26" t="str">
        <f>Commodities!$D$341</f>
        <v>RSDELC</v>
      </c>
      <c r="E81" s="26" t="str">
        <f>E80</f>
        <v>RSD_DTA1_CW</v>
      </c>
      <c r="F81" s="84">
        <f t="shared" ref="F81:F90" si="18">G81</f>
        <v>2020</v>
      </c>
      <c r="G81" s="57">
        <v>2020</v>
      </c>
      <c r="H81" s="72"/>
      <c r="I81" s="57"/>
      <c r="J81" s="98">
        <f>(0.48*(1/0.9))*0.85</f>
        <v>0.45333333333333331</v>
      </c>
      <c r="K81" s="57"/>
      <c r="L81" s="57"/>
      <c r="M81" s="72">
        <v>15</v>
      </c>
      <c r="N81" s="72"/>
      <c r="O81" s="26"/>
      <c r="Q81" s="10"/>
      <c r="R81" s="10" t="str">
        <f>Commodities!$AD$67&amp;"_"&amp;$R$3&amp;"_AD01"</f>
        <v>RSD_DTA3_CW_N_AD01</v>
      </c>
      <c r="S81" s="10" t="s">
        <v>1228</v>
      </c>
      <c r="T81" s="21" t="str">
        <f>General!$D$18</f>
        <v>000s_Units</v>
      </c>
      <c r="U81" s="21" t="str">
        <f>General!$D$18</f>
        <v>000s_Units</v>
      </c>
      <c r="V81" s="21" t="s">
        <v>723</v>
      </c>
      <c r="W81" s="21"/>
      <c r="X81" s="21"/>
      <c r="Y81" s="32"/>
      <c r="Z81" s="10"/>
    </row>
    <row r="82" spans="2:26" ht="16.5" customHeight="1" x14ac:dyDescent="0.25">
      <c r="B82" s="26" t="str">
        <f t="shared" si="16"/>
        <v>RSD_DTA1_CW_N_AD01</v>
      </c>
      <c r="C82" s="26" t="str">
        <f t="shared" si="17"/>
        <v>Detached A1 Cloth Washing Advanced A++ (N)</v>
      </c>
      <c r="D82" s="26" t="str">
        <f>Commodities!$D$341</f>
        <v>RSDELC</v>
      </c>
      <c r="E82" s="26" t="str">
        <f>E81</f>
        <v>RSD_DTA1_CW</v>
      </c>
      <c r="F82" s="84">
        <f t="shared" si="18"/>
        <v>2030</v>
      </c>
      <c r="G82" s="57">
        <v>2030</v>
      </c>
      <c r="H82" s="72"/>
      <c r="I82" s="57"/>
      <c r="J82" s="98">
        <f>(0.624*(1/0.9))*0.85</f>
        <v>0.58933333333333338</v>
      </c>
      <c r="K82" s="57"/>
      <c r="L82" s="57"/>
      <c r="M82" s="72">
        <v>15</v>
      </c>
      <c r="N82" s="72"/>
      <c r="O82" s="26"/>
      <c r="Q82" s="11"/>
      <c r="R82" s="11" t="str">
        <f>Commodities!$AD$67&amp;"_"&amp;$R$3&amp;"_AD02"</f>
        <v>RSD_DTA3_CW_N_AD02</v>
      </c>
      <c r="S82" s="11" t="s">
        <v>1229</v>
      </c>
      <c r="T82" s="22" t="str">
        <f>General!$D$18</f>
        <v>000s_Units</v>
      </c>
      <c r="U82" s="22" t="str">
        <f>General!$D$18</f>
        <v>000s_Units</v>
      </c>
      <c r="V82" s="22" t="s">
        <v>723</v>
      </c>
      <c r="W82" s="22"/>
      <c r="X82" s="22"/>
      <c r="Y82" s="32"/>
      <c r="Z82" s="26"/>
    </row>
    <row r="83" spans="2:26" ht="16.5" customHeight="1" x14ac:dyDescent="0.25">
      <c r="B83" s="11" t="str">
        <f t="shared" si="16"/>
        <v>RSD_DTA1_CW_N_AD02</v>
      </c>
      <c r="C83" s="11" t="str">
        <f t="shared" si="17"/>
        <v>Detached A1 Cloth Washing&amp;Drier Advanced A++ (N)</v>
      </c>
      <c r="D83" s="11" t="str">
        <f>Commodities!$D$341</f>
        <v>RSDELC</v>
      </c>
      <c r="E83" s="11" t="str">
        <f>E82</f>
        <v>RSD_DTA1_CW</v>
      </c>
      <c r="F83" s="89">
        <f>G83</f>
        <v>2035</v>
      </c>
      <c r="G83" s="22">
        <v>2035</v>
      </c>
      <c r="H83" s="73"/>
      <c r="I83" s="22"/>
      <c r="J83" s="99">
        <f>(0.6864*(1/0.9))*0.85</f>
        <v>0.64826666666666666</v>
      </c>
      <c r="K83" s="22"/>
      <c r="L83" s="22"/>
      <c r="M83" s="73">
        <v>15</v>
      </c>
      <c r="N83" s="73"/>
      <c r="O83" s="26"/>
      <c r="Q83" s="10"/>
      <c r="R83" s="10" t="str">
        <f>Commodities!$AD$68&amp;"_"&amp;$R$3&amp;"_ST"</f>
        <v>RSD_APA3_CW_N_ST</v>
      </c>
      <c r="S83" s="10" t="s">
        <v>1306</v>
      </c>
      <c r="T83" s="21" t="str">
        <f>General!$D$18</f>
        <v>000s_Units</v>
      </c>
      <c r="U83" s="21" t="str">
        <f>General!$D$18</f>
        <v>000s_Units</v>
      </c>
      <c r="V83" s="21" t="s">
        <v>723</v>
      </c>
      <c r="W83" s="21"/>
      <c r="X83" s="21"/>
      <c r="Y83" s="32"/>
      <c r="Z83" s="26"/>
    </row>
    <row r="84" spans="2:26" ht="16.5" customHeight="1" x14ac:dyDescent="0.25">
      <c r="B84" s="53" t="str">
        <f t="shared" si="16"/>
        <v>RSD_APA1_CW_N_ST</v>
      </c>
      <c r="C84" s="53" t="str">
        <f t="shared" si="17"/>
        <v>Apartment A1 Cloth Washing Standard A,B (N)</v>
      </c>
      <c r="D84" s="53" t="str">
        <f>Commodities!$D$341</f>
        <v>RSDELC</v>
      </c>
      <c r="E84" s="53" t="str">
        <f>Commodities!$AD$64</f>
        <v>RSD_APA1_CW</v>
      </c>
      <c r="F84" s="95">
        <f>G84</f>
        <v>2018</v>
      </c>
      <c r="G84" s="55">
        <f>BASE_YEAR+1</f>
        <v>2018</v>
      </c>
      <c r="H84" s="96"/>
      <c r="I84" s="55"/>
      <c r="J84" s="98">
        <f>(0.4*(1/0.9))*0.85</f>
        <v>0.37777777777777777</v>
      </c>
      <c r="K84" s="55"/>
      <c r="L84" s="55"/>
      <c r="M84" s="96">
        <v>15</v>
      </c>
      <c r="N84" s="96"/>
      <c r="O84" s="26"/>
      <c r="Q84" s="10"/>
      <c r="R84" s="10" t="str">
        <f>Commodities!$AD$68&amp;"_"&amp;$R$3&amp;"_IM"</f>
        <v>RSD_APA3_CW_N_IM</v>
      </c>
      <c r="S84" s="10" t="s">
        <v>1307</v>
      </c>
      <c r="T84" s="21" t="str">
        <f>General!$D$18</f>
        <v>000s_Units</v>
      </c>
      <c r="U84" s="21" t="str">
        <f>General!$D$18</f>
        <v>000s_Units</v>
      </c>
      <c r="V84" s="21" t="s">
        <v>723</v>
      </c>
      <c r="W84" s="21"/>
      <c r="X84" s="21"/>
      <c r="Y84" s="32"/>
      <c r="Z84" s="26"/>
    </row>
    <row r="85" spans="2:26" ht="16.5" customHeight="1" x14ac:dyDescent="0.25">
      <c r="B85" s="26" t="str">
        <f t="shared" si="16"/>
        <v>RSD_APA1_CW_N_IM</v>
      </c>
      <c r="C85" s="26" t="str">
        <f t="shared" si="17"/>
        <v>Apartment A1 Cloth Washing Improved A+ (N)</v>
      </c>
      <c r="D85" s="26" t="str">
        <f>Commodities!$D$341</f>
        <v>RSDELC</v>
      </c>
      <c r="E85" s="26" t="str">
        <f>E84</f>
        <v>RSD_APA1_CW</v>
      </c>
      <c r="F85" s="84">
        <f t="shared" si="18"/>
        <v>2020</v>
      </c>
      <c r="G85" s="57">
        <v>2020</v>
      </c>
      <c r="H85" s="72"/>
      <c r="I85" s="57"/>
      <c r="J85" s="98">
        <f>(0.48*(1/0.9))*0.85</f>
        <v>0.45333333333333331</v>
      </c>
      <c r="K85" s="57"/>
      <c r="L85" s="57"/>
      <c r="M85" s="72">
        <v>15</v>
      </c>
      <c r="N85" s="72"/>
      <c r="O85" s="26"/>
      <c r="Q85" s="10"/>
      <c r="R85" s="10" t="str">
        <f>Commodities!$AD$68&amp;"_"&amp;$R$3&amp;"_AD01"</f>
        <v>RSD_APA3_CW_N_AD01</v>
      </c>
      <c r="S85" s="10" t="s">
        <v>1308</v>
      </c>
      <c r="T85" s="21" t="str">
        <f>General!$D$18</f>
        <v>000s_Units</v>
      </c>
      <c r="U85" s="21" t="str">
        <f>General!$D$18</f>
        <v>000s_Units</v>
      </c>
      <c r="V85" s="21" t="s">
        <v>723</v>
      </c>
      <c r="W85" s="21"/>
      <c r="X85" s="21"/>
      <c r="Y85" s="32"/>
      <c r="Z85" s="26"/>
    </row>
    <row r="86" spans="2:26" ht="16.5" customHeight="1" x14ac:dyDescent="0.25">
      <c r="B86" s="26" t="str">
        <f t="shared" si="16"/>
        <v>RSD_APA1_CW_N_AD01</v>
      </c>
      <c r="C86" s="26" t="str">
        <f t="shared" si="17"/>
        <v>Apartment A1 Cloth Washing  Advanced A++ (N)</v>
      </c>
      <c r="D86" s="26" t="str">
        <f>Commodities!$D$341</f>
        <v>RSDELC</v>
      </c>
      <c r="E86" s="26" t="str">
        <f>E85</f>
        <v>RSD_APA1_CW</v>
      </c>
      <c r="F86" s="84">
        <f t="shared" si="18"/>
        <v>2030</v>
      </c>
      <c r="G86" s="57">
        <v>2030</v>
      </c>
      <c r="H86" s="72"/>
      <c r="I86" s="57"/>
      <c r="J86" s="98">
        <f>(0.624*(1/0.9))*0.85</f>
        <v>0.58933333333333338</v>
      </c>
      <c r="K86" s="57"/>
      <c r="L86" s="57"/>
      <c r="M86" s="72">
        <v>15</v>
      </c>
      <c r="N86" s="72"/>
      <c r="O86" s="26"/>
      <c r="Q86" s="11"/>
      <c r="R86" s="11" t="str">
        <f>Commodities!$AD$68&amp;"_"&amp;$R$3&amp;"_AD02"</f>
        <v>RSD_APA3_CW_N_AD02</v>
      </c>
      <c r="S86" s="11" t="s">
        <v>1309</v>
      </c>
      <c r="T86" s="22" t="str">
        <f>General!$D$18</f>
        <v>000s_Units</v>
      </c>
      <c r="U86" s="22" t="str">
        <f>General!$D$18</f>
        <v>000s_Units</v>
      </c>
      <c r="V86" s="22" t="s">
        <v>723</v>
      </c>
      <c r="W86" s="22"/>
      <c r="X86" s="22"/>
      <c r="Y86" s="32"/>
      <c r="Z86" s="26"/>
    </row>
    <row r="87" spans="2:26" ht="16.5" customHeight="1" x14ac:dyDescent="0.25">
      <c r="B87" s="11" t="str">
        <f t="shared" si="16"/>
        <v>RSD_APA1_CW_N_AD02</v>
      </c>
      <c r="C87" s="11" t="str">
        <f t="shared" si="17"/>
        <v>Apartment A1 Cloth Washing&amp;Drier  Advanced A++ (N)</v>
      </c>
      <c r="D87" s="11" t="str">
        <f>Commodities!$D$341</f>
        <v>RSDELC</v>
      </c>
      <c r="E87" s="11" t="str">
        <f>E86</f>
        <v>RSD_APA1_CW</v>
      </c>
      <c r="F87" s="89">
        <f>G87</f>
        <v>2035</v>
      </c>
      <c r="G87" s="22">
        <v>2035</v>
      </c>
      <c r="H87" s="73"/>
      <c r="I87" s="22"/>
      <c r="J87" s="99">
        <f>(0.6864*(1/0.9))*0.85</f>
        <v>0.64826666666666666</v>
      </c>
      <c r="K87" s="22"/>
      <c r="L87" s="22"/>
      <c r="M87" s="73">
        <v>15</v>
      </c>
      <c r="N87" s="73"/>
      <c r="O87" s="26"/>
      <c r="Q87" s="10"/>
      <c r="R87" s="10" t="str">
        <f>Commodities!$AD$69&amp;"_"&amp;$R$3&amp;"_ST"</f>
        <v>RSD_DTA4_CW_N_ST</v>
      </c>
      <c r="S87" s="10" t="s">
        <v>1209</v>
      </c>
      <c r="T87" s="21" t="str">
        <f>General!$D$18</f>
        <v>000s_Units</v>
      </c>
      <c r="U87" s="21" t="str">
        <f>General!$D$18</f>
        <v>000s_Units</v>
      </c>
      <c r="V87" s="21" t="s">
        <v>723</v>
      </c>
      <c r="W87" s="21"/>
      <c r="X87" s="21"/>
      <c r="Y87" s="32"/>
      <c r="Z87" s="26"/>
    </row>
    <row r="88" spans="2:26" ht="16.5" customHeight="1" x14ac:dyDescent="0.25">
      <c r="B88" s="53" t="str">
        <f t="shared" si="16"/>
        <v>RSD_DTA2_CW_N_ST</v>
      </c>
      <c r="C88" s="53" t="str">
        <f t="shared" si="17"/>
        <v>Detached A2 Cloth Washing Standard A,B (N)</v>
      </c>
      <c r="D88" s="53" t="str">
        <f>Commodities!$D$341</f>
        <v>RSDELC</v>
      </c>
      <c r="E88" s="53" t="str">
        <f>Commodities!$AD$65</f>
        <v>RSD_DTA2_CW</v>
      </c>
      <c r="F88" s="95">
        <f>G88</f>
        <v>2018</v>
      </c>
      <c r="G88" s="55">
        <f>BASE_YEAR+1</f>
        <v>2018</v>
      </c>
      <c r="H88" s="96"/>
      <c r="I88" s="55"/>
      <c r="J88" s="98">
        <f>(0.4*(1/0.9))*0.85</f>
        <v>0.37777777777777777</v>
      </c>
      <c r="K88" s="55"/>
      <c r="L88" s="55"/>
      <c r="M88" s="96">
        <v>15</v>
      </c>
      <c r="N88" s="96"/>
      <c r="O88" s="26"/>
      <c r="Q88" s="10"/>
      <c r="R88" s="10" t="str">
        <f>Commodities!$AD$69&amp;"_"&amp;$R$3&amp;"_IM"</f>
        <v>RSD_DTA4_CW_N_IM</v>
      </c>
      <c r="S88" s="10" t="s">
        <v>1210</v>
      </c>
      <c r="T88" s="21" t="str">
        <f>General!$D$18</f>
        <v>000s_Units</v>
      </c>
      <c r="U88" s="21" t="str">
        <f>General!$D$18</f>
        <v>000s_Units</v>
      </c>
      <c r="V88" s="21" t="s">
        <v>723</v>
      </c>
      <c r="W88" s="21"/>
      <c r="X88" s="21"/>
      <c r="Y88" s="32"/>
      <c r="Z88" s="26"/>
    </row>
    <row r="89" spans="2:26" ht="16.5" customHeight="1" x14ac:dyDescent="0.25">
      <c r="B89" s="26" t="str">
        <f t="shared" si="16"/>
        <v>RSD_DTA2_CW_N_IM</v>
      </c>
      <c r="C89" s="26" t="str">
        <f t="shared" si="17"/>
        <v>Detached A2 Cloth Washing Improved A+ (N)</v>
      </c>
      <c r="D89" s="26" t="str">
        <f>Commodities!$D$341</f>
        <v>RSDELC</v>
      </c>
      <c r="E89" s="26" t="str">
        <f>E88</f>
        <v>RSD_DTA2_CW</v>
      </c>
      <c r="F89" s="84">
        <f t="shared" si="18"/>
        <v>2020</v>
      </c>
      <c r="G89" s="57">
        <v>2020</v>
      </c>
      <c r="H89" s="72"/>
      <c r="I89" s="57"/>
      <c r="J89" s="98">
        <f>(0.48*(1/0.9))*0.85</f>
        <v>0.45333333333333331</v>
      </c>
      <c r="K89" s="57"/>
      <c r="L89" s="57"/>
      <c r="M89" s="72">
        <v>15</v>
      </c>
      <c r="N89" s="72"/>
      <c r="Q89" s="10"/>
      <c r="R89" s="10" t="str">
        <f>Commodities!$AD$69&amp;"_"&amp;$R$3&amp;"_AD01"</f>
        <v>RSD_DTA4_CW_N_AD01</v>
      </c>
      <c r="S89" s="10" t="s">
        <v>1211</v>
      </c>
      <c r="T89" s="21" t="str">
        <f>General!$D$18</f>
        <v>000s_Units</v>
      </c>
      <c r="U89" s="21" t="str">
        <f>General!$D$18</f>
        <v>000s_Units</v>
      </c>
      <c r="V89" s="21" t="s">
        <v>723</v>
      </c>
      <c r="W89" s="21"/>
      <c r="X89" s="21"/>
      <c r="Y89" s="32"/>
      <c r="Z89" s="10"/>
    </row>
    <row r="90" spans="2:26" ht="16.5" customHeight="1" thickBot="1" x14ac:dyDescent="0.3">
      <c r="B90" s="26" t="str">
        <f t="shared" si="16"/>
        <v>RSD_DTA2_CW_N_AD01</v>
      </c>
      <c r="C90" s="26" t="str">
        <f t="shared" si="17"/>
        <v>Detached A2 Cloth Washing  Advanced A++ (N)</v>
      </c>
      <c r="D90" s="26" t="str">
        <f>Commodities!$D$341</f>
        <v>RSDELC</v>
      </c>
      <c r="E90" s="26" t="str">
        <f>E89</f>
        <v>RSD_DTA2_CW</v>
      </c>
      <c r="F90" s="84">
        <f t="shared" si="18"/>
        <v>2030</v>
      </c>
      <c r="G90" s="57">
        <v>2030</v>
      </c>
      <c r="H90" s="72"/>
      <c r="I90" s="57"/>
      <c r="J90" s="98">
        <f>(0.624*(1/0.9))*0.85</f>
        <v>0.58933333333333338</v>
      </c>
      <c r="K90" s="57"/>
      <c r="L90" s="57"/>
      <c r="M90" s="72">
        <v>15</v>
      </c>
      <c r="N90" s="72"/>
      <c r="Q90" s="11"/>
      <c r="R90" s="11" t="str">
        <f>Commodities!$AD$69&amp;"_"&amp;$R$3&amp;"_AD02"</f>
        <v>RSD_DTA4_CW_N_AD02</v>
      </c>
      <c r="S90" s="92" t="s">
        <v>1212</v>
      </c>
      <c r="T90" s="22" t="str">
        <f>General!$D$18</f>
        <v>000s_Units</v>
      </c>
      <c r="U90" s="22" t="str">
        <f>General!$D$18</f>
        <v>000s_Units</v>
      </c>
      <c r="V90" s="22" t="s">
        <v>723</v>
      </c>
      <c r="W90" s="22"/>
      <c r="X90" s="22"/>
      <c r="Y90" s="32"/>
      <c r="Z90" s="10"/>
    </row>
    <row r="91" spans="2:26" ht="16.5" customHeight="1" thickTop="1" x14ac:dyDescent="0.25">
      <c r="B91" s="11" t="str">
        <f t="shared" si="16"/>
        <v>RSD_DTA2_CW_N_AD02</v>
      </c>
      <c r="C91" s="11" t="str">
        <f t="shared" si="17"/>
        <v>Detached A2 Cloth Washing&amp;Drier  Advanced A++ (N)</v>
      </c>
      <c r="D91" s="11" t="str">
        <f>Commodities!$D$341</f>
        <v>RSDELC</v>
      </c>
      <c r="E91" s="11" t="str">
        <f>E90</f>
        <v>RSD_DTA2_CW</v>
      </c>
      <c r="F91" s="89">
        <f t="shared" ref="F91:F103" si="19">G91</f>
        <v>2035</v>
      </c>
      <c r="G91" s="22">
        <v>2035</v>
      </c>
      <c r="H91" s="73"/>
      <c r="I91" s="22"/>
      <c r="J91" s="99">
        <f>(0.6864*(1/0.9))*0.85</f>
        <v>0.64826666666666666</v>
      </c>
      <c r="K91" s="22"/>
      <c r="L91" s="22"/>
      <c r="M91" s="73">
        <v>15</v>
      </c>
      <c r="N91" s="73"/>
      <c r="Q91" s="10"/>
      <c r="R91" s="10" t="str">
        <f>Commodities!$AD$70&amp;"_"&amp;$R$3&amp;"_ST"</f>
        <v>RSD_APA4_CW_N_ST</v>
      </c>
      <c r="S91" s="10" t="s">
        <v>1310</v>
      </c>
      <c r="T91" s="21" t="str">
        <f>General!$D$18</f>
        <v>000s_Units</v>
      </c>
      <c r="U91" s="21" t="str">
        <f>General!$D$18</f>
        <v>000s_Units</v>
      </c>
      <c r="V91" s="21" t="s">
        <v>723</v>
      </c>
      <c r="W91" s="21"/>
      <c r="X91" s="21"/>
      <c r="Y91" s="32"/>
      <c r="Z91" s="10"/>
    </row>
    <row r="92" spans="2:26" ht="16.5" customHeight="1" x14ac:dyDescent="0.25">
      <c r="B92" s="53" t="str">
        <f t="shared" si="16"/>
        <v>RSD_APA2_CW_N_ST</v>
      </c>
      <c r="C92" s="53" t="str">
        <f t="shared" si="17"/>
        <v>Apartment A2  Cloth Washing Standard A,B (N)</v>
      </c>
      <c r="D92" s="53" t="str">
        <f>Commodities!$D$341</f>
        <v>RSDELC</v>
      </c>
      <c r="E92" s="53" t="str">
        <f>Commodities!$AD$66</f>
        <v>RSD_APA2_CW</v>
      </c>
      <c r="F92" s="95">
        <f t="shared" si="19"/>
        <v>2018</v>
      </c>
      <c r="G92" s="55">
        <f>BASE_YEAR+1</f>
        <v>2018</v>
      </c>
      <c r="H92" s="96"/>
      <c r="I92" s="55"/>
      <c r="J92" s="98">
        <f>(0.4*(1/0.9))*0.85</f>
        <v>0.37777777777777777</v>
      </c>
      <c r="K92" s="55"/>
      <c r="L92" s="55"/>
      <c r="M92" s="96">
        <v>15</v>
      </c>
      <c r="N92" s="96"/>
      <c r="Q92" s="10"/>
      <c r="R92" s="10" t="str">
        <f>Commodities!$AD$70&amp;"_"&amp;$R$3&amp;"_IM"</f>
        <v>RSD_APA4_CW_N_IM</v>
      </c>
      <c r="S92" s="10" t="s">
        <v>1311</v>
      </c>
      <c r="T92" s="21" t="str">
        <f>General!$D$18</f>
        <v>000s_Units</v>
      </c>
      <c r="U92" s="21" t="str">
        <f>General!$D$18</f>
        <v>000s_Units</v>
      </c>
      <c r="V92" s="21" t="s">
        <v>723</v>
      </c>
      <c r="W92" s="21"/>
      <c r="X92" s="21"/>
      <c r="Y92" s="32"/>
      <c r="Z92" s="10"/>
    </row>
    <row r="93" spans="2:26" ht="16.5" customHeight="1" x14ac:dyDescent="0.25">
      <c r="B93" s="26" t="str">
        <f t="shared" si="16"/>
        <v>RSD_APA2_CW_N_IM</v>
      </c>
      <c r="C93" s="26" t="str">
        <f t="shared" si="17"/>
        <v>Apartment A2  Cloth Washing Improved A+ (N)</v>
      </c>
      <c r="D93" s="26" t="str">
        <f>Commodities!$D$341</f>
        <v>RSDELC</v>
      </c>
      <c r="E93" s="26" t="str">
        <f>E92</f>
        <v>RSD_APA2_CW</v>
      </c>
      <c r="F93" s="84">
        <f t="shared" si="19"/>
        <v>2020</v>
      </c>
      <c r="G93" s="57">
        <v>2020</v>
      </c>
      <c r="H93" s="72"/>
      <c r="I93" s="57"/>
      <c r="J93" s="98">
        <f>(0.48*(1/0.9))*0.85</f>
        <v>0.45333333333333331</v>
      </c>
      <c r="K93" s="57"/>
      <c r="L93" s="57"/>
      <c r="M93" s="72">
        <v>15</v>
      </c>
      <c r="N93" s="72"/>
      <c r="Q93" s="10"/>
      <c r="R93" s="10" t="str">
        <f>Commodities!$AD$70&amp;"_"&amp;$R$3&amp;"_AD01"</f>
        <v>RSD_APA4_CW_N_AD01</v>
      </c>
      <c r="S93" s="10" t="s">
        <v>1312</v>
      </c>
      <c r="T93" s="21" t="str">
        <f>General!$D$18</f>
        <v>000s_Units</v>
      </c>
      <c r="U93" s="21" t="str">
        <f>General!$D$18</f>
        <v>000s_Units</v>
      </c>
      <c r="V93" s="21" t="s">
        <v>723</v>
      </c>
      <c r="W93" s="21"/>
      <c r="X93" s="21"/>
      <c r="Z93" s="10"/>
    </row>
    <row r="94" spans="2:26" ht="16.5" customHeight="1" thickBot="1" x14ac:dyDescent="0.3">
      <c r="B94" s="26" t="str">
        <f t="shared" si="16"/>
        <v>RSD_APA2_CW_N_AD01</v>
      </c>
      <c r="C94" s="26" t="str">
        <f t="shared" si="17"/>
        <v>Apartment A2  Cloth Washing  Advanced A++ (N)</v>
      </c>
      <c r="D94" s="26" t="str">
        <f>Commodities!$D$341</f>
        <v>RSDELC</v>
      </c>
      <c r="E94" s="26" t="str">
        <f>E93</f>
        <v>RSD_APA2_CW</v>
      </c>
      <c r="F94" s="84">
        <f t="shared" si="19"/>
        <v>2030</v>
      </c>
      <c r="G94" s="57">
        <v>2030</v>
      </c>
      <c r="H94" s="72"/>
      <c r="I94" s="57"/>
      <c r="J94" s="98">
        <f>(0.624*(1/0.9))*0.85</f>
        <v>0.58933333333333338</v>
      </c>
      <c r="K94" s="57"/>
      <c r="L94" s="57"/>
      <c r="M94" s="72">
        <v>15</v>
      </c>
      <c r="N94" s="72"/>
      <c r="Q94" s="92"/>
      <c r="R94" s="92" t="str">
        <f>Commodities!$AD$70&amp;"_"&amp;$R$3&amp;"_AD02"</f>
        <v>RSD_APA4_CW_N_AD02</v>
      </c>
      <c r="S94" s="92" t="s">
        <v>1313</v>
      </c>
      <c r="T94" s="93" t="str">
        <f>General!$D$18</f>
        <v>000s_Units</v>
      </c>
      <c r="U94" s="93" t="str">
        <f>General!$D$18</f>
        <v>000s_Units</v>
      </c>
      <c r="V94" s="93" t="s">
        <v>723</v>
      </c>
      <c r="W94" s="93"/>
      <c r="X94" s="92"/>
      <c r="Z94" s="10"/>
    </row>
    <row r="95" spans="2:26" ht="16.5" customHeight="1" thickTop="1" x14ac:dyDescent="0.25">
      <c r="B95" s="11" t="str">
        <f t="shared" si="16"/>
        <v>RSD_APA2_CW_N_AD02</v>
      </c>
      <c r="C95" s="11" t="str">
        <f t="shared" si="17"/>
        <v>Apartment A2  Cloth Washing&amp;Drier Advanced A++ (N)</v>
      </c>
      <c r="D95" s="11" t="str">
        <f>Commodities!$D$341</f>
        <v>RSDELC</v>
      </c>
      <c r="E95" s="11" t="str">
        <f>E94</f>
        <v>RSD_APA2_CW</v>
      </c>
      <c r="F95" s="89">
        <f t="shared" si="19"/>
        <v>2035</v>
      </c>
      <c r="G95" s="22">
        <v>2035</v>
      </c>
      <c r="H95" s="73"/>
      <c r="I95" s="22"/>
      <c r="J95" s="99">
        <f>(0.6864*(1/0.9))*0.85</f>
        <v>0.64826666666666666</v>
      </c>
      <c r="K95" s="22"/>
      <c r="L95" s="22"/>
      <c r="M95" s="73">
        <v>15</v>
      </c>
      <c r="N95" s="73"/>
      <c r="Q95" s="10"/>
      <c r="R95" s="26" t="str">
        <f>Commodities!$AD$71&amp;"_"&amp;$R$3&amp;"_ST"</f>
        <v>RSD_DTA1_DW_N_ST</v>
      </c>
      <c r="S95" s="10" t="s">
        <v>1264</v>
      </c>
      <c r="T95" s="21" t="str">
        <f>General!$D$18</f>
        <v>000s_Units</v>
      </c>
      <c r="U95" s="21" t="str">
        <f>General!$D$18</f>
        <v>000s_Units</v>
      </c>
      <c r="V95" s="57" t="s">
        <v>723</v>
      </c>
      <c r="W95" s="21"/>
      <c r="X95" s="21"/>
      <c r="Z95" s="10"/>
    </row>
    <row r="96" spans="2:26" ht="16.5" customHeight="1" x14ac:dyDescent="0.25">
      <c r="B96" s="53" t="str">
        <f t="shared" si="16"/>
        <v>RSD_DTA3_CW_N_ST</v>
      </c>
      <c r="C96" s="53" t="str">
        <f t="shared" si="17"/>
        <v>Detached A3 Cloth Washing Standard A,B (N)</v>
      </c>
      <c r="D96" s="53" t="str">
        <f>Commodities!$D$341</f>
        <v>RSDELC</v>
      </c>
      <c r="E96" s="53" t="str">
        <f>Commodities!$AD$67</f>
        <v>RSD_DTA3_CW</v>
      </c>
      <c r="F96" s="95">
        <f t="shared" si="19"/>
        <v>2018</v>
      </c>
      <c r="G96" s="55">
        <f>BASE_YEAR+1</f>
        <v>2018</v>
      </c>
      <c r="H96" s="96"/>
      <c r="I96" s="55"/>
      <c r="J96" s="98">
        <f>(0.4*(1/0.9))*0.85</f>
        <v>0.37777777777777777</v>
      </c>
      <c r="K96" s="55"/>
      <c r="L96" s="55"/>
      <c r="M96" s="96">
        <v>15</v>
      </c>
      <c r="N96" s="96"/>
      <c r="Q96" s="10"/>
      <c r="R96" s="26" t="str">
        <f>Commodities!$AD$71&amp;"_"&amp;$R$3&amp;"_IM"</f>
        <v>RSD_DTA1_DW_N_IM</v>
      </c>
      <c r="S96" s="10" t="s">
        <v>1265</v>
      </c>
      <c r="T96" s="21" t="str">
        <f>General!$D$18</f>
        <v>000s_Units</v>
      </c>
      <c r="U96" s="21" t="str">
        <f>General!$D$18</f>
        <v>000s_Units</v>
      </c>
      <c r="V96" s="57" t="s">
        <v>723</v>
      </c>
      <c r="W96" s="21"/>
      <c r="X96" s="21"/>
      <c r="Z96" s="10"/>
    </row>
    <row r="97" spans="2:26" ht="16.5" customHeight="1" x14ac:dyDescent="0.25">
      <c r="B97" s="26" t="str">
        <f t="shared" si="16"/>
        <v>RSD_DTA3_CW_N_IM</v>
      </c>
      <c r="C97" s="26" t="str">
        <f t="shared" si="17"/>
        <v>Detached A3 Cloth Washing Improved A+ (N)</v>
      </c>
      <c r="D97" s="26" t="str">
        <f>Commodities!$D$341</f>
        <v>RSDELC</v>
      </c>
      <c r="E97" s="26" t="str">
        <f>E96</f>
        <v>RSD_DTA3_CW</v>
      </c>
      <c r="F97" s="84">
        <f t="shared" si="19"/>
        <v>2020</v>
      </c>
      <c r="G97" s="57">
        <v>2020</v>
      </c>
      <c r="H97" s="72"/>
      <c r="I97" s="57"/>
      <c r="J97" s="98">
        <f>(0.48*(1/0.9))*0.85</f>
        <v>0.45333333333333331</v>
      </c>
      <c r="K97" s="57"/>
      <c r="L97" s="57"/>
      <c r="M97" s="72">
        <v>15</v>
      </c>
      <c r="N97" s="72"/>
      <c r="Q97" s="11"/>
      <c r="R97" s="11" t="str">
        <f>Commodities!$AD$71&amp;"_"&amp;$R$3&amp;"_AD"</f>
        <v>RSD_DTA1_DW_N_AD</v>
      </c>
      <c r="S97" s="11" t="s">
        <v>1266</v>
      </c>
      <c r="T97" s="22" t="str">
        <f>General!$D$18</f>
        <v>000s_Units</v>
      </c>
      <c r="U97" s="22" t="str">
        <f>General!$D$18</f>
        <v>000s_Units</v>
      </c>
      <c r="V97" s="22" t="s">
        <v>723</v>
      </c>
      <c r="W97" s="22"/>
      <c r="X97" s="22"/>
      <c r="Z97" s="10"/>
    </row>
    <row r="98" spans="2:26" ht="16.5" customHeight="1" x14ac:dyDescent="0.25">
      <c r="B98" s="26" t="str">
        <f t="shared" si="16"/>
        <v>RSD_DTA3_CW_N_AD01</v>
      </c>
      <c r="C98" s="26" t="str">
        <f t="shared" si="17"/>
        <v>Detached A3 Cloth Washing  Advanced A++ (N)</v>
      </c>
      <c r="D98" s="26" t="str">
        <f>Commodities!$D$341</f>
        <v>RSDELC</v>
      </c>
      <c r="E98" s="26" t="str">
        <f>E97</f>
        <v>RSD_DTA3_CW</v>
      </c>
      <c r="F98" s="84">
        <f t="shared" si="19"/>
        <v>2030</v>
      </c>
      <c r="G98" s="57">
        <v>2030</v>
      </c>
      <c r="H98" s="72"/>
      <c r="I98" s="57"/>
      <c r="J98" s="98">
        <f>(0.624*(1/0.9))*0.85</f>
        <v>0.58933333333333338</v>
      </c>
      <c r="K98" s="57"/>
      <c r="L98" s="57"/>
      <c r="M98" s="72">
        <v>15</v>
      </c>
      <c r="N98" s="72"/>
      <c r="Q98" s="10"/>
      <c r="R98" s="26" t="str">
        <f>Commodities!$AD$72&amp;"_"&amp;$R$3&amp;"_ST"</f>
        <v>RSD_APA1_DW_N_ST</v>
      </c>
      <c r="S98" s="10" t="s">
        <v>1314</v>
      </c>
      <c r="T98" s="21" t="str">
        <f>General!$D$18</f>
        <v>000s_Units</v>
      </c>
      <c r="U98" s="21" t="str">
        <f>General!$D$18</f>
        <v>000s_Units</v>
      </c>
      <c r="V98" s="57" t="s">
        <v>723</v>
      </c>
      <c r="W98" s="21"/>
      <c r="X98" s="21"/>
      <c r="Z98" s="10"/>
    </row>
    <row r="99" spans="2:26" ht="16.5" customHeight="1" x14ac:dyDescent="0.25">
      <c r="B99" s="11" t="str">
        <f t="shared" si="16"/>
        <v>RSD_DTA3_CW_N_AD02</v>
      </c>
      <c r="C99" s="11" t="str">
        <f t="shared" si="17"/>
        <v>Detached A3 Cloth Washing&amp;Drier Advanced A++ (N)</v>
      </c>
      <c r="D99" s="11" t="str">
        <f>Commodities!$D$341</f>
        <v>RSDELC</v>
      </c>
      <c r="E99" s="11" t="str">
        <f>E98</f>
        <v>RSD_DTA3_CW</v>
      </c>
      <c r="F99" s="89">
        <f t="shared" si="19"/>
        <v>2035</v>
      </c>
      <c r="G99" s="22">
        <v>2035</v>
      </c>
      <c r="H99" s="73"/>
      <c r="I99" s="22"/>
      <c r="J99" s="99">
        <f>(0.6864*(1/0.9))*0.85</f>
        <v>0.64826666666666666</v>
      </c>
      <c r="K99" s="22"/>
      <c r="L99" s="22"/>
      <c r="M99" s="73">
        <v>15</v>
      </c>
      <c r="N99" s="73"/>
      <c r="Q99" s="10"/>
      <c r="R99" s="26" t="str">
        <f>Commodities!$AD$72&amp;"_"&amp;$R$3&amp;"_IM"</f>
        <v>RSD_APA1_DW_N_IM</v>
      </c>
      <c r="S99" s="10" t="s">
        <v>1315</v>
      </c>
      <c r="T99" s="21" t="str">
        <f>General!$D$18</f>
        <v>000s_Units</v>
      </c>
      <c r="U99" s="21" t="str">
        <f>General!$D$18</f>
        <v>000s_Units</v>
      </c>
      <c r="V99" s="57" t="s">
        <v>723</v>
      </c>
      <c r="W99" s="21"/>
      <c r="X99" s="21"/>
      <c r="Z99" s="10"/>
    </row>
    <row r="100" spans="2:26" ht="16.5" customHeight="1" x14ac:dyDescent="0.25">
      <c r="B100" s="53" t="str">
        <f t="shared" si="16"/>
        <v>RSD_APA3_CW_N_ST</v>
      </c>
      <c r="C100" s="53" t="str">
        <f t="shared" si="17"/>
        <v>Apartment A3 Cloth Washing Standard A,B (N)</v>
      </c>
      <c r="D100" s="53" t="str">
        <f>Commodities!$D$341</f>
        <v>RSDELC</v>
      </c>
      <c r="E100" s="53" t="str">
        <f>Commodities!$AD$68</f>
        <v>RSD_APA3_CW</v>
      </c>
      <c r="F100" s="95">
        <f t="shared" si="19"/>
        <v>2018</v>
      </c>
      <c r="G100" s="55">
        <f>BASE_YEAR+1</f>
        <v>2018</v>
      </c>
      <c r="H100" s="96"/>
      <c r="I100" s="55"/>
      <c r="J100" s="98">
        <f>(0.4*(1/0.9))*0.85</f>
        <v>0.37777777777777777</v>
      </c>
      <c r="K100" s="55"/>
      <c r="L100" s="55"/>
      <c r="M100" s="96">
        <v>15</v>
      </c>
      <c r="N100" s="96"/>
      <c r="Q100" s="11"/>
      <c r="R100" s="11" t="str">
        <f>Commodities!$AD$72&amp;"_"&amp;$R$3&amp;"_AD"</f>
        <v>RSD_APA1_DW_N_AD</v>
      </c>
      <c r="S100" s="11" t="s">
        <v>1316</v>
      </c>
      <c r="T100" s="22" t="str">
        <f>General!$D$18</f>
        <v>000s_Units</v>
      </c>
      <c r="U100" s="22" t="str">
        <f>General!$D$18</f>
        <v>000s_Units</v>
      </c>
      <c r="V100" s="22" t="s">
        <v>723</v>
      </c>
      <c r="W100" s="22"/>
      <c r="X100" s="22"/>
      <c r="Z100" s="10"/>
    </row>
    <row r="101" spans="2:26" ht="16.5" customHeight="1" x14ac:dyDescent="0.25">
      <c r="B101" s="26" t="str">
        <f t="shared" si="16"/>
        <v>RSD_APA3_CW_N_IM</v>
      </c>
      <c r="C101" s="26" t="str">
        <f t="shared" si="17"/>
        <v>Apartment A3 Cloth Washing Improved A+ (N)</v>
      </c>
      <c r="D101" s="26" t="str">
        <f>Commodities!$D$341</f>
        <v>RSDELC</v>
      </c>
      <c r="E101" s="26" t="str">
        <f>E100</f>
        <v>RSD_APA3_CW</v>
      </c>
      <c r="F101" s="84">
        <f t="shared" si="19"/>
        <v>2020</v>
      </c>
      <c r="G101" s="57">
        <v>2020</v>
      </c>
      <c r="H101" s="72"/>
      <c r="I101" s="57"/>
      <c r="J101" s="98">
        <f>(0.48*(1/0.9))*0.85</f>
        <v>0.45333333333333331</v>
      </c>
      <c r="K101" s="57"/>
      <c r="L101" s="57"/>
      <c r="M101" s="72">
        <v>15</v>
      </c>
      <c r="N101" s="72"/>
      <c r="Q101" s="10"/>
      <c r="R101" s="26" t="str">
        <f>Commodities!$AD$73&amp;"_"&amp;$R$3&amp;"_ST"</f>
        <v>RSD_DTA2_DW_N_ST</v>
      </c>
      <c r="S101" s="10" t="s">
        <v>1247</v>
      </c>
      <c r="T101" s="21" t="str">
        <f>General!$D$18</f>
        <v>000s_Units</v>
      </c>
      <c r="U101" s="21" t="str">
        <f>General!$D$18</f>
        <v>000s_Units</v>
      </c>
      <c r="V101" s="57" t="s">
        <v>723</v>
      </c>
      <c r="W101" s="21"/>
      <c r="X101" s="21"/>
      <c r="Z101" s="10"/>
    </row>
    <row r="102" spans="2:26" ht="16.5" customHeight="1" x14ac:dyDescent="0.25">
      <c r="B102" s="26" t="str">
        <f t="shared" si="16"/>
        <v>RSD_APA3_CW_N_AD01</v>
      </c>
      <c r="C102" s="26" t="str">
        <f t="shared" si="17"/>
        <v>Apartment A3 Cloth Washing  Advanced A++ (N)</v>
      </c>
      <c r="D102" s="26" t="str">
        <f>Commodities!$D$341</f>
        <v>RSDELC</v>
      </c>
      <c r="E102" s="26" t="str">
        <f>E101</f>
        <v>RSD_APA3_CW</v>
      </c>
      <c r="F102" s="84">
        <f t="shared" si="19"/>
        <v>2030</v>
      </c>
      <c r="G102" s="57">
        <v>2030</v>
      </c>
      <c r="H102" s="72"/>
      <c r="I102" s="57"/>
      <c r="J102" s="98">
        <f>(0.624*(1/0.9))*0.85</f>
        <v>0.58933333333333338</v>
      </c>
      <c r="K102" s="57"/>
      <c r="L102" s="57"/>
      <c r="M102" s="72">
        <v>15</v>
      </c>
      <c r="N102" s="72"/>
      <c r="Q102" s="10"/>
      <c r="R102" s="26" t="str">
        <f>Commodities!$AD$73&amp;"_"&amp;$R$3&amp;"_IM"</f>
        <v>RSD_DTA2_DW_N_IM</v>
      </c>
      <c r="S102" s="10" t="s">
        <v>1248</v>
      </c>
      <c r="T102" s="21" t="str">
        <f>General!$D$18</f>
        <v>000s_Units</v>
      </c>
      <c r="U102" s="21" t="str">
        <f>General!$D$18</f>
        <v>000s_Units</v>
      </c>
      <c r="V102" s="57" t="s">
        <v>723</v>
      </c>
      <c r="W102" s="21"/>
      <c r="X102" s="21"/>
      <c r="Z102" s="10"/>
    </row>
    <row r="103" spans="2:26" ht="16.5" customHeight="1" x14ac:dyDescent="0.25">
      <c r="B103" s="11" t="str">
        <f t="shared" si="16"/>
        <v>RSD_APA3_CW_N_AD02</v>
      </c>
      <c r="C103" s="11" t="str">
        <f t="shared" si="17"/>
        <v>Apartment A3 Cloth Washing&amp;Drier Advanced A++ (N)</v>
      </c>
      <c r="D103" s="11" t="str">
        <f>Commodities!$D$341</f>
        <v>RSDELC</v>
      </c>
      <c r="E103" s="11" t="str">
        <f>E102</f>
        <v>RSD_APA3_CW</v>
      </c>
      <c r="F103" s="89">
        <f t="shared" si="19"/>
        <v>2035</v>
      </c>
      <c r="G103" s="22">
        <v>2035</v>
      </c>
      <c r="H103" s="73"/>
      <c r="I103" s="22"/>
      <c r="J103" s="99">
        <f>(0.6864*(1/0.9))*0.85</f>
        <v>0.64826666666666666</v>
      </c>
      <c r="K103" s="22"/>
      <c r="L103" s="22"/>
      <c r="M103" s="73">
        <v>15</v>
      </c>
      <c r="N103" s="73"/>
      <c r="Q103" s="11"/>
      <c r="R103" s="11" t="str">
        <f>Commodities!$AD$73&amp;"_"&amp;$R$3&amp;"_AD"</f>
        <v>RSD_DTA2_DW_N_AD</v>
      </c>
      <c r="S103" s="11" t="s">
        <v>1249</v>
      </c>
      <c r="T103" s="22" t="str">
        <f>General!$D$18</f>
        <v>000s_Units</v>
      </c>
      <c r="U103" s="22" t="str">
        <f>General!$D$18</f>
        <v>000s_Units</v>
      </c>
      <c r="V103" s="22" t="s">
        <v>723</v>
      </c>
      <c r="W103" s="22"/>
      <c r="X103" s="22"/>
      <c r="Z103" s="10"/>
    </row>
    <row r="104" spans="2:26" ht="16.5" customHeight="1" x14ac:dyDescent="0.25">
      <c r="B104" s="53" t="str">
        <f t="shared" ref="B104:B111" si="20">R87</f>
        <v>RSD_DTA4_CW_N_ST</v>
      </c>
      <c r="C104" s="53" t="str">
        <f t="shared" ref="C104:C111" si="21">S87</f>
        <v>Detached A4 Cloth Washing Standard A,B (N)</v>
      </c>
      <c r="D104" s="53" t="str">
        <f>Commodities!$D$341</f>
        <v>RSDELC</v>
      </c>
      <c r="E104" s="53" t="str">
        <f>Commodities!$AD$69</f>
        <v>RSD_DTA4_CW</v>
      </c>
      <c r="F104" s="95">
        <f t="shared" ref="F104:F111" si="22">G104</f>
        <v>2018</v>
      </c>
      <c r="G104" s="55">
        <f>BASE_YEAR+1</f>
        <v>2018</v>
      </c>
      <c r="H104" s="96"/>
      <c r="I104" s="55"/>
      <c r="J104" s="98">
        <f>(0.4*(1/0.9))*0.85</f>
        <v>0.37777777777777777</v>
      </c>
      <c r="K104" s="55"/>
      <c r="L104" s="55"/>
      <c r="M104" s="96">
        <v>15</v>
      </c>
      <c r="N104" s="96"/>
      <c r="Q104" s="10"/>
      <c r="R104" s="26" t="str">
        <f>Commodities!$AD$74&amp;"_"&amp;$R$3&amp;"_ST"</f>
        <v>RSD_APA2_DW_N_ST</v>
      </c>
      <c r="S104" s="10" t="s">
        <v>1317</v>
      </c>
      <c r="T104" s="21" t="str">
        <f>General!$D$18</f>
        <v>000s_Units</v>
      </c>
      <c r="U104" s="21" t="str">
        <f>General!$D$18</f>
        <v>000s_Units</v>
      </c>
      <c r="V104" s="57" t="s">
        <v>723</v>
      </c>
      <c r="W104" s="21"/>
      <c r="X104" s="21"/>
      <c r="Z104" s="10"/>
    </row>
    <row r="105" spans="2:26" ht="16.5" customHeight="1" x14ac:dyDescent="0.25">
      <c r="B105" s="26" t="str">
        <f t="shared" si="20"/>
        <v>RSD_DTA4_CW_N_IM</v>
      </c>
      <c r="C105" s="26" t="str">
        <f t="shared" si="21"/>
        <v>Detached A4 Cloth Washing Improved A+ (N)</v>
      </c>
      <c r="D105" s="26" t="str">
        <f>Commodities!$D$341</f>
        <v>RSDELC</v>
      </c>
      <c r="E105" s="26" t="str">
        <f>E104</f>
        <v>RSD_DTA4_CW</v>
      </c>
      <c r="F105" s="84">
        <f t="shared" si="22"/>
        <v>2020</v>
      </c>
      <c r="G105" s="57">
        <v>2020</v>
      </c>
      <c r="H105" s="72"/>
      <c r="I105" s="57"/>
      <c r="J105" s="98">
        <f>(0.48*(1/0.9))*0.85</f>
        <v>0.45333333333333331</v>
      </c>
      <c r="K105" s="57"/>
      <c r="L105" s="57"/>
      <c r="M105" s="72">
        <v>15</v>
      </c>
      <c r="N105" s="72"/>
      <c r="Q105" s="10"/>
      <c r="R105" s="26" t="str">
        <f>Commodities!$AD$74&amp;"_"&amp;$R$3&amp;"_IM"</f>
        <v>RSD_APA2_DW_N_IM</v>
      </c>
      <c r="S105" s="10" t="s">
        <v>1318</v>
      </c>
      <c r="T105" s="21" t="str">
        <f>General!$D$18</f>
        <v>000s_Units</v>
      </c>
      <c r="U105" s="21" t="str">
        <f>General!$D$18</f>
        <v>000s_Units</v>
      </c>
      <c r="V105" s="57" t="s">
        <v>723</v>
      </c>
      <c r="W105" s="21"/>
      <c r="X105" s="21"/>
      <c r="Z105" s="10"/>
    </row>
    <row r="106" spans="2:26" ht="16.5" customHeight="1" x14ac:dyDescent="0.25">
      <c r="B106" s="26" t="str">
        <f t="shared" si="20"/>
        <v>RSD_DTA4_CW_N_AD01</v>
      </c>
      <c r="C106" s="26" t="str">
        <f t="shared" si="21"/>
        <v>Detached A4 Cloth Washing  Advanced A++ (N)</v>
      </c>
      <c r="D106" s="26" t="str">
        <f>Commodities!$D$341</f>
        <v>RSDELC</v>
      </c>
      <c r="E106" s="26" t="str">
        <f>E105</f>
        <v>RSD_DTA4_CW</v>
      </c>
      <c r="F106" s="84">
        <f t="shared" si="22"/>
        <v>2030</v>
      </c>
      <c r="G106" s="57">
        <v>2030</v>
      </c>
      <c r="H106" s="72"/>
      <c r="I106" s="57"/>
      <c r="J106" s="98">
        <f>(0.624*(1/0.9))*0.85</f>
        <v>0.58933333333333338</v>
      </c>
      <c r="K106" s="57"/>
      <c r="L106" s="57"/>
      <c r="M106" s="72">
        <v>15</v>
      </c>
      <c r="N106" s="72"/>
      <c r="O106" s="26"/>
      <c r="Q106" s="11"/>
      <c r="R106" s="11" t="str">
        <f>Commodities!$AD$74&amp;"_"&amp;$R$3&amp;"_AD"</f>
        <v>RSD_APA2_DW_N_AD</v>
      </c>
      <c r="S106" s="11" t="s">
        <v>1319</v>
      </c>
      <c r="T106" s="22" t="str">
        <f>General!$D$18</f>
        <v>000s_Units</v>
      </c>
      <c r="U106" s="22" t="str">
        <f>General!$D$18</f>
        <v>000s_Units</v>
      </c>
      <c r="V106" s="22" t="s">
        <v>723</v>
      </c>
      <c r="W106" s="22"/>
      <c r="X106" s="22"/>
      <c r="Z106" s="10"/>
    </row>
    <row r="107" spans="2:26" ht="16.5" customHeight="1" x14ac:dyDescent="0.25">
      <c r="B107" s="11" t="str">
        <f t="shared" si="20"/>
        <v>RSD_DTA4_CW_N_AD02</v>
      </c>
      <c r="C107" s="11" t="str">
        <f t="shared" si="21"/>
        <v>Detached A4 Cloth Washing&amp;Drier Advanced A++ (N)</v>
      </c>
      <c r="D107" s="11" t="str">
        <f>Commodities!$D$341</f>
        <v>RSDELC</v>
      </c>
      <c r="E107" s="11" t="str">
        <f>E106</f>
        <v>RSD_DTA4_CW</v>
      </c>
      <c r="F107" s="89">
        <f t="shared" si="22"/>
        <v>2035</v>
      </c>
      <c r="G107" s="22">
        <v>2035</v>
      </c>
      <c r="H107" s="73"/>
      <c r="I107" s="22"/>
      <c r="J107" s="99">
        <f>(0.6864*(1/0.9))*0.85</f>
        <v>0.64826666666666666</v>
      </c>
      <c r="K107" s="22"/>
      <c r="L107" s="22"/>
      <c r="M107" s="73">
        <v>15</v>
      </c>
      <c r="N107" s="73"/>
      <c r="O107" s="26"/>
      <c r="Q107" s="10"/>
      <c r="R107" s="26" t="str">
        <f>Commodities!$AD$75&amp;"_"&amp;$R$3&amp;"_ST"</f>
        <v>RSD_DTA3_DW_N_ST</v>
      </c>
      <c r="S107" s="10" t="s">
        <v>1230</v>
      </c>
      <c r="T107" s="21" t="str">
        <f>General!$D$18</f>
        <v>000s_Units</v>
      </c>
      <c r="U107" s="21" t="str">
        <f>General!$D$18</f>
        <v>000s_Units</v>
      </c>
      <c r="V107" s="57" t="s">
        <v>723</v>
      </c>
      <c r="W107" s="21"/>
      <c r="X107" s="21"/>
      <c r="Z107" s="10"/>
    </row>
    <row r="108" spans="2:26" ht="16.5" customHeight="1" x14ac:dyDescent="0.25">
      <c r="B108" s="53" t="str">
        <f t="shared" si="20"/>
        <v>RSD_APA4_CW_N_ST</v>
      </c>
      <c r="C108" s="53" t="str">
        <f t="shared" si="21"/>
        <v>Apartment A4 Cloth Washing Standard A,B (N)</v>
      </c>
      <c r="D108" s="53" t="str">
        <f>Commodities!$D$341</f>
        <v>RSDELC</v>
      </c>
      <c r="E108" s="53" t="str">
        <f>Commodities!$AD$70</f>
        <v>RSD_APA4_CW</v>
      </c>
      <c r="F108" s="95">
        <f t="shared" si="22"/>
        <v>2018</v>
      </c>
      <c r="G108" s="55">
        <f>BASE_YEAR+1</f>
        <v>2018</v>
      </c>
      <c r="H108" s="96"/>
      <c r="I108" s="55"/>
      <c r="J108" s="98">
        <f>(0.4*(1/0.9))*0.85</f>
        <v>0.37777777777777777</v>
      </c>
      <c r="K108" s="55"/>
      <c r="L108" s="55"/>
      <c r="M108" s="96">
        <v>15</v>
      </c>
      <c r="N108" s="96"/>
      <c r="O108" s="26"/>
      <c r="Q108" s="10"/>
      <c r="R108" s="26" t="str">
        <f>Commodities!$AD$75&amp;"_"&amp;$R$3&amp;"_IM"</f>
        <v>RSD_DTA3_DW_N_IM</v>
      </c>
      <c r="S108" s="10" t="s">
        <v>1231</v>
      </c>
      <c r="T108" s="21" t="str">
        <f>General!$D$18</f>
        <v>000s_Units</v>
      </c>
      <c r="U108" s="21" t="str">
        <f>General!$D$18</f>
        <v>000s_Units</v>
      </c>
      <c r="V108" s="57" t="s">
        <v>723</v>
      </c>
      <c r="W108" s="21"/>
      <c r="X108" s="21"/>
      <c r="Z108" s="10"/>
    </row>
    <row r="109" spans="2:26" ht="16.5" customHeight="1" x14ac:dyDescent="0.25">
      <c r="B109" s="26" t="str">
        <f t="shared" si="20"/>
        <v>RSD_APA4_CW_N_IM</v>
      </c>
      <c r="C109" s="26" t="str">
        <f t="shared" si="21"/>
        <v>Apartment A4 Cloth Washing Improved A+ (N)</v>
      </c>
      <c r="D109" s="26" t="str">
        <f>Commodities!$D$341</f>
        <v>RSDELC</v>
      </c>
      <c r="E109" s="26" t="str">
        <f>E108</f>
        <v>RSD_APA4_CW</v>
      </c>
      <c r="F109" s="84">
        <f t="shared" si="22"/>
        <v>2020</v>
      </c>
      <c r="G109" s="57">
        <v>2020</v>
      </c>
      <c r="H109" s="72"/>
      <c r="I109" s="57"/>
      <c r="J109" s="98">
        <f>(0.48*(1/0.9))*0.85</f>
        <v>0.45333333333333331</v>
      </c>
      <c r="K109" s="57"/>
      <c r="L109" s="57"/>
      <c r="M109" s="72">
        <v>15</v>
      </c>
      <c r="N109" s="72"/>
      <c r="O109" s="26"/>
      <c r="Q109" s="11"/>
      <c r="R109" s="11" t="str">
        <f>Commodities!$AD$75&amp;"_"&amp;$R$3&amp;"_AD"</f>
        <v>RSD_DTA3_DW_N_AD</v>
      </c>
      <c r="S109" s="11" t="s">
        <v>1232</v>
      </c>
      <c r="T109" s="22" t="str">
        <f>General!$D$18</f>
        <v>000s_Units</v>
      </c>
      <c r="U109" s="22" t="str">
        <f>General!$D$18</f>
        <v>000s_Units</v>
      </c>
      <c r="V109" s="22" t="s">
        <v>723</v>
      </c>
      <c r="W109" s="22"/>
      <c r="X109" s="22"/>
      <c r="Z109" s="10"/>
    </row>
    <row r="110" spans="2:26" ht="16.5" customHeight="1" x14ac:dyDescent="0.25">
      <c r="B110" s="26" t="str">
        <f t="shared" si="20"/>
        <v>RSD_APA4_CW_N_AD01</v>
      </c>
      <c r="C110" s="26" t="str">
        <f t="shared" si="21"/>
        <v>Apartment A4 Cloth Washing  Advanced A++ (N)</v>
      </c>
      <c r="D110" s="26" t="str">
        <f>Commodities!$D$341</f>
        <v>RSDELC</v>
      </c>
      <c r="E110" s="26" t="str">
        <f>E109</f>
        <v>RSD_APA4_CW</v>
      </c>
      <c r="F110" s="84">
        <f t="shared" si="22"/>
        <v>2030</v>
      </c>
      <c r="G110" s="57">
        <v>2030</v>
      </c>
      <c r="H110" s="72"/>
      <c r="I110" s="57"/>
      <c r="J110" s="98">
        <f>(0.624*(1/0.9))*0.85</f>
        <v>0.58933333333333338</v>
      </c>
      <c r="K110" s="57"/>
      <c r="L110" s="57"/>
      <c r="M110" s="72">
        <v>15</v>
      </c>
      <c r="N110" s="72"/>
      <c r="O110" s="26"/>
      <c r="Q110" s="10"/>
      <c r="R110" s="26" t="str">
        <f>Commodities!$AD$76&amp;"_"&amp;$R$3&amp;"_ST"</f>
        <v>RSD_APA3_DW_N_ST</v>
      </c>
      <c r="S110" s="10" t="s">
        <v>1320</v>
      </c>
      <c r="T110" s="21" t="str">
        <f>General!$D$18</f>
        <v>000s_Units</v>
      </c>
      <c r="U110" s="21" t="str">
        <f>General!$D$18</f>
        <v>000s_Units</v>
      </c>
      <c r="V110" s="57" t="s">
        <v>723</v>
      </c>
      <c r="W110" s="21"/>
      <c r="X110" s="21"/>
      <c r="Z110" s="10"/>
    </row>
    <row r="111" spans="2:26" ht="16.5" customHeight="1" x14ac:dyDescent="0.25">
      <c r="B111" s="11" t="str">
        <f t="shared" si="20"/>
        <v>RSD_APA4_CW_N_AD02</v>
      </c>
      <c r="C111" s="11" t="str">
        <f t="shared" si="21"/>
        <v>Apartment A4 Cloth Washing&amp;Drier Advanced A++ (N)</v>
      </c>
      <c r="D111" s="11" t="str">
        <f>Commodities!$D$341</f>
        <v>RSDELC</v>
      </c>
      <c r="E111" s="11" t="str">
        <f>E110</f>
        <v>RSD_APA4_CW</v>
      </c>
      <c r="F111" s="89">
        <f t="shared" si="22"/>
        <v>2035</v>
      </c>
      <c r="G111" s="22">
        <v>2035</v>
      </c>
      <c r="H111" s="73"/>
      <c r="I111" s="22"/>
      <c r="J111" s="99">
        <f>(0.6864*(1/0.9))*0.85</f>
        <v>0.64826666666666666</v>
      </c>
      <c r="K111" s="22"/>
      <c r="L111" s="22"/>
      <c r="M111" s="73">
        <v>15</v>
      </c>
      <c r="N111" s="73"/>
      <c r="O111" s="26"/>
      <c r="Q111" s="10"/>
      <c r="R111" s="26" t="str">
        <f>Commodities!$AD$76&amp;"_"&amp;$R$3&amp;"_IM"</f>
        <v>RSD_APA3_DW_N_IM</v>
      </c>
      <c r="S111" s="10" t="s">
        <v>1321</v>
      </c>
      <c r="T111" s="21" t="str">
        <f>General!$D$18</f>
        <v>000s_Units</v>
      </c>
      <c r="U111" s="21" t="str">
        <f>General!$D$18</f>
        <v>000s_Units</v>
      </c>
      <c r="V111" s="57" t="s">
        <v>723</v>
      </c>
      <c r="W111" s="21"/>
      <c r="X111" s="21"/>
      <c r="Z111" s="10"/>
    </row>
    <row r="112" spans="2:26" ht="16.5" customHeight="1" x14ac:dyDescent="0.25">
      <c r="O112" s="26"/>
      <c r="Q112" s="11"/>
      <c r="R112" s="11" t="str">
        <f>Commodities!$AD$76&amp;"_"&amp;$R$3&amp;"_AD"</f>
        <v>RSD_APA3_DW_N_AD</v>
      </c>
      <c r="S112" s="11" t="s">
        <v>1322</v>
      </c>
      <c r="T112" s="22" t="str">
        <f>General!$D$18</f>
        <v>000s_Units</v>
      </c>
      <c r="U112" s="22" t="str">
        <f>General!$D$18</f>
        <v>000s_Units</v>
      </c>
      <c r="V112" s="22" t="s">
        <v>723</v>
      </c>
      <c r="W112" s="22"/>
      <c r="X112" s="22"/>
      <c r="Z112" s="10"/>
    </row>
    <row r="113" spans="2:24" ht="16.5" customHeight="1" x14ac:dyDescent="0.25">
      <c r="O113" s="26"/>
      <c r="Q113" s="10"/>
      <c r="R113" s="26" t="str">
        <f>Commodities!$AD$77&amp;"_"&amp;$R$3&amp;"_ST"</f>
        <v>RSD_DTA4_DW_N_ST</v>
      </c>
      <c r="S113" s="10" t="s">
        <v>1213</v>
      </c>
      <c r="T113" s="21" t="str">
        <f>General!$D$18</f>
        <v>000s_Units</v>
      </c>
      <c r="U113" s="21" t="str">
        <f>General!$D$18</f>
        <v>000s_Units</v>
      </c>
      <c r="V113" s="57" t="s">
        <v>723</v>
      </c>
      <c r="W113" s="21"/>
      <c r="X113" s="21"/>
    </row>
    <row r="114" spans="2:24" ht="16.5" customHeight="1" x14ac:dyDescent="0.3">
      <c r="B114" s="27" t="s">
        <v>827</v>
      </c>
      <c r="C114" s="27"/>
      <c r="D114" s="27"/>
      <c r="E114" s="27"/>
      <c r="F114" s="27"/>
      <c r="G114" s="27"/>
      <c r="H114" s="27"/>
      <c r="I114" s="21"/>
      <c r="J114" s="10"/>
      <c r="K114" s="10"/>
      <c r="L114" s="10"/>
      <c r="M114" s="10"/>
      <c r="N114" s="10"/>
      <c r="O114" s="26"/>
      <c r="Q114" s="10"/>
      <c r="R114" s="26" t="str">
        <f>Commodities!$AD$77&amp;"_"&amp;$R$3&amp;"_IM"</f>
        <v>RSD_DTA4_DW_N_IM</v>
      </c>
      <c r="S114" s="10" t="s">
        <v>1214</v>
      </c>
      <c r="T114" s="21" t="str">
        <f>General!$D$18</f>
        <v>000s_Units</v>
      </c>
      <c r="U114" s="21" t="str">
        <f>General!$D$18</f>
        <v>000s_Units</v>
      </c>
      <c r="V114" s="57" t="s">
        <v>723</v>
      </c>
      <c r="W114" s="21"/>
      <c r="X114" s="21"/>
    </row>
    <row r="115" spans="2:24" ht="16.5" customHeight="1" thickBot="1" x14ac:dyDescent="0.3">
      <c r="B115" s="28"/>
      <c r="C115" s="10"/>
      <c r="D115" s="29"/>
      <c r="E115" s="29"/>
      <c r="F115" s="29"/>
      <c r="G115" s="29"/>
      <c r="H115" s="10"/>
      <c r="I115" s="57"/>
      <c r="J115" s="74"/>
      <c r="K115" s="74"/>
      <c r="L115" s="74"/>
      <c r="M115" s="75"/>
      <c r="N115" s="10"/>
      <c r="O115" s="26"/>
      <c r="Q115" s="11"/>
      <c r="R115" s="11" t="str">
        <f>Commodities!$AD$77&amp;"_"&amp;$R$3&amp;"_AD"</f>
        <v>RSD_DTA4_DW_N_AD</v>
      </c>
      <c r="S115" s="92" t="s">
        <v>1215</v>
      </c>
      <c r="T115" s="22" t="str">
        <f>General!$D$18</f>
        <v>000s_Units</v>
      </c>
      <c r="U115" s="22" t="str">
        <f>General!$D$18</f>
        <v>000s_Units</v>
      </c>
      <c r="V115" s="22" t="s">
        <v>723</v>
      </c>
      <c r="W115" s="22"/>
      <c r="X115" s="22"/>
    </row>
    <row r="116" spans="2:24" ht="16.5" customHeight="1" thickTop="1" x14ac:dyDescent="0.25">
      <c r="B116" s="10"/>
      <c r="C116" s="10"/>
      <c r="D116" s="10"/>
      <c r="E116" s="30"/>
      <c r="F116" s="31" t="s">
        <v>0</v>
      </c>
      <c r="G116" s="31"/>
      <c r="H116" s="74"/>
      <c r="I116" s="21"/>
      <c r="J116" s="10"/>
      <c r="K116" s="10"/>
      <c r="L116" s="10"/>
      <c r="M116" s="10"/>
      <c r="N116" s="10"/>
      <c r="O116" s="26"/>
      <c r="Q116" s="10"/>
      <c r="R116" s="26" t="str">
        <f>Commodities!$AD$78&amp;"_"&amp;$R$3&amp;"_ST"</f>
        <v>RSD_APA4_DW_N_ST</v>
      </c>
      <c r="S116" s="10" t="s">
        <v>1323</v>
      </c>
      <c r="T116" s="21" t="str">
        <f>General!$D$18</f>
        <v>000s_Units</v>
      </c>
      <c r="U116" s="21" t="str">
        <f>General!$D$18</f>
        <v>000s_Units</v>
      </c>
      <c r="V116" s="57" t="s">
        <v>723</v>
      </c>
      <c r="W116" s="21"/>
      <c r="X116" s="21"/>
    </row>
    <row r="117" spans="2:24" ht="16.5" customHeight="1" x14ac:dyDescent="0.25">
      <c r="B117" s="33" t="s">
        <v>1</v>
      </c>
      <c r="C117" s="33" t="s">
        <v>794</v>
      </c>
      <c r="D117" s="33" t="s">
        <v>3</v>
      </c>
      <c r="E117" s="33" t="s">
        <v>4</v>
      </c>
      <c r="F117" s="34" t="s">
        <v>803</v>
      </c>
      <c r="G117" s="35" t="s">
        <v>14</v>
      </c>
      <c r="H117" s="36" t="s">
        <v>820</v>
      </c>
      <c r="I117" s="36" t="s">
        <v>789</v>
      </c>
      <c r="J117" s="36" t="s">
        <v>36</v>
      </c>
      <c r="K117" s="36" t="s">
        <v>5</v>
      </c>
      <c r="L117" s="36" t="s">
        <v>34</v>
      </c>
      <c r="M117" s="36" t="s">
        <v>780</v>
      </c>
      <c r="N117" s="36" t="s">
        <v>773</v>
      </c>
      <c r="O117" s="26"/>
      <c r="Q117" s="10"/>
      <c r="R117" s="26" t="str">
        <f>Commodities!$AD$78&amp;"_"&amp;$R$3&amp;"_IM"</f>
        <v>RSD_APA4_DW_N_IM</v>
      </c>
      <c r="S117" s="10" t="s">
        <v>1324</v>
      </c>
      <c r="T117" s="21" t="str">
        <f>General!$D$18</f>
        <v>000s_Units</v>
      </c>
      <c r="U117" s="21" t="str">
        <f>General!$D$18</f>
        <v>000s_Units</v>
      </c>
      <c r="V117" s="57" t="s">
        <v>723</v>
      </c>
      <c r="W117" s="21"/>
      <c r="X117" s="21"/>
    </row>
    <row r="118" spans="2:24" ht="16.5" customHeight="1" thickBot="1" x14ac:dyDescent="0.3">
      <c r="B118" s="41" t="s">
        <v>795</v>
      </c>
      <c r="C118" s="41" t="s">
        <v>28</v>
      </c>
      <c r="D118" s="41" t="s">
        <v>32</v>
      </c>
      <c r="E118" s="41" t="s">
        <v>33</v>
      </c>
      <c r="F118" s="42"/>
      <c r="G118" s="43" t="s">
        <v>35</v>
      </c>
      <c r="H118" s="41" t="s">
        <v>821</v>
      </c>
      <c r="I118" s="41" t="s">
        <v>805</v>
      </c>
      <c r="J118" s="43" t="s">
        <v>806</v>
      </c>
      <c r="K118" s="41" t="s">
        <v>37</v>
      </c>
      <c r="L118" s="41" t="s">
        <v>38</v>
      </c>
      <c r="M118" s="41" t="s">
        <v>781</v>
      </c>
      <c r="N118" s="41" t="s">
        <v>807</v>
      </c>
      <c r="O118" s="26"/>
      <c r="Q118" s="92"/>
      <c r="R118" s="92" t="str">
        <f>Commodities!$AD$78&amp;"_"&amp;$R$3&amp;"_AD"</f>
        <v>RSD_APA4_DW_N_AD</v>
      </c>
      <c r="S118" s="92" t="s">
        <v>1325</v>
      </c>
      <c r="T118" s="93" t="str">
        <f>General!$D$18</f>
        <v>000s_Units</v>
      </c>
      <c r="U118" s="92" t="str">
        <f>General!$D$18</f>
        <v>000s_Units</v>
      </c>
      <c r="V118" s="93" t="s">
        <v>723</v>
      </c>
      <c r="W118" s="93"/>
      <c r="X118" s="92"/>
    </row>
    <row r="119" spans="2:24" ht="16.5" customHeight="1" x14ac:dyDescent="0.25">
      <c r="B119" s="80"/>
      <c r="C119" s="81"/>
      <c r="D119" s="81"/>
      <c r="E119" s="81" t="s">
        <v>799</v>
      </c>
      <c r="F119" s="82"/>
      <c r="G119" s="81"/>
      <c r="H119" s="81" t="str">
        <f>General!$D$19</f>
        <v>TJ/unit</v>
      </c>
      <c r="I119" s="81" t="s">
        <v>808</v>
      </c>
      <c r="J119" s="81" t="str">
        <f>General!$D$26</f>
        <v>000$/unit</v>
      </c>
      <c r="K119" s="81" t="str">
        <f>General!$D$26</f>
        <v>000$/unit</v>
      </c>
      <c r="L119" s="81" t="str">
        <f>General!$D$15</f>
        <v>$/GJ</v>
      </c>
      <c r="M119" s="81" t="str">
        <f>General!$D$21</f>
        <v>Years</v>
      </c>
      <c r="N119" s="81"/>
      <c r="O119" s="26"/>
      <c r="Q119" s="10"/>
      <c r="R119" s="26" t="str">
        <f>Commodities!$AD$79&amp;"_"&amp;$R$3&amp;"_ST"</f>
        <v>RSD_DTA1_AP_N_ST</v>
      </c>
      <c r="S119" s="10" t="s">
        <v>1267</v>
      </c>
      <c r="T119" s="21" t="str">
        <f>General!$D$18</f>
        <v>000s_Units</v>
      </c>
      <c r="U119" s="21" t="str">
        <f>General!$D$18</f>
        <v>000s_Units</v>
      </c>
      <c r="V119" s="57" t="s">
        <v>723</v>
      </c>
      <c r="W119" s="21"/>
      <c r="X119" s="21"/>
    </row>
    <row r="120" spans="2:24" ht="16.5" customHeight="1" x14ac:dyDescent="0.25">
      <c r="B120" s="26" t="str">
        <f t="shared" ref="B120:B143" si="23">R95</f>
        <v>RSD_DTA1_DW_N_ST</v>
      </c>
      <c r="C120" s="26" t="str">
        <f t="shared" ref="C120:C143" si="24">S95</f>
        <v>Detached A1 Dish Washing Standard A,B (N)</v>
      </c>
      <c r="D120" s="26" t="str">
        <f>Commodities!$D$341</f>
        <v>RSDELC</v>
      </c>
      <c r="E120" s="26" t="str">
        <f>Commodities!$AD$71</f>
        <v>RSD_DTA1_DW</v>
      </c>
      <c r="F120" s="84">
        <f>G120</f>
        <v>2018</v>
      </c>
      <c r="G120" s="57">
        <f>BASE_YEAR+1</f>
        <v>2018</v>
      </c>
      <c r="H120" s="72"/>
      <c r="I120" s="57"/>
      <c r="J120" s="72">
        <f>(0.45*(1/0.9))*0.9</f>
        <v>0.45</v>
      </c>
      <c r="K120" s="72"/>
      <c r="L120" s="57"/>
      <c r="M120" s="72">
        <v>15</v>
      </c>
      <c r="N120" s="72"/>
      <c r="O120" s="26"/>
      <c r="Q120" s="10"/>
      <c r="R120" s="26" t="str">
        <f>Commodities!$AD$79&amp;"_"&amp;$R$3&amp;"_IM"</f>
        <v>RSD_DTA1_AP_N_IM</v>
      </c>
      <c r="S120" s="10" t="s">
        <v>1268</v>
      </c>
      <c r="T120" s="21" t="str">
        <f>General!$D$18</f>
        <v>000s_Units</v>
      </c>
      <c r="U120" s="21" t="str">
        <f>General!$D$18</f>
        <v>000s_Units</v>
      </c>
      <c r="V120" s="57" t="s">
        <v>723</v>
      </c>
      <c r="W120" s="21"/>
      <c r="X120" s="21"/>
    </row>
    <row r="121" spans="2:24" ht="16.5" customHeight="1" x14ac:dyDescent="0.25">
      <c r="B121" s="26" t="str">
        <f t="shared" si="23"/>
        <v>RSD_DTA1_DW_N_IM</v>
      </c>
      <c r="C121" s="26" t="str">
        <f t="shared" si="24"/>
        <v>Detached A1 Dish Washing Improve A+ (N)</v>
      </c>
      <c r="D121" s="26" t="str">
        <f>Commodities!$D$341</f>
        <v>RSDELC</v>
      </c>
      <c r="E121" s="26" t="str">
        <f>E120</f>
        <v>RSD_DTA1_DW</v>
      </c>
      <c r="F121" s="84">
        <f t="shared" ref="F121:F130" si="25">G121</f>
        <v>2025</v>
      </c>
      <c r="G121" s="57">
        <v>2025</v>
      </c>
      <c r="H121" s="72"/>
      <c r="I121" s="57"/>
      <c r="J121" s="72">
        <f>(0.54*(1/0.9))*0.9</f>
        <v>0.54000000000000015</v>
      </c>
      <c r="K121" s="72"/>
      <c r="L121" s="57"/>
      <c r="M121" s="72">
        <v>15</v>
      </c>
      <c r="N121" s="72"/>
      <c r="Q121" s="11"/>
      <c r="R121" s="11" t="str">
        <f>Commodities!$AD$79&amp;"_"&amp;$R$3&amp;"_AD"</f>
        <v>RSD_DTA1_AP_N_AD</v>
      </c>
      <c r="S121" s="11" t="s">
        <v>1269</v>
      </c>
      <c r="T121" s="22" t="str">
        <f>General!$D$18</f>
        <v>000s_Units</v>
      </c>
      <c r="U121" s="22" t="str">
        <f>General!$D$18</f>
        <v>000s_Units</v>
      </c>
      <c r="V121" s="22" t="s">
        <v>723</v>
      </c>
      <c r="W121" s="22"/>
      <c r="X121" s="22"/>
    </row>
    <row r="122" spans="2:24" ht="16.5" customHeight="1" x14ac:dyDescent="0.25">
      <c r="B122" s="11" t="str">
        <f t="shared" si="23"/>
        <v>RSD_DTA1_DW_N_AD</v>
      </c>
      <c r="C122" s="11" t="str">
        <f t="shared" si="24"/>
        <v>Detached A1 Dish Washing Advanced A++ (N)</v>
      </c>
      <c r="D122" s="11" t="str">
        <f>Commodities!$D$341</f>
        <v>RSDELC</v>
      </c>
      <c r="E122" s="11" t="str">
        <f>E121</f>
        <v>RSD_DTA1_DW</v>
      </c>
      <c r="F122" s="89">
        <f t="shared" si="25"/>
        <v>2030</v>
      </c>
      <c r="G122" s="22">
        <v>2030</v>
      </c>
      <c r="H122" s="73"/>
      <c r="I122" s="22"/>
      <c r="J122" s="73">
        <f>(0.702*(1/0.9))*0.9</f>
        <v>0.70200000000000007</v>
      </c>
      <c r="K122" s="73"/>
      <c r="L122" s="22"/>
      <c r="M122" s="73">
        <v>15</v>
      </c>
      <c r="N122" s="73"/>
      <c r="Q122" s="10"/>
      <c r="R122" s="26" t="str">
        <f>Commodities!$AD$80&amp;"_"&amp;$R$3&amp;"_ST"</f>
        <v>RSD_APA1_AP_N_ST</v>
      </c>
      <c r="S122" s="10" t="s">
        <v>1326</v>
      </c>
      <c r="T122" s="21" t="str">
        <f>General!$D$18</f>
        <v>000s_Units</v>
      </c>
      <c r="U122" s="21" t="str">
        <f>General!$D$18</f>
        <v>000s_Units</v>
      </c>
      <c r="V122" s="57" t="s">
        <v>723</v>
      </c>
      <c r="W122" s="21"/>
      <c r="X122" s="21"/>
    </row>
    <row r="123" spans="2:24" ht="16.5" customHeight="1" x14ac:dyDescent="0.25">
      <c r="B123" s="26" t="str">
        <f t="shared" si="23"/>
        <v>RSD_APA1_DW_N_ST</v>
      </c>
      <c r="C123" s="26" t="str">
        <f t="shared" si="24"/>
        <v>Apartment A1 Dish Washing Standard A,B (N)</v>
      </c>
      <c r="D123" s="26" t="str">
        <f>Commodities!$D$341</f>
        <v>RSDELC</v>
      </c>
      <c r="E123" s="26" t="str">
        <f>Commodities!$AD$72</f>
        <v>RSD_APA1_DW</v>
      </c>
      <c r="F123" s="84">
        <f>G123</f>
        <v>2018</v>
      </c>
      <c r="G123" s="57">
        <f>BASE_YEAR+1</f>
        <v>2018</v>
      </c>
      <c r="H123" s="72"/>
      <c r="I123" s="57"/>
      <c r="J123" s="72">
        <f>(0.45*(1/0.9))*0.9</f>
        <v>0.45</v>
      </c>
      <c r="K123" s="72"/>
      <c r="L123" s="57"/>
      <c r="M123" s="72">
        <v>15</v>
      </c>
      <c r="N123" s="72"/>
      <c r="Q123" s="10"/>
      <c r="R123" s="26" t="str">
        <f>Commodities!$AD$80&amp;"_"&amp;$R$3&amp;"_IM"</f>
        <v>RSD_APA1_AP_N_IM</v>
      </c>
      <c r="S123" s="10" t="s">
        <v>1327</v>
      </c>
      <c r="T123" s="21" t="str">
        <f>General!$D$18</f>
        <v>000s_Units</v>
      </c>
      <c r="U123" s="21" t="str">
        <f>General!$D$18</f>
        <v>000s_Units</v>
      </c>
      <c r="V123" s="57" t="s">
        <v>723</v>
      </c>
      <c r="W123" s="21"/>
      <c r="X123" s="21"/>
    </row>
    <row r="124" spans="2:24" ht="16.5" customHeight="1" x14ac:dyDescent="0.25">
      <c r="B124" s="26" t="str">
        <f t="shared" si="23"/>
        <v>RSD_APA1_DW_N_IM</v>
      </c>
      <c r="C124" s="26" t="str">
        <f t="shared" si="24"/>
        <v>Apartment A1 Dish Washing Improved A+ (N)</v>
      </c>
      <c r="D124" s="26" t="str">
        <f>Commodities!$D$341</f>
        <v>RSDELC</v>
      </c>
      <c r="E124" s="26" t="str">
        <f>E123</f>
        <v>RSD_APA1_DW</v>
      </c>
      <c r="F124" s="84">
        <f>G124</f>
        <v>2025</v>
      </c>
      <c r="G124" s="57">
        <v>2025</v>
      </c>
      <c r="H124" s="72"/>
      <c r="I124" s="57"/>
      <c r="J124" s="72">
        <f>(0.54*(1/0.9))*0.9</f>
        <v>0.54000000000000015</v>
      </c>
      <c r="K124" s="72"/>
      <c r="L124" s="57"/>
      <c r="M124" s="72">
        <v>15</v>
      </c>
      <c r="N124" s="72"/>
      <c r="Q124" s="11"/>
      <c r="R124" s="11" t="str">
        <f>Commodities!$AD$80&amp;"_"&amp;$R$3&amp;"_AD"</f>
        <v>RSD_APA1_AP_N_AD</v>
      </c>
      <c r="S124" s="11" t="s">
        <v>1328</v>
      </c>
      <c r="T124" s="22" t="str">
        <f>General!$D$18</f>
        <v>000s_Units</v>
      </c>
      <c r="U124" s="22" t="str">
        <f>General!$D$18</f>
        <v>000s_Units</v>
      </c>
      <c r="V124" s="22" t="s">
        <v>723</v>
      </c>
      <c r="W124" s="22"/>
      <c r="X124" s="22"/>
    </row>
    <row r="125" spans="2:24" ht="16.5" customHeight="1" x14ac:dyDescent="0.25">
      <c r="B125" s="11" t="str">
        <f t="shared" si="23"/>
        <v>RSD_APA1_DW_N_AD</v>
      </c>
      <c r="C125" s="11" t="str">
        <f t="shared" si="24"/>
        <v>Apartment A1 Dish Washing Advanced A++ (N)</v>
      </c>
      <c r="D125" s="11" t="str">
        <f>Commodities!$D$341</f>
        <v>RSDELC</v>
      </c>
      <c r="E125" s="11" t="str">
        <f>E124</f>
        <v>RSD_APA1_DW</v>
      </c>
      <c r="F125" s="89">
        <f t="shared" si="25"/>
        <v>2030</v>
      </c>
      <c r="G125" s="22">
        <v>2030</v>
      </c>
      <c r="H125" s="73"/>
      <c r="I125" s="22"/>
      <c r="J125" s="73">
        <f>(0.702*(1/0.9))*0.9</f>
        <v>0.70200000000000007</v>
      </c>
      <c r="K125" s="73"/>
      <c r="L125" s="22"/>
      <c r="M125" s="73">
        <v>15</v>
      </c>
      <c r="N125" s="73"/>
      <c r="Q125" s="10"/>
      <c r="R125" s="26" t="str">
        <f>Commodities!$AD$81&amp;"_"&amp;$R$3&amp;"_ST"</f>
        <v>RSD_DTA2_AP_N_ST</v>
      </c>
      <c r="S125" s="10" t="s">
        <v>1250</v>
      </c>
      <c r="T125" s="21" t="str">
        <f>General!$D$18</f>
        <v>000s_Units</v>
      </c>
      <c r="U125" s="21" t="str">
        <f>General!$D$18</f>
        <v>000s_Units</v>
      </c>
      <c r="V125" s="57" t="s">
        <v>723</v>
      </c>
      <c r="W125" s="21"/>
      <c r="X125" s="21"/>
    </row>
    <row r="126" spans="2:24" ht="16.5" customHeight="1" x14ac:dyDescent="0.25">
      <c r="B126" s="26" t="str">
        <f t="shared" si="23"/>
        <v>RSD_DTA2_DW_N_ST</v>
      </c>
      <c r="C126" s="26" t="str">
        <f t="shared" si="24"/>
        <v>Detached A2 Dish Washing Standard A,B (N)</v>
      </c>
      <c r="D126" s="26" t="str">
        <f>Commodities!$D$341</f>
        <v>RSDELC</v>
      </c>
      <c r="E126" s="26" t="str">
        <f>Commodities!$AD$73</f>
        <v>RSD_DTA2_DW</v>
      </c>
      <c r="F126" s="84">
        <f t="shared" si="25"/>
        <v>2018</v>
      </c>
      <c r="G126" s="57">
        <f>BASE_YEAR+1</f>
        <v>2018</v>
      </c>
      <c r="H126" s="72"/>
      <c r="I126" s="57"/>
      <c r="J126" s="72">
        <f>(0.45*(1/0.9))*0.9</f>
        <v>0.45</v>
      </c>
      <c r="K126" s="72"/>
      <c r="L126" s="57"/>
      <c r="M126" s="72">
        <v>15</v>
      </c>
      <c r="N126" s="72"/>
      <c r="Q126" s="10"/>
      <c r="R126" s="26" t="str">
        <f>Commodities!$AD$81&amp;"_"&amp;$R$3&amp;"_IM"</f>
        <v>RSD_DTA2_AP_N_IM</v>
      </c>
      <c r="S126" s="10" t="s">
        <v>1251</v>
      </c>
      <c r="T126" s="21" t="str">
        <f>General!$D$18</f>
        <v>000s_Units</v>
      </c>
      <c r="U126" s="21" t="str">
        <f>General!$D$18</f>
        <v>000s_Units</v>
      </c>
      <c r="V126" s="57" t="s">
        <v>723</v>
      </c>
      <c r="W126" s="21"/>
      <c r="X126" s="21"/>
    </row>
    <row r="127" spans="2:24" ht="16.5" customHeight="1" x14ac:dyDescent="0.25">
      <c r="B127" s="26" t="str">
        <f t="shared" si="23"/>
        <v>RSD_DTA2_DW_N_IM</v>
      </c>
      <c r="C127" s="26" t="str">
        <f t="shared" si="24"/>
        <v>Detached A2 Dish Washing Improved A+ (N)</v>
      </c>
      <c r="D127" s="26" t="str">
        <f>Commodities!$D$341</f>
        <v>RSDELC</v>
      </c>
      <c r="E127" s="26" t="str">
        <f>E126</f>
        <v>RSD_DTA2_DW</v>
      </c>
      <c r="F127" s="84">
        <f>G127</f>
        <v>2025</v>
      </c>
      <c r="G127" s="57">
        <v>2025</v>
      </c>
      <c r="H127" s="72"/>
      <c r="I127" s="57"/>
      <c r="J127" s="72">
        <f>(0.54*(1/0.9))*0.9</f>
        <v>0.54000000000000015</v>
      </c>
      <c r="K127" s="72"/>
      <c r="L127" s="57"/>
      <c r="M127" s="72">
        <v>15</v>
      </c>
      <c r="N127" s="72"/>
      <c r="Q127" s="11"/>
      <c r="R127" s="11" t="str">
        <f>Commodities!$AD$81&amp;"_"&amp;$R$3&amp;"_AD"</f>
        <v>RSD_DTA2_AP_N_AD</v>
      </c>
      <c r="S127" s="11" t="s">
        <v>1252</v>
      </c>
      <c r="T127" s="22" t="str">
        <f>General!$D$18</f>
        <v>000s_Units</v>
      </c>
      <c r="U127" s="22" t="str">
        <f>General!$D$18</f>
        <v>000s_Units</v>
      </c>
      <c r="V127" s="22" t="s">
        <v>723</v>
      </c>
      <c r="W127" s="22"/>
      <c r="X127" s="22"/>
    </row>
    <row r="128" spans="2:24" ht="16.5" customHeight="1" x14ac:dyDescent="0.25">
      <c r="B128" s="11" t="str">
        <f t="shared" si="23"/>
        <v>RSD_DTA2_DW_N_AD</v>
      </c>
      <c r="C128" s="11" t="str">
        <f t="shared" si="24"/>
        <v>Detached A2 Dish Washing Advanced A++ (N)</v>
      </c>
      <c r="D128" s="11" t="str">
        <f>Commodities!$D$341</f>
        <v>RSDELC</v>
      </c>
      <c r="E128" s="11" t="str">
        <f>E127</f>
        <v>RSD_DTA2_DW</v>
      </c>
      <c r="F128" s="89">
        <f>G128</f>
        <v>2030</v>
      </c>
      <c r="G128" s="22">
        <v>2030</v>
      </c>
      <c r="H128" s="73"/>
      <c r="I128" s="22"/>
      <c r="J128" s="73">
        <f>(0.702*(1/0.9))*0.9</f>
        <v>0.70200000000000007</v>
      </c>
      <c r="K128" s="73"/>
      <c r="L128" s="22"/>
      <c r="M128" s="73">
        <v>15</v>
      </c>
      <c r="N128" s="73"/>
      <c r="Q128" s="10"/>
      <c r="R128" s="26" t="str">
        <f>Commodities!$AD$82&amp;"_"&amp;$R$3&amp;"_ST"</f>
        <v>RSD_APA2_AP_N_ST</v>
      </c>
      <c r="S128" s="10" t="s">
        <v>1329</v>
      </c>
      <c r="T128" s="21" t="str">
        <f>General!$D$18</f>
        <v>000s_Units</v>
      </c>
      <c r="U128" s="21" t="str">
        <f>General!$D$18</f>
        <v>000s_Units</v>
      </c>
      <c r="V128" s="57" t="s">
        <v>723</v>
      </c>
      <c r="W128" s="21"/>
      <c r="X128" s="21"/>
    </row>
    <row r="129" spans="2:24" ht="16.5" customHeight="1" x14ac:dyDescent="0.25">
      <c r="B129" s="26" t="str">
        <f t="shared" si="23"/>
        <v>RSD_APA2_DW_N_ST</v>
      </c>
      <c r="C129" s="26" t="str">
        <f t="shared" si="24"/>
        <v>Apartment A2  Dish Washing Standard A,B (N)</v>
      </c>
      <c r="D129" s="26" t="str">
        <f>Commodities!$D$341</f>
        <v>RSDELC</v>
      </c>
      <c r="E129" s="26" t="str">
        <f>Commodities!$AD$74</f>
        <v>RSD_APA2_DW</v>
      </c>
      <c r="F129" s="84">
        <f t="shared" si="25"/>
        <v>2018</v>
      </c>
      <c r="G129" s="57">
        <f>BASE_YEAR+1</f>
        <v>2018</v>
      </c>
      <c r="H129" s="72"/>
      <c r="I129" s="57"/>
      <c r="J129" s="72">
        <f>(0.45*(1/0.9))*0.9</f>
        <v>0.45</v>
      </c>
      <c r="K129" s="72"/>
      <c r="L129" s="57"/>
      <c r="M129" s="72">
        <v>15</v>
      </c>
      <c r="N129" s="72"/>
      <c r="Q129" s="10"/>
      <c r="R129" s="26" t="str">
        <f>Commodities!$AD$82&amp;"_"&amp;$R$3&amp;"_IM"</f>
        <v>RSD_APA2_AP_N_IM</v>
      </c>
      <c r="S129" s="10" t="s">
        <v>1330</v>
      </c>
      <c r="T129" s="21" t="str">
        <f>General!$D$18</f>
        <v>000s_Units</v>
      </c>
      <c r="U129" s="21" t="str">
        <f>General!$D$18</f>
        <v>000s_Units</v>
      </c>
      <c r="V129" s="57" t="s">
        <v>723</v>
      </c>
      <c r="W129" s="21"/>
      <c r="X129" s="21"/>
    </row>
    <row r="130" spans="2:24" ht="16.5" customHeight="1" x14ac:dyDescent="0.25">
      <c r="B130" s="26" t="str">
        <f t="shared" si="23"/>
        <v>RSD_APA2_DW_N_IM</v>
      </c>
      <c r="C130" s="26" t="str">
        <f t="shared" si="24"/>
        <v>Apartment A2  Dish Washing Improved A+ (N)</v>
      </c>
      <c r="D130" s="26" t="str">
        <f>Commodities!$D$341</f>
        <v>RSDELC</v>
      </c>
      <c r="E130" s="26" t="str">
        <f>E129</f>
        <v>RSD_APA2_DW</v>
      </c>
      <c r="F130" s="84">
        <f t="shared" si="25"/>
        <v>2025</v>
      </c>
      <c r="G130" s="57">
        <v>2025</v>
      </c>
      <c r="H130" s="72"/>
      <c r="I130" s="57"/>
      <c r="J130" s="72">
        <f>(0.54*(1/0.9))*0.9</f>
        <v>0.54000000000000015</v>
      </c>
      <c r="K130" s="72"/>
      <c r="L130" s="57"/>
      <c r="M130" s="72">
        <v>15</v>
      </c>
      <c r="N130" s="72"/>
      <c r="Q130" s="11"/>
      <c r="R130" s="11" t="str">
        <f>Commodities!$AD$82&amp;"_"&amp;$R$3&amp;"_AD"</f>
        <v>RSD_APA2_AP_N_AD</v>
      </c>
      <c r="S130" s="11" t="s">
        <v>1331</v>
      </c>
      <c r="T130" s="22" t="str">
        <f>General!$D$18</f>
        <v>000s_Units</v>
      </c>
      <c r="U130" s="22" t="str">
        <f>General!$D$18</f>
        <v>000s_Units</v>
      </c>
      <c r="V130" s="22" t="s">
        <v>723</v>
      </c>
      <c r="W130" s="22"/>
      <c r="X130" s="22"/>
    </row>
    <row r="131" spans="2:24" ht="16.5" customHeight="1" x14ac:dyDescent="0.25">
      <c r="B131" s="11" t="str">
        <f t="shared" si="23"/>
        <v>RSD_APA2_DW_N_AD</v>
      </c>
      <c r="C131" s="11" t="str">
        <f t="shared" si="24"/>
        <v>Apartment A2  Dish Washing Advanced A++ (N)</v>
      </c>
      <c r="D131" s="11" t="str">
        <f>Commodities!$D$341</f>
        <v>RSDELC</v>
      </c>
      <c r="E131" s="11" t="str">
        <f>E130</f>
        <v>RSD_APA2_DW</v>
      </c>
      <c r="F131" s="89">
        <f t="shared" ref="F131:F137" si="26">G131</f>
        <v>2030</v>
      </c>
      <c r="G131" s="22">
        <v>2030</v>
      </c>
      <c r="H131" s="73"/>
      <c r="I131" s="22"/>
      <c r="J131" s="73">
        <f>(0.702*(1/0.9))*0.9</f>
        <v>0.70200000000000007</v>
      </c>
      <c r="K131" s="73"/>
      <c r="L131" s="22"/>
      <c r="M131" s="73">
        <v>15</v>
      </c>
      <c r="N131" s="73"/>
      <c r="Q131" s="10"/>
      <c r="R131" s="26" t="str">
        <f>Commodities!$AD$83&amp;"_"&amp;$R$3&amp;"_ST"</f>
        <v>RSD_DTA3_AP_N_ST</v>
      </c>
      <c r="S131" s="10" t="s">
        <v>1233</v>
      </c>
      <c r="T131" s="21" t="str">
        <f>General!$D$18</f>
        <v>000s_Units</v>
      </c>
      <c r="U131" s="21" t="str">
        <f>General!$D$18</f>
        <v>000s_Units</v>
      </c>
      <c r="V131" s="57" t="s">
        <v>723</v>
      </c>
      <c r="W131" s="21"/>
      <c r="X131" s="21"/>
    </row>
    <row r="132" spans="2:24" ht="16.5" customHeight="1" x14ac:dyDescent="0.25">
      <c r="B132" s="26" t="str">
        <f t="shared" si="23"/>
        <v>RSD_DTA3_DW_N_ST</v>
      </c>
      <c r="C132" s="26" t="str">
        <f t="shared" si="24"/>
        <v>Detached A3 Dish Washing Standard A,B (N)</v>
      </c>
      <c r="D132" s="26" t="str">
        <f>Commodities!$D$341</f>
        <v>RSDELC</v>
      </c>
      <c r="E132" s="26" t="str">
        <f>Commodities!$AD$75</f>
        <v>RSD_DTA3_DW</v>
      </c>
      <c r="F132" s="84">
        <f t="shared" si="26"/>
        <v>2018</v>
      </c>
      <c r="G132" s="57">
        <f>BASE_YEAR+1</f>
        <v>2018</v>
      </c>
      <c r="H132" s="72"/>
      <c r="I132" s="57"/>
      <c r="J132" s="72">
        <f>(0.45*(1/0.9))*0.9</f>
        <v>0.45</v>
      </c>
      <c r="K132" s="72"/>
      <c r="L132" s="57"/>
      <c r="M132" s="72">
        <v>15</v>
      </c>
      <c r="N132" s="72"/>
      <c r="O132" s="26"/>
      <c r="Q132" s="10"/>
      <c r="R132" s="26" t="str">
        <f>Commodities!$AD$83&amp;"_"&amp;$R$3&amp;"_IM"</f>
        <v>RSD_DTA3_AP_N_IM</v>
      </c>
      <c r="S132" s="10" t="s">
        <v>1234</v>
      </c>
      <c r="T132" s="21" t="str">
        <f>General!$D$18</f>
        <v>000s_Units</v>
      </c>
      <c r="U132" s="21" t="str">
        <f>General!$D$18</f>
        <v>000s_Units</v>
      </c>
      <c r="V132" s="57" t="s">
        <v>723</v>
      </c>
      <c r="W132" s="21"/>
      <c r="X132" s="21"/>
    </row>
    <row r="133" spans="2:24" ht="16.5" customHeight="1" x14ac:dyDescent="0.25">
      <c r="B133" s="26" t="str">
        <f t="shared" si="23"/>
        <v>RSD_DTA3_DW_N_IM</v>
      </c>
      <c r="C133" s="26" t="str">
        <f t="shared" si="24"/>
        <v>Detached A3 Dish Washing Improved A+ (N)</v>
      </c>
      <c r="D133" s="26" t="str">
        <f>Commodities!$D$341</f>
        <v>RSDELC</v>
      </c>
      <c r="E133" s="26" t="str">
        <f>E132</f>
        <v>RSD_DTA3_DW</v>
      </c>
      <c r="F133" s="84">
        <f t="shared" si="26"/>
        <v>2025</v>
      </c>
      <c r="G133" s="57">
        <v>2025</v>
      </c>
      <c r="H133" s="72"/>
      <c r="I133" s="57"/>
      <c r="J133" s="72">
        <f>(0.54*(1/0.9))*0.9</f>
        <v>0.54000000000000015</v>
      </c>
      <c r="K133" s="72"/>
      <c r="L133" s="57"/>
      <c r="M133" s="72">
        <v>15</v>
      </c>
      <c r="N133" s="72"/>
      <c r="O133" s="26"/>
      <c r="Q133" s="11"/>
      <c r="R133" s="11" t="str">
        <f>Commodities!$AD$83&amp;"_"&amp;$R$3&amp;"_AD"</f>
        <v>RSD_DTA3_AP_N_AD</v>
      </c>
      <c r="S133" s="11" t="s">
        <v>1235</v>
      </c>
      <c r="T133" s="22" t="str">
        <f>General!$D$18</f>
        <v>000s_Units</v>
      </c>
      <c r="U133" s="22" t="str">
        <f>General!$D$18</f>
        <v>000s_Units</v>
      </c>
      <c r="V133" s="22" t="s">
        <v>723</v>
      </c>
      <c r="W133" s="22"/>
      <c r="X133" s="22"/>
    </row>
    <row r="134" spans="2:24" ht="16.5" customHeight="1" x14ac:dyDescent="0.25">
      <c r="B134" s="11" t="str">
        <f t="shared" si="23"/>
        <v>RSD_DTA3_DW_N_AD</v>
      </c>
      <c r="C134" s="11" t="str">
        <f t="shared" si="24"/>
        <v>Detached A3 Dish Washing Advanced A++ (N)</v>
      </c>
      <c r="D134" s="11" t="str">
        <f>Commodities!$D$341</f>
        <v>RSDELC</v>
      </c>
      <c r="E134" s="11" t="str">
        <f>E133</f>
        <v>RSD_DTA3_DW</v>
      </c>
      <c r="F134" s="89">
        <f t="shared" si="26"/>
        <v>2030</v>
      </c>
      <c r="G134" s="22">
        <v>2030</v>
      </c>
      <c r="H134" s="73"/>
      <c r="I134" s="22"/>
      <c r="J134" s="73">
        <f>(0.702*(1/0.9))*0.9</f>
        <v>0.70200000000000007</v>
      </c>
      <c r="K134" s="73"/>
      <c r="L134" s="22"/>
      <c r="M134" s="73">
        <v>15</v>
      </c>
      <c r="N134" s="73"/>
      <c r="O134" s="26"/>
      <c r="Q134" s="10"/>
      <c r="R134" s="26" t="str">
        <f>Commodities!$AD$84&amp;"_"&amp;$R$3&amp;"_ST"</f>
        <v>RSD_APA3_AP_N_ST</v>
      </c>
      <c r="S134" s="10" t="s">
        <v>1332</v>
      </c>
      <c r="T134" s="21" t="str">
        <f>General!$D$18</f>
        <v>000s_Units</v>
      </c>
      <c r="U134" s="21" t="str">
        <f>General!$D$18</f>
        <v>000s_Units</v>
      </c>
      <c r="V134" s="57" t="s">
        <v>723</v>
      </c>
      <c r="W134" s="21"/>
      <c r="X134" s="21"/>
    </row>
    <row r="135" spans="2:24" ht="16.5" customHeight="1" x14ac:dyDescent="0.25">
      <c r="B135" s="26" t="str">
        <f t="shared" si="23"/>
        <v>RSD_APA3_DW_N_ST</v>
      </c>
      <c r="C135" s="26" t="str">
        <f t="shared" si="24"/>
        <v>Apartment A3 Dish Washing Standard A,B (N)</v>
      </c>
      <c r="D135" s="26" t="str">
        <f>Commodities!$D$341</f>
        <v>RSDELC</v>
      </c>
      <c r="E135" s="26" t="str">
        <f>Commodities!$AD$76</f>
        <v>RSD_APA3_DW</v>
      </c>
      <c r="F135" s="84">
        <f t="shared" si="26"/>
        <v>2018</v>
      </c>
      <c r="G135" s="57">
        <f>BASE_YEAR+1</f>
        <v>2018</v>
      </c>
      <c r="H135" s="72"/>
      <c r="I135" s="57"/>
      <c r="J135" s="72">
        <f>(0.45*(1/0.9))*0.9</f>
        <v>0.45</v>
      </c>
      <c r="K135" s="72"/>
      <c r="L135" s="57"/>
      <c r="M135" s="72">
        <v>15</v>
      </c>
      <c r="N135" s="72"/>
      <c r="O135" s="26"/>
      <c r="Q135" s="10"/>
      <c r="R135" s="26" t="str">
        <f>Commodities!$AD$84&amp;"_"&amp;$R$3&amp;"_IM"</f>
        <v>RSD_APA3_AP_N_IM</v>
      </c>
      <c r="S135" s="10" t="s">
        <v>1333</v>
      </c>
      <c r="T135" s="21" t="str">
        <f>General!$D$18</f>
        <v>000s_Units</v>
      </c>
      <c r="U135" s="21" t="str">
        <f>General!$D$18</f>
        <v>000s_Units</v>
      </c>
      <c r="V135" s="57" t="s">
        <v>723</v>
      </c>
      <c r="W135" s="21"/>
      <c r="X135" s="21"/>
    </row>
    <row r="136" spans="2:24" ht="16.5" customHeight="1" x14ac:dyDescent="0.25">
      <c r="B136" s="26" t="str">
        <f t="shared" si="23"/>
        <v>RSD_APA3_DW_N_IM</v>
      </c>
      <c r="C136" s="26" t="str">
        <f t="shared" si="24"/>
        <v>Apartment A3 Dish Washing Improved A+ (N)</v>
      </c>
      <c r="D136" s="26" t="str">
        <f>Commodities!$D$341</f>
        <v>RSDELC</v>
      </c>
      <c r="E136" s="26" t="str">
        <f>E135</f>
        <v>RSD_APA3_DW</v>
      </c>
      <c r="F136" s="84">
        <f t="shared" si="26"/>
        <v>2025</v>
      </c>
      <c r="G136" s="57">
        <v>2025</v>
      </c>
      <c r="H136" s="72"/>
      <c r="I136" s="57"/>
      <c r="J136" s="72">
        <f>(0.54*(1/0.9))*0.9</f>
        <v>0.54000000000000015</v>
      </c>
      <c r="K136" s="72"/>
      <c r="L136" s="57"/>
      <c r="M136" s="72">
        <v>15</v>
      </c>
      <c r="N136" s="72"/>
      <c r="O136" s="26"/>
      <c r="Q136" s="11"/>
      <c r="R136" s="11" t="str">
        <f>Commodities!$AD$84&amp;"_"&amp;$R$3&amp;"_AD"</f>
        <v>RSD_APA3_AP_N_AD</v>
      </c>
      <c r="S136" s="11" t="s">
        <v>1334</v>
      </c>
      <c r="T136" s="22" t="str">
        <f>General!$D$18</f>
        <v>000s_Units</v>
      </c>
      <c r="U136" s="22" t="str">
        <f>General!$D$18</f>
        <v>000s_Units</v>
      </c>
      <c r="V136" s="22" t="s">
        <v>723</v>
      </c>
      <c r="W136" s="22"/>
      <c r="X136" s="22"/>
    </row>
    <row r="137" spans="2:24" ht="16.5" customHeight="1" x14ac:dyDescent="0.25">
      <c r="B137" s="11" t="str">
        <f t="shared" si="23"/>
        <v>RSD_APA3_DW_N_AD</v>
      </c>
      <c r="C137" s="11" t="str">
        <f t="shared" si="24"/>
        <v>Apartment A3 Dish Washing Advanced A++ (N)</v>
      </c>
      <c r="D137" s="11" t="str">
        <f>Commodities!$D$341</f>
        <v>RSDELC</v>
      </c>
      <c r="E137" s="11" t="str">
        <f>E136</f>
        <v>RSD_APA3_DW</v>
      </c>
      <c r="F137" s="89">
        <f t="shared" si="26"/>
        <v>2030</v>
      </c>
      <c r="G137" s="22">
        <v>2030</v>
      </c>
      <c r="H137" s="73"/>
      <c r="I137" s="22"/>
      <c r="J137" s="73">
        <f>(0.702*(1/0.9))*0.9</f>
        <v>0.70200000000000007</v>
      </c>
      <c r="K137" s="73"/>
      <c r="L137" s="22"/>
      <c r="M137" s="73">
        <v>15</v>
      </c>
      <c r="N137" s="73"/>
      <c r="O137" s="26"/>
      <c r="Q137" s="10"/>
      <c r="R137" s="26" t="str">
        <f>Commodities!$AD$85&amp;"_"&amp;$R$3&amp;"_ST"</f>
        <v>RSD_DTA4_AP_N_ST</v>
      </c>
      <c r="S137" s="10" t="s">
        <v>1216</v>
      </c>
      <c r="T137" s="21" t="str">
        <f>General!$D$18</f>
        <v>000s_Units</v>
      </c>
      <c r="U137" s="21" t="str">
        <f>General!$D$18</f>
        <v>000s_Units</v>
      </c>
      <c r="V137" s="57" t="s">
        <v>723</v>
      </c>
      <c r="W137" s="21"/>
      <c r="X137" s="21"/>
    </row>
    <row r="138" spans="2:24" ht="16.5" customHeight="1" x14ac:dyDescent="0.25">
      <c r="B138" s="26" t="str">
        <f t="shared" si="23"/>
        <v>RSD_DTA4_DW_N_ST</v>
      </c>
      <c r="C138" s="26" t="str">
        <f t="shared" si="24"/>
        <v>Detached A4 Dish Washing Standard A,B (N)</v>
      </c>
      <c r="D138" s="26" t="str">
        <f>Commodities!$D$341</f>
        <v>RSDELC</v>
      </c>
      <c r="E138" s="26" t="str">
        <f>Commodities!$AD$77</f>
        <v>RSD_DTA4_DW</v>
      </c>
      <c r="F138" s="84">
        <f t="shared" ref="F138:F143" si="27">G138</f>
        <v>2018</v>
      </c>
      <c r="G138" s="57">
        <f>BASE_YEAR+1</f>
        <v>2018</v>
      </c>
      <c r="H138" s="72"/>
      <c r="I138" s="57"/>
      <c r="J138" s="72">
        <f>(0.45*(1/0.9))*0.9</f>
        <v>0.45</v>
      </c>
      <c r="K138" s="72"/>
      <c r="L138" s="57"/>
      <c r="M138" s="72">
        <v>15</v>
      </c>
      <c r="N138" s="72"/>
      <c r="O138" s="26"/>
      <c r="Q138" s="10"/>
      <c r="R138" s="26" t="str">
        <f>Commodities!$AD$85&amp;"_"&amp;$R$3&amp;"_IM"</f>
        <v>RSD_DTA4_AP_N_IM</v>
      </c>
      <c r="S138" s="10" t="s">
        <v>1217</v>
      </c>
      <c r="T138" s="21" t="str">
        <f>General!$D$18</f>
        <v>000s_Units</v>
      </c>
      <c r="U138" s="21" t="str">
        <f>General!$D$18</f>
        <v>000s_Units</v>
      </c>
      <c r="V138" s="57" t="s">
        <v>723</v>
      </c>
      <c r="W138" s="21"/>
      <c r="X138" s="21"/>
    </row>
    <row r="139" spans="2:24" ht="16.5" customHeight="1" thickBot="1" x14ac:dyDescent="0.3">
      <c r="B139" s="26" t="str">
        <f t="shared" si="23"/>
        <v>RSD_DTA4_DW_N_IM</v>
      </c>
      <c r="C139" s="26" t="str">
        <f t="shared" si="24"/>
        <v>Detached A4 Dish Washing Improved A+ (N)</v>
      </c>
      <c r="D139" s="26" t="str">
        <f>Commodities!$D$341</f>
        <v>RSDELC</v>
      </c>
      <c r="E139" s="26" t="str">
        <f>E138</f>
        <v>RSD_DTA4_DW</v>
      </c>
      <c r="F139" s="84">
        <f t="shared" si="27"/>
        <v>2025</v>
      </c>
      <c r="G139" s="57">
        <v>2025</v>
      </c>
      <c r="H139" s="72"/>
      <c r="I139" s="57"/>
      <c r="J139" s="72">
        <f>(0.54*(1/0.9))*0.9</f>
        <v>0.54000000000000015</v>
      </c>
      <c r="K139" s="72"/>
      <c r="L139" s="57"/>
      <c r="M139" s="72">
        <v>15</v>
      </c>
      <c r="N139" s="72"/>
      <c r="O139" s="26"/>
      <c r="Q139" s="11"/>
      <c r="R139" s="11" t="str">
        <f>Commodities!$AD$85&amp;"_"&amp;$R$3&amp;"_AD"</f>
        <v>RSD_DTA4_AP_N_AD</v>
      </c>
      <c r="S139" s="92" t="s">
        <v>1218</v>
      </c>
      <c r="T139" s="22" t="str">
        <f>General!$D$18</f>
        <v>000s_Units</v>
      </c>
      <c r="U139" s="22" t="str">
        <f>General!$D$18</f>
        <v>000s_Units</v>
      </c>
      <c r="V139" s="22" t="s">
        <v>723</v>
      </c>
      <c r="W139" s="22"/>
      <c r="X139" s="22"/>
    </row>
    <row r="140" spans="2:24" ht="16.5" customHeight="1" thickTop="1" x14ac:dyDescent="0.25">
      <c r="B140" s="11" t="str">
        <f t="shared" si="23"/>
        <v>RSD_DTA4_DW_N_AD</v>
      </c>
      <c r="C140" s="11" t="str">
        <f t="shared" si="24"/>
        <v>Detached A4 Dish Washing Advanced A++ (N)</v>
      </c>
      <c r="D140" s="11" t="str">
        <f>Commodities!$D$341</f>
        <v>RSDELC</v>
      </c>
      <c r="E140" s="11" t="str">
        <f>E139</f>
        <v>RSD_DTA4_DW</v>
      </c>
      <c r="F140" s="89">
        <f t="shared" si="27"/>
        <v>2030</v>
      </c>
      <c r="G140" s="22">
        <v>2030</v>
      </c>
      <c r="H140" s="73"/>
      <c r="I140" s="22"/>
      <c r="J140" s="73">
        <f>(0.702*(1/0.9))*0.9</f>
        <v>0.70200000000000007</v>
      </c>
      <c r="K140" s="73"/>
      <c r="L140" s="22"/>
      <c r="M140" s="73">
        <v>15</v>
      </c>
      <c r="N140" s="73"/>
      <c r="O140" s="26"/>
      <c r="Q140" s="10"/>
      <c r="R140" s="26" t="str">
        <f>Commodities!$AD$86&amp;"_"&amp;$R$3&amp;"_ST"</f>
        <v>RSD_APA4_AP_N_ST</v>
      </c>
      <c r="S140" s="10" t="s">
        <v>1335</v>
      </c>
      <c r="T140" s="21" t="str">
        <f>General!$D$18</f>
        <v>000s_Units</v>
      </c>
      <c r="U140" s="21" t="str">
        <f>General!$D$18</f>
        <v>000s_Units</v>
      </c>
      <c r="V140" s="57" t="s">
        <v>723</v>
      </c>
      <c r="W140" s="21"/>
      <c r="X140" s="21"/>
    </row>
    <row r="141" spans="2:24" ht="16.5" customHeight="1" x14ac:dyDescent="0.25">
      <c r="B141" s="26" t="str">
        <f t="shared" si="23"/>
        <v>RSD_APA4_DW_N_ST</v>
      </c>
      <c r="C141" s="26" t="str">
        <f t="shared" si="24"/>
        <v>Apartment A4 Dish Washing Standard A,B (N)</v>
      </c>
      <c r="D141" s="26" t="str">
        <f>Commodities!$D$341</f>
        <v>RSDELC</v>
      </c>
      <c r="E141" s="26" t="str">
        <f>Commodities!$AD$78</f>
        <v>RSD_APA4_DW</v>
      </c>
      <c r="F141" s="84">
        <f t="shared" si="27"/>
        <v>2018</v>
      </c>
      <c r="G141" s="57">
        <f>BASE_YEAR+1</f>
        <v>2018</v>
      </c>
      <c r="H141" s="72"/>
      <c r="I141" s="57"/>
      <c r="J141" s="72">
        <f>(0.45*(1/0.9))*0.9</f>
        <v>0.45</v>
      </c>
      <c r="K141" s="72"/>
      <c r="L141" s="57"/>
      <c r="M141" s="72">
        <v>15</v>
      </c>
      <c r="N141" s="72"/>
      <c r="O141" s="26"/>
      <c r="Q141" s="10"/>
      <c r="R141" s="26" t="str">
        <f>Commodities!$AD$86&amp;"_"&amp;$R$3&amp;"_IM"</f>
        <v>RSD_APA4_AP_N_IM</v>
      </c>
      <c r="S141" s="10" t="s">
        <v>1336</v>
      </c>
      <c r="T141" s="21" t="str">
        <f>General!$D$18</f>
        <v>000s_Units</v>
      </c>
      <c r="U141" s="21" t="str">
        <f>General!$D$18</f>
        <v>000s_Units</v>
      </c>
      <c r="V141" s="57" t="s">
        <v>723</v>
      </c>
      <c r="W141" s="21"/>
      <c r="X141" s="21"/>
    </row>
    <row r="142" spans="2:24" ht="16.5" customHeight="1" thickBot="1" x14ac:dyDescent="0.3">
      <c r="B142" s="26" t="str">
        <f t="shared" si="23"/>
        <v>RSD_APA4_DW_N_IM</v>
      </c>
      <c r="C142" s="26" t="str">
        <f t="shared" si="24"/>
        <v>Apartment A4 Dish Washing Improved A+ (N)</v>
      </c>
      <c r="D142" s="26" t="str">
        <f>Commodities!$D$341</f>
        <v>RSDELC</v>
      </c>
      <c r="E142" s="26" t="str">
        <f>E141</f>
        <v>RSD_APA4_DW</v>
      </c>
      <c r="F142" s="84">
        <f t="shared" si="27"/>
        <v>2025</v>
      </c>
      <c r="G142" s="57">
        <v>2025</v>
      </c>
      <c r="H142" s="72"/>
      <c r="I142" s="57"/>
      <c r="J142" s="72">
        <f>(0.54*(1/0.9))*0.9</f>
        <v>0.54000000000000015</v>
      </c>
      <c r="K142" s="72"/>
      <c r="L142" s="57"/>
      <c r="M142" s="72">
        <v>15</v>
      </c>
      <c r="N142" s="72"/>
      <c r="O142" s="26"/>
      <c r="Q142" s="92"/>
      <c r="R142" s="92" t="str">
        <f>Commodities!$AD$86&amp;"_"&amp;$R$3&amp;"_AD"</f>
        <v>RSD_APA4_AP_N_AD</v>
      </c>
      <c r="S142" s="92" t="s">
        <v>1337</v>
      </c>
      <c r="T142" s="93" t="str">
        <f>General!$D$18</f>
        <v>000s_Units</v>
      </c>
      <c r="U142" s="93" t="str">
        <f>General!$D$18</f>
        <v>000s_Units</v>
      </c>
      <c r="V142" s="93" t="s">
        <v>723</v>
      </c>
      <c r="W142" s="93"/>
      <c r="X142" s="92"/>
    </row>
    <row r="143" spans="2:24" ht="16.5" customHeight="1" thickTop="1" x14ac:dyDescent="0.25">
      <c r="B143" s="11" t="str">
        <f t="shared" si="23"/>
        <v>RSD_APA4_DW_N_AD</v>
      </c>
      <c r="C143" s="11" t="str">
        <f t="shared" si="24"/>
        <v>Apartment A4 Dish Washing Advanced A++ (N)</v>
      </c>
      <c r="D143" s="11" t="str">
        <f>Commodities!$D$341</f>
        <v>RSDELC</v>
      </c>
      <c r="E143" s="11" t="str">
        <f>E142</f>
        <v>RSD_APA4_DW</v>
      </c>
      <c r="F143" s="89">
        <f t="shared" si="27"/>
        <v>2030</v>
      </c>
      <c r="G143" s="22">
        <v>2030</v>
      </c>
      <c r="H143" s="73"/>
      <c r="I143" s="22"/>
      <c r="J143" s="73">
        <f>(0.702*(1/0.9))*0.9</f>
        <v>0.70200000000000007</v>
      </c>
      <c r="K143" s="73"/>
      <c r="L143" s="22"/>
      <c r="M143" s="73">
        <v>15</v>
      </c>
      <c r="N143" s="73"/>
      <c r="O143" s="26"/>
    </row>
    <row r="144" spans="2:24" ht="16.5" customHeight="1" x14ac:dyDescent="0.25">
      <c r="J144" s="100"/>
      <c r="O144" s="26"/>
    </row>
    <row r="145" spans="2:15" ht="16.5" customHeight="1" x14ac:dyDescent="0.25">
      <c r="J145" s="100"/>
      <c r="O145" s="26"/>
    </row>
    <row r="146" spans="2:15" ht="16.5" customHeight="1" x14ac:dyDescent="0.3">
      <c r="B146" s="27" t="s">
        <v>828</v>
      </c>
      <c r="C146" s="27"/>
      <c r="D146" s="27"/>
      <c r="E146" s="27"/>
      <c r="F146" s="27"/>
      <c r="G146" s="27"/>
      <c r="H146" s="27"/>
      <c r="I146" s="21"/>
      <c r="J146" s="101"/>
      <c r="K146" s="10"/>
      <c r="L146" s="10"/>
      <c r="M146" s="10"/>
      <c r="N146" s="10"/>
      <c r="O146" s="26"/>
    </row>
    <row r="147" spans="2:15" ht="16.5" customHeight="1" x14ac:dyDescent="0.25">
      <c r="B147" s="28"/>
      <c r="C147" s="10"/>
      <c r="D147" s="29"/>
      <c r="E147" s="29"/>
      <c r="F147" s="29"/>
      <c r="G147" s="29"/>
      <c r="H147" s="10"/>
      <c r="I147" s="57"/>
      <c r="J147" s="102"/>
      <c r="K147" s="74"/>
      <c r="L147" s="74"/>
      <c r="M147" s="75"/>
      <c r="N147" s="10"/>
      <c r="O147" s="26"/>
    </row>
    <row r="148" spans="2:15" ht="16.5" customHeight="1" x14ac:dyDescent="0.25">
      <c r="B148" s="10"/>
      <c r="C148" s="10"/>
      <c r="D148" s="10"/>
      <c r="E148" s="30"/>
      <c r="F148" s="31" t="s">
        <v>0</v>
      </c>
      <c r="G148" s="31"/>
      <c r="H148" s="74"/>
      <c r="I148" s="21"/>
      <c r="J148" s="101"/>
      <c r="K148" s="10"/>
      <c r="L148" s="10"/>
      <c r="M148" s="10"/>
      <c r="N148" s="10"/>
      <c r="O148" s="26"/>
    </row>
    <row r="149" spans="2:15" ht="16.5" customHeight="1" x14ac:dyDescent="0.25">
      <c r="B149" s="33" t="s">
        <v>1</v>
      </c>
      <c r="C149" s="33" t="s">
        <v>794</v>
      </c>
      <c r="D149" s="33" t="s">
        <v>3</v>
      </c>
      <c r="E149" s="33" t="s">
        <v>4</v>
      </c>
      <c r="F149" s="34" t="s">
        <v>803</v>
      </c>
      <c r="G149" s="35" t="s">
        <v>14</v>
      </c>
      <c r="H149" s="36" t="s">
        <v>820</v>
      </c>
      <c r="I149" s="36" t="s">
        <v>789</v>
      </c>
      <c r="J149" s="103" t="s">
        <v>36</v>
      </c>
      <c r="K149" s="36" t="s">
        <v>5</v>
      </c>
      <c r="L149" s="36" t="s">
        <v>34</v>
      </c>
      <c r="M149" s="36" t="s">
        <v>780</v>
      </c>
      <c r="N149" s="36" t="s">
        <v>773</v>
      </c>
      <c r="O149" s="26"/>
    </row>
    <row r="150" spans="2:15" ht="16.5" customHeight="1" thickBot="1" x14ac:dyDescent="0.3">
      <c r="B150" s="41" t="s">
        <v>795</v>
      </c>
      <c r="C150" s="41" t="s">
        <v>28</v>
      </c>
      <c r="D150" s="41" t="s">
        <v>32</v>
      </c>
      <c r="E150" s="41" t="s">
        <v>33</v>
      </c>
      <c r="F150" s="42"/>
      <c r="G150" s="43" t="s">
        <v>35</v>
      </c>
      <c r="H150" s="41" t="s">
        <v>821</v>
      </c>
      <c r="I150" s="41" t="s">
        <v>805</v>
      </c>
      <c r="J150" s="104" t="s">
        <v>806</v>
      </c>
      <c r="K150" s="41" t="s">
        <v>37</v>
      </c>
      <c r="L150" s="41" t="s">
        <v>38</v>
      </c>
      <c r="M150" s="41" t="s">
        <v>781</v>
      </c>
      <c r="N150" s="41" t="s">
        <v>807</v>
      </c>
      <c r="O150" s="26"/>
    </row>
    <row r="151" spans="2:15" ht="16.5" customHeight="1" x14ac:dyDescent="0.25">
      <c r="B151" s="80"/>
      <c r="C151" s="81"/>
      <c r="D151" s="81"/>
      <c r="E151" s="81" t="s">
        <v>799</v>
      </c>
      <c r="F151" s="82"/>
      <c r="G151" s="81"/>
      <c r="H151" s="81" t="str">
        <f>General!$D$19</f>
        <v>TJ/unit</v>
      </c>
      <c r="I151" s="81" t="s">
        <v>808</v>
      </c>
      <c r="J151" s="105" t="str">
        <f>General!$D$26</f>
        <v>000$/unit</v>
      </c>
      <c r="K151" s="81" t="str">
        <f>General!$D$26</f>
        <v>000$/unit</v>
      </c>
      <c r="L151" s="81" t="str">
        <f>General!$D$15</f>
        <v>$/GJ</v>
      </c>
      <c r="M151" s="81" t="str">
        <f>General!$D$21</f>
        <v>Years</v>
      </c>
      <c r="N151" s="81"/>
      <c r="O151" s="26"/>
    </row>
    <row r="152" spans="2:15" ht="16.5" customHeight="1" x14ac:dyDescent="0.25">
      <c r="B152" s="26" t="str">
        <f t="shared" ref="B152:B169" si="28">R119</f>
        <v>RSD_DTA1_AP_N_ST</v>
      </c>
      <c r="C152" s="26" t="str">
        <f t="shared" ref="C152:C169" si="29">S119</f>
        <v>Detached A1 Other Appliances Standard (N)</v>
      </c>
      <c r="D152" s="26" t="str">
        <f>Commodities!$D$341</f>
        <v>RSDELC</v>
      </c>
      <c r="E152" s="26" t="str">
        <f>Commodities!$AD$79</f>
        <v>RSD_DTA1_AP</v>
      </c>
      <c r="F152" s="84">
        <f>G152</f>
        <v>2018</v>
      </c>
      <c r="G152" s="57">
        <f>BASE_YEAR+1</f>
        <v>2018</v>
      </c>
      <c r="H152" s="72"/>
      <c r="I152" s="57"/>
      <c r="J152" s="106">
        <f>0.2*(1/0.9)</f>
        <v>0.22222222222222224</v>
      </c>
      <c r="K152" s="57"/>
      <c r="L152" s="57"/>
      <c r="M152" s="72">
        <v>10</v>
      </c>
      <c r="N152" s="72"/>
      <c r="O152" s="26"/>
    </row>
    <row r="153" spans="2:15" ht="16.5" customHeight="1" x14ac:dyDescent="0.25">
      <c r="B153" s="26" t="str">
        <f t="shared" si="28"/>
        <v>RSD_DTA1_AP_N_IM</v>
      </c>
      <c r="C153" s="26" t="str">
        <f t="shared" si="29"/>
        <v>Detached A1 Other Appliances Improved (N)</v>
      </c>
      <c r="D153" s="26" t="str">
        <f>Commodities!$D$341</f>
        <v>RSDELC</v>
      </c>
      <c r="E153" s="26" t="str">
        <f>E152</f>
        <v>RSD_DTA1_AP</v>
      </c>
      <c r="F153" s="84">
        <f t="shared" ref="F153:F162" si="30">G153</f>
        <v>2025</v>
      </c>
      <c r="G153" s="57">
        <v>2025</v>
      </c>
      <c r="H153" s="72"/>
      <c r="I153" s="57"/>
      <c r="J153" s="106">
        <f>(J152*1.2)*(1/0.9)</f>
        <v>0.29629629629629628</v>
      </c>
      <c r="K153" s="57"/>
      <c r="L153" s="57"/>
      <c r="M153" s="72">
        <v>10</v>
      </c>
      <c r="N153" s="72"/>
    </row>
    <row r="154" spans="2:15" ht="16.5" customHeight="1" x14ac:dyDescent="0.25">
      <c r="B154" s="11" t="str">
        <f t="shared" si="28"/>
        <v>RSD_DTA1_AP_N_AD</v>
      </c>
      <c r="C154" s="11" t="str">
        <f t="shared" si="29"/>
        <v>Detached A1 Other Appliances Advanced (N)</v>
      </c>
      <c r="D154" s="11" t="str">
        <f>Commodities!$D$341</f>
        <v>RSDELC</v>
      </c>
      <c r="E154" s="11" t="str">
        <f>E153</f>
        <v>RSD_DTA1_AP</v>
      </c>
      <c r="F154" s="89">
        <f t="shared" si="30"/>
        <v>2035</v>
      </c>
      <c r="G154" s="22">
        <v>2035</v>
      </c>
      <c r="H154" s="73"/>
      <c r="I154" s="22"/>
      <c r="J154" s="107">
        <f>(J153*1.3)*(1/0.9)</f>
        <v>0.4279835390946502</v>
      </c>
      <c r="K154" s="22"/>
      <c r="L154" s="22"/>
      <c r="M154" s="73">
        <v>10</v>
      </c>
      <c r="N154" s="73"/>
    </row>
    <row r="155" spans="2:15" ht="16.5" customHeight="1" x14ac:dyDescent="0.25">
      <c r="B155" s="26" t="str">
        <f t="shared" si="28"/>
        <v>RSD_APA1_AP_N_ST</v>
      </c>
      <c r="C155" s="26" t="str">
        <f t="shared" si="29"/>
        <v>Apartment A1 Other Appliances Standard (N)</v>
      </c>
      <c r="D155" s="26" t="str">
        <f>Commodities!$D$341</f>
        <v>RSDELC</v>
      </c>
      <c r="E155" s="26" t="str">
        <f>Commodities!$AD$80</f>
        <v>RSD_APA1_AP</v>
      </c>
      <c r="F155" s="84">
        <f>G155</f>
        <v>2018</v>
      </c>
      <c r="G155" s="57">
        <f>BASE_YEAR+1</f>
        <v>2018</v>
      </c>
      <c r="H155" s="72"/>
      <c r="I155" s="57"/>
      <c r="J155" s="106">
        <f>0.2*(1/0.9)</f>
        <v>0.22222222222222224</v>
      </c>
      <c r="K155" s="57"/>
      <c r="L155" s="57"/>
      <c r="M155" s="72">
        <v>10</v>
      </c>
      <c r="N155" s="72"/>
    </row>
    <row r="156" spans="2:15" ht="16.5" customHeight="1" x14ac:dyDescent="0.25">
      <c r="B156" s="26" t="str">
        <f t="shared" si="28"/>
        <v>RSD_APA1_AP_N_IM</v>
      </c>
      <c r="C156" s="26" t="str">
        <f t="shared" si="29"/>
        <v>Apartment A1 Other Appliances Improved (N)</v>
      </c>
      <c r="D156" s="26" t="str">
        <f>Commodities!$D$341</f>
        <v>RSDELC</v>
      </c>
      <c r="E156" s="26" t="str">
        <f>E155</f>
        <v>RSD_APA1_AP</v>
      </c>
      <c r="F156" s="84">
        <f>G156</f>
        <v>2025</v>
      </c>
      <c r="G156" s="57">
        <v>2025</v>
      </c>
      <c r="H156" s="72"/>
      <c r="I156" s="57"/>
      <c r="J156" s="106">
        <f>(J155*1.2)*(1/0.9)</f>
        <v>0.29629629629629628</v>
      </c>
      <c r="K156" s="57"/>
      <c r="L156" s="57"/>
      <c r="M156" s="72">
        <v>10</v>
      </c>
      <c r="N156" s="72"/>
    </row>
    <row r="157" spans="2:15" ht="16.5" customHeight="1" x14ac:dyDescent="0.25">
      <c r="B157" s="11" t="str">
        <f t="shared" si="28"/>
        <v>RSD_APA1_AP_N_AD</v>
      </c>
      <c r="C157" s="11" t="str">
        <f t="shared" si="29"/>
        <v>Apartment A1 Other Appliances Advanced (N)</v>
      </c>
      <c r="D157" s="11" t="str">
        <f>Commodities!$D$341</f>
        <v>RSDELC</v>
      </c>
      <c r="E157" s="11" t="str">
        <f>E156</f>
        <v>RSD_APA1_AP</v>
      </c>
      <c r="F157" s="89">
        <f t="shared" si="30"/>
        <v>2035</v>
      </c>
      <c r="G157" s="22">
        <v>2035</v>
      </c>
      <c r="H157" s="73"/>
      <c r="I157" s="22"/>
      <c r="J157" s="107">
        <f>(J156*1.3)*(1/0.9)</f>
        <v>0.4279835390946502</v>
      </c>
      <c r="K157" s="22"/>
      <c r="L157" s="22"/>
      <c r="M157" s="73">
        <v>10</v>
      </c>
      <c r="N157" s="73"/>
    </row>
    <row r="158" spans="2:15" ht="16.5" customHeight="1" x14ac:dyDescent="0.25">
      <c r="B158" s="26" t="str">
        <f t="shared" si="28"/>
        <v>RSD_DTA2_AP_N_ST</v>
      </c>
      <c r="C158" s="26" t="str">
        <f t="shared" si="29"/>
        <v>Detached A2 Other Appliances Standard (N)</v>
      </c>
      <c r="D158" s="26" t="str">
        <f>Commodities!$D$341</f>
        <v>RSDELC</v>
      </c>
      <c r="E158" s="26" t="str">
        <f>Commodities!$AD$81</f>
        <v>RSD_DTA2_AP</v>
      </c>
      <c r="F158" s="84">
        <f t="shared" si="30"/>
        <v>2018</v>
      </c>
      <c r="G158" s="57">
        <f>BASE_YEAR+1</f>
        <v>2018</v>
      </c>
      <c r="H158" s="72"/>
      <c r="I158" s="57"/>
      <c r="J158" s="106">
        <f>0.2*(1/0.9)</f>
        <v>0.22222222222222224</v>
      </c>
      <c r="K158" s="57"/>
      <c r="L158" s="57"/>
      <c r="M158" s="72">
        <v>10</v>
      </c>
      <c r="N158" s="72"/>
    </row>
    <row r="159" spans="2:15" ht="16.5" customHeight="1" x14ac:dyDescent="0.25">
      <c r="B159" s="26" t="str">
        <f t="shared" si="28"/>
        <v>RSD_DTA2_AP_N_IM</v>
      </c>
      <c r="C159" s="26" t="str">
        <f t="shared" si="29"/>
        <v>Detached A2 Other Appliances Improved (N)</v>
      </c>
      <c r="D159" s="26" t="str">
        <f>Commodities!$D$341</f>
        <v>RSDELC</v>
      </c>
      <c r="E159" s="26" t="str">
        <f>E158</f>
        <v>RSD_DTA2_AP</v>
      </c>
      <c r="F159" s="84">
        <f>G159</f>
        <v>2025</v>
      </c>
      <c r="G159" s="57">
        <v>2025</v>
      </c>
      <c r="H159" s="72"/>
      <c r="I159" s="57"/>
      <c r="J159" s="106">
        <f>(J158*1.2)*(1/0.9)</f>
        <v>0.29629629629629628</v>
      </c>
      <c r="K159" s="57"/>
      <c r="L159" s="57"/>
      <c r="M159" s="72">
        <v>10</v>
      </c>
      <c r="N159" s="72"/>
    </row>
    <row r="160" spans="2:15" ht="16.5" customHeight="1" x14ac:dyDescent="0.25">
      <c r="B160" s="11" t="str">
        <f t="shared" si="28"/>
        <v>RSD_DTA2_AP_N_AD</v>
      </c>
      <c r="C160" s="11" t="str">
        <f t="shared" si="29"/>
        <v>Detached A2 Other Appliances Advanced (N)</v>
      </c>
      <c r="D160" s="11" t="str">
        <f>Commodities!$D$341</f>
        <v>RSDELC</v>
      </c>
      <c r="E160" s="11" t="str">
        <f>E159</f>
        <v>RSD_DTA2_AP</v>
      </c>
      <c r="F160" s="89">
        <f>G160</f>
        <v>2035</v>
      </c>
      <c r="G160" s="22">
        <v>2035</v>
      </c>
      <c r="H160" s="73"/>
      <c r="I160" s="22"/>
      <c r="J160" s="107">
        <f>(J159*1.3)*(1/0.9)</f>
        <v>0.4279835390946502</v>
      </c>
      <c r="K160" s="22"/>
      <c r="L160" s="22"/>
      <c r="M160" s="73">
        <v>10</v>
      </c>
      <c r="N160" s="73"/>
    </row>
    <row r="161" spans="2:14" ht="16.5" customHeight="1" x14ac:dyDescent="0.25">
      <c r="B161" s="26" t="str">
        <f t="shared" si="28"/>
        <v>RSD_APA2_AP_N_ST</v>
      </c>
      <c r="C161" s="26" t="str">
        <f t="shared" si="29"/>
        <v>Apartment A2  Other Appliances Standard (N)</v>
      </c>
      <c r="D161" s="26" t="str">
        <f>Commodities!$D$341</f>
        <v>RSDELC</v>
      </c>
      <c r="E161" s="26" t="str">
        <f>Commodities!$AD$82</f>
        <v>RSD_APA2_AP</v>
      </c>
      <c r="F161" s="84">
        <f t="shared" si="30"/>
        <v>2018</v>
      </c>
      <c r="G161" s="57">
        <f>BASE_YEAR+1</f>
        <v>2018</v>
      </c>
      <c r="H161" s="72"/>
      <c r="I161" s="57"/>
      <c r="J161" s="106">
        <f>0.2*(1/0.9)</f>
        <v>0.22222222222222224</v>
      </c>
      <c r="K161" s="57"/>
      <c r="L161" s="57"/>
      <c r="M161" s="72">
        <v>10</v>
      </c>
      <c r="N161" s="72"/>
    </row>
    <row r="162" spans="2:14" ht="16.5" customHeight="1" x14ac:dyDescent="0.25">
      <c r="B162" s="26" t="str">
        <f t="shared" si="28"/>
        <v>RSD_APA2_AP_N_IM</v>
      </c>
      <c r="C162" s="26" t="str">
        <f t="shared" si="29"/>
        <v>Apartment A2  Other Appliances Improved (N)</v>
      </c>
      <c r="D162" s="26" t="str">
        <f>Commodities!$D$341</f>
        <v>RSDELC</v>
      </c>
      <c r="E162" s="26" t="str">
        <f>E161</f>
        <v>RSD_APA2_AP</v>
      </c>
      <c r="F162" s="84">
        <f t="shared" si="30"/>
        <v>2025</v>
      </c>
      <c r="G162" s="57">
        <v>2025</v>
      </c>
      <c r="H162" s="72"/>
      <c r="I162" s="57"/>
      <c r="J162" s="106">
        <f>(J161*1.2)*(1/0.9)</f>
        <v>0.29629629629629628</v>
      </c>
      <c r="K162" s="57"/>
      <c r="L162" s="57"/>
      <c r="M162" s="72">
        <v>10</v>
      </c>
      <c r="N162" s="72"/>
    </row>
    <row r="163" spans="2:14" ht="16.5" customHeight="1" x14ac:dyDescent="0.25">
      <c r="B163" s="11" t="str">
        <f t="shared" si="28"/>
        <v>RSD_APA2_AP_N_AD</v>
      </c>
      <c r="C163" s="11" t="str">
        <f t="shared" si="29"/>
        <v>Apartment A2  Other Appliances Advanced (N)</v>
      </c>
      <c r="D163" s="11" t="str">
        <f>Commodities!$D$341</f>
        <v>RSDELC</v>
      </c>
      <c r="E163" s="11" t="str">
        <f>E162</f>
        <v>RSD_APA2_AP</v>
      </c>
      <c r="F163" s="89">
        <f t="shared" ref="F163:F169" si="31">G163</f>
        <v>2035</v>
      </c>
      <c r="G163" s="22">
        <v>2035</v>
      </c>
      <c r="H163" s="73"/>
      <c r="I163" s="22"/>
      <c r="J163" s="107">
        <f>(J162*1.3)*(1/0.9)</f>
        <v>0.4279835390946502</v>
      </c>
      <c r="K163" s="22"/>
      <c r="L163" s="22"/>
      <c r="M163" s="73">
        <v>10</v>
      </c>
      <c r="N163" s="73"/>
    </row>
    <row r="164" spans="2:14" ht="16.5" customHeight="1" x14ac:dyDescent="0.25">
      <c r="B164" s="26" t="str">
        <f t="shared" si="28"/>
        <v>RSD_DTA3_AP_N_ST</v>
      </c>
      <c r="C164" s="26" t="str">
        <f t="shared" si="29"/>
        <v>Detached A3 Other Appliances Standard (N)</v>
      </c>
      <c r="D164" s="26" t="str">
        <f>Commodities!$D$341</f>
        <v>RSDELC</v>
      </c>
      <c r="E164" s="26" t="str">
        <f>Commodities!$AD$83</f>
        <v>RSD_DTA3_AP</v>
      </c>
      <c r="F164" s="84">
        <f t="shared" si="31"/>
        <v>2018</v>
      </c>
      <c r="G164" s="57">
        <f>BASE_YEAR+1</f>
        <v>2018</v>
      </c>
      <c r="H164" s="72"/>
      <c r="I164" s="57"/>
      <c r="J164" s="106">
        <f>0.2*(1/0.9)</f>
        <v>0.22222222222222224</v>
      </c>
      <c r="K164" s="57"/>
      <c r="L164" s="57"/>
      <c r="M164" s="72">
        <v>10</v>
      </c>
      <c r="N164" s="72"/>
    </row>
    <row r="165" spans="2:14" ht="16.5" customHeight="1" x14ac:dyDescent="0.25">
      <c r="B165" s="26" t="str">
        <f t="shared" si="28"/>
        <v>RSD_DTA3_AP_N_IM</v>
      </c>
      <c r="C165" s="26" t="str">
        <f t="shared" si="29"/>
        <v>Detached A3 Other Appliances Improved (N)</v>
      </c>
      <c r="D165" s="26" t="str">
        <f>Commodities!$D$341</f>
        <v>RSDELC</v>
      </c>
      <c r="E165" s="26" t="str">
        <f>E164</f>
        <v>RSD_DTA3_AP</v>
      </c>
      <c r="F165" s="84">
        <f t="shared" si="31"/>
        <v>2025</v>
      </c>
      <c r="G165" s="57">
        <v>2025</v>
      </c>
      <c r="H165" s="72"/>
      <c r="I165" s="57"/>
      <c r="J165" s="106">
        <f>(J164*1.2)*(1/0.9)</f>
        <v>0.29629629629629628</v>
      </c>
      <c r="K165" s="57"/>
      <c r="L165" s="57"/>
      <c r="M165" s="72">
        <v>10</v>
      </c>
      <c r="N165" s="72"/>
    </row>
    <row r="166" spans="2:14" ht="16.5" customHeight="1" x14ac:dyDescent="0.25">
      <c r="B166" s="11" t="str">
        <f t="shared" si="28"/>
        <v>RSD_DTA3_AP_N_AD</v>
      </c>
      <c r="C166" s="11" t="str">
        <f t="shared" si="29"/>
        <v>Detached A3 Other Appliances Advanced (N)</v>
      </c>
      <c r="D166" s="11" t="str">
        <f>Commodities!$D$341</f>
        <v>RSDELC</v>
      </c>
      <c r="E166" s="11" t="str">
        <f>E165</f>
        <v>RSD_DTA3_AP</v>
      </c>
      <c r="F166" s="89">
        <f t="shared" si="31"/>
        <v>2035</v>
      </c>
      <c r="G166" s="22">
        <v>2035</v>
      </c>
      <c r="H166" s="73"/>
      <c r="I166" s="22"/>
      <c r="J166" s="107">
        <f>(J165*1.3)*(1/0.9)</f>
        <v>0.4279835390946502</v>
      </c>
      <c r="K166" s="22"/>
      <c r="L166" s="22"/>
      <c r="M166" s="73">
        <v>10</v>
      </c>
      <c r="N166" s="73"/>
    </row>
    <row r="167" spans="2:14" ht="16.5" customHeight="1" x14ac:dyDescent="0.25">
      <c r="B167" s="26" t="str">
        <f t="shared" si="28"/>
        <v>RSD_APA3_AP_N_ST</v>
      </c>
      <c r="C167" s="26" t="str">
        <f t="shared" si="29"/>
        <v>Apartment A3 Other Appliances Standard (N)</v>
      </c>
      <c r="D167" s="26" t="str">
        <f>Commodities!$D$341</f>
        <v>RSDELC</v>
      </c>
      <c r="E167" s="26" t="str">
        <f>Commodities!$AD$84</f>
        <v>RSD_APA3_AP</v>
      </c>
      <c r="F167" s="84">
        <f t="shared" si="31"/>
        <v>2018</v>
      </c>
      <c r="G167" s="57">
        <f>BASE_YEAR+1</f>
        <v>2018</v>
      </c>
      <c r="H167" s="72"/>
      <c r="I167" s="57"/>
      <c r="J167" s="106">
        <f>0.2*(1/0.9)</f>
        <v>0.22222222222222224</v>
      </c>
      <c r="K167" s="57"/>
      <c r="L167" s="57"/>
      <c r="M167" s="72">
        <v>10</v>
      </c>
      <c r="N167" s="72"/>
    </row>
    <row r="168" spans="2:14" ht="16.5" customHeight="1" x14ac:dyDescent="0.25">
      <c r="B168" s="26" t="str">
        <f t="shared" si="28"/>
        <v>RSD_APA3_AP_N_IM</v>
      </c>
      <c r="C168" s="26" t="str">
        <f t="shared" si="29"/>
        <v>Apartment A3 Other Appliances Improved (N)</v>
      </c>
      <c r="D168" s="26" t="str">
        <f>Commodities!$D$341</f>
        <v>RSDELC</v>
      </c>
      <c r="E168" s="26" t="str">
        <f>E167</f>
        <v>RSD_APA3_AP</v>
      </c>
      <c r="F168" s="84">
        <f t="shared" si="31"/>
        <v>2025</v>
      </c>
      <c r="G168" s="57">
        <v>2025</v>
      </c>
      <c r="H168" s="72"/>
      <c r="I168" s="57"/>
      <c r="J168" s="106">
        <f>(J167*1.2)*(1/0.9)</f>
        <v>0.29629629629629628</v>
      </c>
      <c r="K168" s="57"/>
      <c r="L168" s="57"/>
      <c r="M168" s="72">
        <v>10</v>
      </c>
      <c r="N168" s="72"/>
    </row>
    <row r="169" spans="2:14" ht="16.5" customHeight="1" x14ac:dyDescent="0.25">
      <c r="B169" s="11" t="str">
        <f t="shared" si="28"/>
        <v>RSD_APA3_AP_N_AD</v>
      </c>
      <c r="C169" s="11" t="str">
        <f t="shared" si="29"/>
        <v>Apartment A3 Other Appliances Advanced (N)</v>
      </c>
      <c r="D169" s="11" t="str">
        <f>Commodities!$D$341</f>
        <v>RSDELC</v>
      </c>
      <c r="E169" s="11" t="str">
        <f>E168</f>
        <v>RSD_APA3_AP</v>
      </c>
      <c r="F169" s="89">
        <f t="shared" si="31"/>
        <v>2035</v>
      </c>
      <c r="G169" s="22">
        <v>2035</v>
      </c>
      <c r="H169" s="73"/>
      <c r="I169" s="22"/>
      <c r="J169" s="107">
        <f>(J168*1.3)*(1/0.9)</f>
        <v>0.4279835390946502</v>
      </c>
      <c r="K169" s="22"/>
      <c r="L169" s="22"/>
      <c r="M169" s="73">
        <v>10</v>
      </c>
      <c r="N169" s="73"/>
    </row>
    <row r="170" spans="2:14" ht="16.5" customHeight="1" x14ac:dyDescent="0.25">
      <c r="B170" s="26" t="str">
        <f t="shared" ref="B170:C175" si="32">R137</f>
        <v>RSD_DTA4_AP_N_ST</v>
      </c>
      <c r="C170" s="26" t="str">
        <f t="shared" si="32"/>
        <v>Detached A4 Other Appliances Standard (N)</v>
      </c>
      <c r="D170" s="26" t="str">
        <f>Commodities!$D$341</f>
        <v>RSDELC</v>
      </c>
      <c r="E170" s="26" t="str">
        <f>Commodities!$AD$85</f>
        <v>RSD_DTA4_AP</v>
      </c>
      <c r="F170" s="84">
        <f t="shared" ref="F170:F175" si="33">G170</f>
        <v>2018</v>
      </c>
      <c r="G170" s="57">
        <f>BASE_YEAR+1</f>
        <v>2018</v>
      </c>
      <c r="H170" s="72"/>
      <c r="I170" s="57"/>
      <c r="J170" s="106">
        <f>0.2*(1/0.9)</f>
        <v>0.22222222222222224</v>
      </c>
      <c r="K170" s="57"/>
      <c r="L170" s="57"/>
      <c r="M170" s="72">
        <v>10</v>
      </c>
      <c r="N170" s="72"/>
    </row>
    <row r="171" spans="2:14" ht="16.5" customHeight="1" x14ac:dyDescent="0.25">
      <c r="B171" s="26" t="str">
        <f t="shared" si="32"/>
        <v>RSD_DTA4_AP_N_IM</v>
      </c>
      <c r="C171" s="26" t="str">
        <f t="shared" si="32"/>
        <v>Detached A4 Other Appliances Improved (N)</v>
      </c>
      <c r="D171" s="26" t="str">
        <f>Commodities!$D$341</f>
        <v>RSDELC</v>
      </c>
      <c r="E171" s="26" t="str">
        <f>E170</f>
        <v>RSD_DTA4_AP</v>
      </c>
      <c r="F171" s="84">
        <f t="shared" si="33"/>
        <v>2025</v>
      </c>
      <c r="G171" s="57">
        <v>2025</v>
      </c>
      <c r="H171" s="72"/>
      <c r="I171" s="57"/>
      <c r="J171" s="106">
        <f>(J170*1.2)*(1/0.9)</f>
        <v>0.29629629629629628</v>
      </c>
      <c r="K171" s="57"/>
      <c r="L171" s="57"/>
      <c r="M171" s="72">
        <v>10</v>
      </c>
      <c r="N171" s="72"/>
    </row>
    <row r="172" spans="2:14" ht="16.5" customHeight="1" x14ac:dyDescent="0.25">
      <c r="B172" s="11" t="str">
        <f t="shared" si="32"/>
        <v>RSD_DTA4_AP_N_AD</v>
      </c>
      <c r="C172" s="11" t="str">
        <f t="shared" si="32"/>
        <v>Detached A4 Other Appliances Advanced (N)</v>
      </c>
      <c r="D172" s="11" t="str">
        <f>Commodities!$D$341</f>
        <v>RSDELC</v>
      </c>
      <c r="E172" s="11" t="str">
        <f>E171</f>
        <v>RSD_DTA4_AP</v>
      </c>
      <c r="F172" s="89">
        <f t="shared" si="33"/>
        <v>2035</v>
      </c>
      <c r="G172" s="22">
        <v>2035</v>
      </c>
      <c r="H172" s="73"/>
      <c r="I172" s="22"/>
      <c r="J172" s="107">
        <f>(J171*1.3)*(1/0.9)</f>
        <v>0.4279835390946502</v>
      </c>
      <c r="K172" s="22"/>
      <c r="L172" s="22"/>
      <c r="M172" s="73">
        <v>10</v>
      </c>
      <c r="N172" s="73"/>
    </row>
    <row r="173" spans="2:14" ht="16.5" customHeight="1" x14ac:dyDescent="0.25">
      <c r="B173" s="26" t="str">
        <f t="shared" si="32"/>
        <v>RSD_APA4_AP_N_ST</v>
      </c>
      <c r="C173" s="26" t="str">
        <f t="shared" si="32"/>
        <v>Apartment A4 Other Appliances Standard (N)</v>
      </c>
      <c r="D173" s="26" t="str">
        <f>Commodities!$D$341</f>
        <v>RSDELC</v>
      </c>
      <c r="E173" s="26" t="str">
        <f>Commodities!$AD$86</f>
        <v>RSD_APA4_AP</v>
      </c>
      <c r="F173" s="84">
        <f t="shared" si="33"/>
        <v>2018</v>
      </c>
      <c r="G173" s="57">
        <f>BASE_YEAR+1</f>
        <v>2018</v>
      </c>
      <c r="H173" s="72"/>
      <c r="I173" s="57"/>
      <c r="J173" s="106">
        <f>0.2*(1/0.9)</f>
        <v>0.22222222222222224</v>
      </c>
      <c r="K173" s="57"/>
      <c r="L173" s="57"/>
      <c r="M173" s="72">
        <v>10</v>
      </c>
      <c r="N173" s="72"/>
    </row>
    <row r="174" spans="2:14" ht="16.5" customHeight="1" x14ac:dyDescent="0.25">
      <c r="B174" s="26" t="str">
        <f t="shared" si="32"/>
        <v>RSD_APA4_AP_N_IM</v>
      </c>
      <c r="C174" s="26" t="str">
        <f t="shared" si="32"/>
        <v>Apartment A4 Other Appliances Improved (N)</v>
      </c>
      <c r="D174" s="26" t="str">
        <f>Commodities!$D$341</f>
        <v>RSDELC</v>
      </c>
      <c r="E174" s="26" t="str">
        <f>E173</f>
        <v>RSD_APA4_AP</v>
      </c>
      <c r="F174" s="84">
        <f t="shared" si="33"/>
        <v>2025</v>
      </c>
      <c r="G174" s="57">
        <v>2025</v>
      </c>
      <c r="H174" s="72"/>
      <c r="I174" s="57"/>
      <c r="J174" s="106">
        <f>(J173*1.2)*(1/0.9)</f>
        <v>0.29629629629629628</v>
      </c>
      <c r="K174" s="57"/>
      <c r="L174" s="57"/>
      <c r="M174" s="72">
        <v>10</v>
      </c>
      <c r="N174" s="72"/>
    </row>
    <row r="175" spans="2:14" ht="16.5" customHeight="1" x14ac:dyDescent="0.25">
      <c r="B175" s="11" t="str">
        <f t="shared" si="32"/>
        <v>RSD_APA4_AP_N_AD</v>
      </c>
      <c r="C175" s="11" t="str">
        <f t="shared" si="32"/>
        <v>Apartment A4 Other Appliances Advanced (N)</v>
      </c>
      <c r="D175" s="11" t="str">
        <f>Commodities!$D$341</f>
        <v>RSDELC</v>
      </c>
      <c r="E175" s="11" t="str">
        <f>E174</f>
        <v>RSD_APA4_AP</v>
      </c>
      <c r="F175" s="89">
        <f t="shared" si="33"/>
        <v>2035</v>
      </c>
      <c r="G175" s="22">
        <v>2035</v>
      </c>
      <c r="H175" s="73"/>
      <c r="I175" s="22"/>
      <c r="J175" s="107">
        <f>(J174*1.3)*(1/0.9)</f>
        <v>0.4279835390946502</v>
      </c>
      <c r="K175" s="22"/>
      <c r="L175" s="22"/>
      <c r="M175" s="73">
        <v>10</v>
      </c>
      <c r="N175" s="7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AF141"/>
  <sheetViews>
    <sheetView topLeftCell="A61" zoomScale="70" zoomScaleNormal="70" workbookViewId="0">
      <selection activeCell="A61" sqref="A1:XFD1048576"/>
    </sheetView>
  </sheetViews>
  <sheetFormatPr defaultRowHeight="13.2" x14ac:dyDescent="0.25"/>
  <cols>
    <col min="1" max="1" width="8.44140625" style="60" customWidth="1"/>
    <col min="2" max="2" width="52" style="60" customWidth="1"/>
    <col min="3" max="3" width="63.33203125" style="60" customWidth="1"/>
    <col min="4" max="4" width="33.88671875" style="60" customWidth="1"/>
    <col min="5" max="5" width="25.33203125" style="60" bestFit="1" customWidth="1"/>
    <col min="6" max="6" width="26.88671875" style="60" customWidth="1"/>
    <col min="7" max="7" width="15.6640625" style="60" customWidth="1"/>
    <col min="8" max="8" width="23.109375" style="60" customWidth="1"/>
    <col min="9" max="9" width="16.5546875" style="60" customWidth="1"/>
    <col min="10" max="10" width="7.6640625" style="60" customWidth="1"/>
    <col min="11" max="11" width="20.33203125" style="60" customWidth="1"/>
    <col min="12" max="12" width="16.44140625" style="60" customWidth="1"/>
    <col min="13" max="13" width="39" style="60" customWidth="1"/>
    <col min="14" max="14" width="53.6640625" style="60" customWidth="1"/>
    <col min="15" max="15" width="22.6640625" style="60" customWidth="1"/>
    <col min="16" max="16" width="14.6640625" style="60" bestFit="1" customWidth="1"/>
    <col min="17" max="17" width="20.109375" style="60" customWidth="1"/>
    <col min="18" max="18" width="24.109375" style="60" customWidth="1"/>
    <col min="19" max="19" width="16.6640625" style="60" customWidth="1"/>
    <col min="20" max="20" width="5.33203125" style="60" customWidth="1"/>
    <col min="21" max="21" width="7" style="60" customWidth="1"/>
    <col min="22" max="22" width="14.109375" style="60" customWidth="1"/>
    <col min="23" max="23" width="37.33203125" style="60" customWidth="1"/>
    <col min="24" max="24" width="63.6640625" style="60" customWidth="1"/>
    <col min="25" max="25" width="15.88671875" style="60" bestFit="1" customWidth="1"/>
    <col min="26" max="26" width="17.44140625" style="60" bestFit="1" customWidth="1"/>
    <col min="27" max="27" width="8.88671875" style="60"/>
    <col min="28" max="28" width="22" style="60" bestFit="1" customWidth="1"/>
    <col min="29" max="29" width="17.44140625" style="60" bestFit="1" customWidth="1"/>
    <col min="30" max="16384" width="8.88671875" style="60"/>
  </cols>
  <sheetData>
    <row r="1" spans="2:32" s="10" customFormat="1" ht="17.399999999999999" x14ac:dyDescent="0.3">
      <c r="B1" s="27" t="s">
        <v>801</v>
      </c>
      <c r="C1" s="27"/>
      <c r="D1" s="27"/>
      <c r="E1" s="27"/>
      <c r="F1" s="27"/>
      <c r="G1" s="27"/>
      <c r="H1" s="26"/>
      <c r="K1" s="10" t="s">
        <v>791</v>
      </c>
    </row>
    <row r="2" spans="2:32" s="10" customFormat="1" ht="17.399999999999999" x14ac:dyDescent="0.3">
      <c r="B2" s="27" t="s">
        <v>833</v>
      </c>
      <c r="C2" s="27"/>
      <c r="D2" s="27"/>
      <c r="E2" s="27"/>
      <c r="F2" s="27"/>
      <c r="G2" s="27"/>
      <c r="H2" s="26"/>
    </row>
    <row r="3" spans="2:32" s="10" customFormat="1" ht="17.399999999999999" x14ac:dyDescent="0.3">
      <c r="B3" s="27" t="s">
        <v>834</v>
      </c>
      <c r="C3" s="27"/>
      <c r="D3" s="27"/>
      <c r="E3" s="27"/>
      <c r="F3" s="27"/>
      <c r="G3" s="27"/>
      <c r="H3" s="27"/>
      <c r="I3" s="27"/>
    </row>
    <row r="4" spans="2:32" s="10" customFormat="1" ht="13.8" x14ac:dyDescent="0.25">
      <c r="B4" s="28"/>
      <c r="D4" s="29"/>
      <c r="E4" s="29"/>
      <c r="F4" s="29"/>
      <c r="G4" s="29"/>
      <c r="H4" s="29"/>
      <c r="I4" s="29"/>
    </row>
    <row r="5" spans="2:32" s="10" customFormat="1" ht="13.8" x14ac:dyDescent="0.25">
      <c r="E5" s="30"/>
      <c r="F5" s="31" t="s">
        <v>0</v>
      </c>
      <c r="G5" s="31"/>
      <c r="H5" s="31"/>
      <c r="I5" s="32"/>
      <c r="K5" s="14" t="s">
        <v>792</v>
      </c>
      <c r="L5" s="14"/>
      <c r="M5" s="14" t="s">
        <v>793</v>
      </c>
      <c r="N5" s="14"/>
      <c r="O5" s="14"/>
      <c r="P5" s="14"/>
      <c r="Q5" s="14"/>
      <c r="R5" s="14"/>
      <c r="S5" s="14"/>
      <c r="V5" s="26"/>
      <c r="W5" s="26"/>
      <c r="X5" s="26"/>
    </row>
    <row r="6" spans="2:32" s="10" customFormat="1" ht="13.8" x14ac:dyDescent="0.25">
      <c r="B6" s="33" t="s">
        <v>1</v>
      </c>
      <c r="C6" s="33" t="s">
        <v>794</v>
      </c>
      <c r="D6" s="33" t="s">
        <v>3</v>
      </c>
      <c r="E6" s="33" t="s">
        <v>4</v>
      </c>
      <c r="F6" s="34" t="s">
        <v>803</v>
      </c>
      <c r="G6" s="35" t="s">
        <v>14</v>
      </c>
      <c r="H6" s="36" t="s">
        <v>789</v>
      </c>
      <c r="I6" s="32"/>
      <c r="K6" s="13" t="s">
        <v>17</v>
      </c>
      <c r="L6" s="13"/>
      <c r="M6" s="14"/>
      <c r="N6" s="14"/>
      <c r="O6" s="14"/>
      <c r="P6" s="14"/>
      <c r="Q6" s="14"/>
      <c r="R6" s="14"/>
      <c r="S6" s="14"/>
      <c r="V6" s="37" t="s">
        <v>829</v>
      </c>
      <c r="W6" s="38"/>
      <c r="X6" s="38"/>
      <c r="Y6" s="39"/>
      <c r="Z6" s="39"/>
      <c r="AA6" s="38"/>
      <c r="AB6" s="38"/>
      <c r="AC6" s="38"/>
      <c r="AD6" s="40"/>
    </row>
    <row r="7" spans="2:32" s="10" customFormat="1" ht="17.25" customHeight="1" thickBot="1" x14ac:dyDescent="0.3">
      <c r="B7" s="41" t="s">
        <v>795</v>
      </c>
      <c r="C7" s="41" t="s">
        <v>28</v>
      </c>
      <c r="D7" s="41" t="s">
        <v>32</v>
      </c>
      <c r="E7" s="41" t="s">
        <v>33</v>
      </c>
      <c r="F7" s="42"/>
      <c r="G7" s="43" t="s">
        <v>35</v>
      </c>
      <c r="H7" s="41" t="s">
        <v>805</v>
      </c>
      <c r="I7" s="32"/>
      <c r="K7" s="16" t="s">
        <v>15</v>
      </c>
      <c r="L7" s="16" t="s">
        <v>39</v>
      </c>
      <c r="M7" s="16" t="s">
        <v>1</v>
      </c>
      <c r="N7" s="16" t="s">
        <v>2</v>
      </c>
      <c r="O7" s="16" t="s">
        <v>18</v>
      </c>
      <c r="P7" s="16" t="s">
        <v>19</v>
      </c>
      <c r="Q7" s="16" t="s">
        <v>20</v>
      </c>
      <c r="R7" s="16" t="s">
        <v>21</v>
      </c>
      <c r="S7" s="16" t="s">
        <v>22</v>
      </c>
      <c r="V7" s="44" t="s">
        <v>7</v>
      </c>
      <c r="W7" s="44" t="s">
        <v>6</v>
      </c>
      <c r="X7" s="44" t="s">
        <v>8</v>
      </c>
      <c r="Y7" s="45" t="s">
        <v>9</v>
      </c>
      <c r="Z7" s="45" t="s">
        <v>10</v>
      </c>
      <c r="AA7" s="46" t="s">
        <v>11</v>
      </c>
      <c r="AB7" s="46" t="s">
        <v>12</v>
      </c>
      <c r="AC7" s="46" t="s">
        <v>13</v>
      </c>
      <c r="AD7" s="40"/>
    </row>
    <row r="8" spans="2:32" s="10" customFormat="1" ht="17.25" customHeight="1" thickBot="1" x14ac:dyDescent="0.3">
      <c r="B8" s="47"/>
      <c r="C8" s="48"/>
      <c r="D8" s="48"/>
      <c r="E8" s="48" t="s">
        <v>799</v>
      </c>
      <c r="F8" s="49"/>
      <c r="G8" s="48"/>
      <c r="H8" s="48" t="s">
        <v>808</v>
      </c>
      <c r="I8" s="32"/>
      <c r="K8" s="50" t="s">
        <v>796</v>
      </c>
      <c r="L8" s="50" t="s">
        <v>42</v>
      </c>
      <c r="M8" s="50" t="s">
        <v>27</v>
      </c>
      <c r="N8" s="50" t="s">
        <v>28</v>
      </c>
      <c r="O8" s="50" t="s">
        <v>29</v>
      </c>
      <c r="P8" s="50" t="s">
        <v>30</v>
      </c>
      <c r="Q8" s="50" t="s">
        <v>797</v>
      </c>
      <c r="R8" s="50" t="s">
        <v>798</v>
      </c>
      <c r="S8" s="50" t="s">
        <v>31</v>
      </c>
      <c r="T8" s="21"/>
      <c r="V8" s="51" t="s">
        <v>830</v>
      </c>
      <c r="W8" s="51" t="s">
        <v>23</v>
      </c>
      <c r="X8" s="51" t="s">
        <v>24</v>
      </c>
      <c r="Y8" s="52" t="s">
        <v>9</v>
      </c>
      <c r="Z8" s="52" t="s">
        <v>831</v>
      </c>
      <c r="AA8" s="51" t="s">
        <v>832</v>
      </c>
      <c r="AB8" s="51" t="s">
        <v>25</v>
      </c>
      <c r="AC8" s="51" t="s">
        <v>26</v>
      </c>
      <c r="AD8" s="40"/>
    </row>
    <row r="9" spans="2:32" s="10" customFormat="1" ht="13.8" x14ac:dyDescent="0.25">
      <c r="B9" s="53" t="str">
        <f t="shared" ref="B9:B12" si="0">M9</f>
        <v>RSD_DTA1_Ret11</v>
      </c>
      <c r="C9" s="53" t="str">
        <f t="shared" ref="C9:C12" si="1">N9</f>
        <v>Detached A1 Envelope Insulation Standard (N)</v>
      </c>
      <c r="D9" s="54" t="str">
        <f t="shared" ref="D9:D12" si="2">W9</f>
        <v>DumRSD_DTA1_Ret11</v>
      </c>
      <c r="E9" s="53" t="str">
        <f>Commodities!$AD$15</f>
        <v>RSD_DTA1_SH</v>
      </c>
      <c r="F9" s="55"/>
      <c r="G9" s="56">
        <f t="shared" ref="G9:G19" si="3">BASE_YEAR+1</f>
        <v>2018</v>
      </c>
      <c r="H9" s="55">
        <v>1</v>
      </c>
      <c r="I9" s="32"/>
      <c r="J9" s="26"/>
      <c r="K9" s="26" t="s">
        <v>809</v>
      </c>
      <c r="L9" s="26"/>
      <c r="M9" s="10" t="str">
        <f>Commodities!$AD$7&amp;"_Ret11"</f>
        <v>RSD_DTA1_Ret11</v>
      </c>
      <c r="N9" s="10" t="s">
        <v>1338</v>
      </c>
      <c r="O9" s="57" t="str">
        <f>General!$B$2</f>
        <v>PJ</v>
      </c>
      <c r="P9" s="57" t="str">
        <f>General!$D$24</f>
        <v>000dwellings</v>
      </c>
      <c r="Q9" s="57"/>
      <c r="R9" s="57" t="s">
        <v>845</v>
      </c>
      <c r="S9" s="26"/>
      <c r="V9" s="58" t="s">
        <v>45</v>
      </c>
      <c r="W9" s="58" t="str">
        <f>"Dum"&amp;M9</f>
        <v>DumRSD_DTA1_Ret11</v>
      </c>
      <c r="X9" s="58" t="s">
        <v>1350</v>
      </c>
      <c r="Y9" s="21" t="s">
        <v>785</v>
      </c>
      <c r="Z9" s="21"/>
      <c r="AA9" s="59"/>
      <c r="AB9" s="58"/>
      <c r="AC9" s="58"/>
      <c r="AD9" s="59"/>
    </row>
    <row r="10" spans="2:32" ht="13.8" x14ac:dyDescent="0.25">
      <c r="B10" s="26" t="str">
        <f t="shared" si="0"/>
        <v>RSD_DTA1_Ret21</v>
      </c>
      <c r="C10" s="26" t="str">
        <f t="shared" si="1"/>
        <v>Detached A1 Windows Replacement  Standard (N)</v>
      </c>
      <c r="D10" s="61" t="str">
        <f t="shared" si="2"/>
        <v>DumRSD_DTA1_Ret21</v>
      </c>
      <c r="E10" s="26" t="str">
        <f>E9</f>
        <v>RSD_DTA1_SH</v>
      </c>
      <c r="F10" s="57"/>
      <c r="G10" s="62">
        <f t="shared" si="3"/>
        <v>2018</v>
      </c>
      <c r="H10" s="57">
        <v>1</v>
      </c>
      <c r="I10" s="32"/>
      <c r="J10" s="26"/>
      <c r="K10" s="26"/>
      <c r="L10" s="26"/>
      <c r="M10" s="10" t="str">
        <f>Commodities!$AD$7&amp;"_Ret21"</f>
        <v>RSD_DTA1_Ret21</v>
      </c>
      <c r="N10" s="10" t="s">
        <v>1339</v>
      </c>
      <c r="O10" s="57" t="str">
        <f>General!$B$2</f>
        <v>PJ</v>
      </c>
      <c r="P10" s="57" t="str">
        <f>General!$D$24</f>
        <v>000dwellings</v>
      </c>
      <c r="Q10" s="57"/>
      <c r="R10" s="57" t="s">
        <v>845</v>
      </c>
      <c r="S10" s="26"/>
      <c r="T10" s="10"/>
      <c r="U10" s="10"/>
      <c r="V10" s="58"/>
      <c r="W10" s="58" t="str">
        <f t="shared" ref="W10:W56" si="4">"Dum"&amp;M10</f>
        <v>DumRSD_DTA1_Ret21</v>
      </c>
      <c r="X10" s="58" t="s">
        <v>1351</v>
      </c>
      <c r="Y10" s="21" t="s">
        <v>785</v>
      </c>
      <c r="Z10" s="21"/>
      <c r="AA10" s="59"/>
      <c r="AB10" s="58"/>
      <c r="AC10" s="58"/>
      <c r="AD10" s="59"/>
      <c r="AE10" s="10"/>
      <c r="AF10" s="10"/>
    </row>
    <row r="11" spans="2:32" ht="13.8" x14ac:dyDescent="0.25">
      <c r="B11" s="26" t="str">
        <f t="shared" si="0"/>
        <v>RSD_DTA1_Ret31</v>
      </c>
      <c r="C11" s="26" t="str">
        <f t="shared" si="1"/>
        <v>Detached A1 Env. Insulation&amp;Windows repl. Standard (N)</v>
      </c>
      <c r="D11" s="61" t="str">
        <f t="shared" si="2"/>
        <v>DumRSD_DTA1_Ret31</v>
      </c>
      <c r="E11" s="26" t="str">
        <f>E10</f>
        <v>RSD_DTA1_SH</v>
      </c>
      <c r="F11" s="57"/>
      <c r="G11" s="62">
        <f t="shared" si="3"/>
        <v>2018</v>
      </c>
      <c r="H11" s="57">
        <v>1</v>
      </c>
      <c r="I11" s="32"/>
      <c r="J11" s="26"/>
      <c r="K11" s="26"/>
      <c r="L11" s="26"/>
      <c r="M11" s="10" t="str">
        <f>Commodities!$AD$7&amp;"_Ret31"</f>
        <v>RSD_DTA1_Ret31</v>
      </c>
      <c r="N11" s="10" t="s">
        <v>1340</v>
      </c>
      <c r="O11" s="57" t="str">
        <f>General!$B$2</f>
        <v>PJ</v>
      </c>
      <c r="P11" s="57" t="str">
        <f>General!$D$24</f>
        <v>000dwellings</v>
      </c>
      <c r="Q11" s="57"/>
      <c r="R11" s="57" t="s">
        <v>845</v>
      </c>
      <c r="S11" s="26"/>
      <c r="T11" s="10"/>
      <c r="U11" s="10"/>
      <c r="V11" s="58"/>
      <c r="W11" s="58" t="str">
        <f t="shared" si="4"/>
        <v>DumRSD_DTA1_Ret31</v>
      </c>
      <c r="X11" s="58" t="s">
        <v>1352</v>
      </c>
      <c r="Y11" s="21" t="s">
        <v>785</v>
      </c>
      <c r="Z11" s="21"/>
      <c r="AA11" s="59"/>
      <c r="AB11" s="58"/>
      <c r="AC11" s="58"/>
      <c r="AD11" s="59"/>
      <c r="AE11" s="10"/>
      <c r="AF11" s="10"/>
    </row>
    <row r="12" spans="2:32" ht="13.8" x14ac:dyDescent="0.25">
      <c r="B12" s="26" t="str">
        <f t="shared" si="0"/>
        <v>RSD_APA1_Ret11</v>
      </c>
      <c r="C12" s="26" t="str">
        <f t="shared" si="1"/>
        <v>Apartment A1 Envelope Insulation Standard (N)</v>
      </c>
      <c r="D12" s="61" t="str">
        <f t="shared" si="2"/>
        <v>DumRSD_APA1_Ret11</v>
      </c>
      <c r="E12" s="26" t="str">
        <f>Commodities!$AD$16</f>
        <v>RSD_APA1_SH</v>
      </c>
      <c r="F12" s="26"/>
      <c r="G12" s="62">
        <f t="shared" si="3"/>
        <v>2018</v>
      </c>
      <c r="H12" s="57">
        <v>1</v>
      </c>
      <c r="I12" s="32"/>
      <c r="J12" s="26"/>
      <c r="K12" s="26"/>
      <c r="L12" s="26"/>
      <c r="M12" s="10" t="str">
        <f>Commodities!$AD$8&amp;"_Ret11"</f>
        <v>RSD_APA1_Ret11</v>
      </c>
      <c r="N12" s="10" t="s">
        <v>1341</v>
      </c>
      <c r="O12" s="57" t="str">
        <f>General!$B$2</f>
        <v>PJ</v>
      </c>
      <c r="P12" s="57" t="str">
        <f>General!$D$24</f>
        <v>000dwellings</v>
      </c>
      <c r="Q12" s="57"/>
      <c r="R12" s="57" t="s">
        <v>845</v>
      </c>
      <c r="S12" s="26"/>
      <c r="T12" s="10"/>
      <c r="U12" s="10"/>
      <c r="V12" s="58"/>
      <c r="W12" s="58" t="str">
        <f t="shared" si="4"/>
        <v>DumRSD_APA1_Ret11</v>
      </c>
      <c r="X12" s="58" t="s">
        <v>1353</v>
      </c>
      <c r="Y12" s="21" t="s">
        <v>785</v>
      </c>
      <c r="Z12" s="21"/>
      <c r="AA12" s="59"/>
      <c r="AB12" s="58"/>
      <c r="AC12" s="58"/>
      <c r="AD12" s="59"/>
      <c r="AE12" s="10"/>
      <c r="AF12" s="10"/>
    </row>
    <row r="13" spans="2:32" ht="13.8" x14ac:dyDescent="0.25">
      <c r="B13" s="26" t="str">
        <f t="shared" ref="B13:B16" si="5">M13</f>
        <v>RSD_APA1_Ret21</v>
      </c>
      <c r="C13" s="26" t="str">
        <f t="shared" ref="C13:C16" si="6">N13</f>
        <v>Apartment A1 Windows Replacement  Standard (N)</v>
      </c>
      <c r="D13" s="61" t="str">
        <f t="shared" ref="D13:D16" si="7">W13</f>
        <v>DumRSD_APA1_Ret21</v>
      </c>
      <c r="E13" s="26" t="str">
        <f>E12</f>
        <v>RSD_APA1_SH</v>
      </c>
      <c r="F13" s="26"/>
      <c r="G13" s="62">
        <f t="shared" si="3"/>
        <v>2018</v>
      </c>
      <c r="H13" s="57">
        <v>1</v>
      </c>
      <c r="I13" s="32"/>
      <c r="J13" s="26"/>
      <c r="K13" s="26"/>
      <c r="L13" s="26"/>
      <c r="M13" s="10" t="str">
        <f>Commodities!$AD$8&amp;"_Ret21"</f>
        <v>RSD_APA1_Ret21</v>
      </c>
      <c r="N13" s="10" t="s">
        <v>1342</v>
      </c>
      <c r="O13" s="57" t="str">
        <f>General!$B$2</f>
        <v>PJ</v>
      </c>
      <c r="P13" s="57" t="str">
        <f>General!$D$24</f>
        <v>000dwellings</v>
      </c>
      <c r="Q13" s="57"/>
      <c r="R13" s="57" t="s">
        <v>845</v>
      </c>
      <c r="S13" s="26"/>
      <c r="T13" s="10"/>
      <c r="U13" s="10"/>
      <c r="V13" s="58"/>
      <c r="W13" s="58" t="str">
        <f t="shared" si="4"/>
        <v>DumRSD_APA1_Ret21</v>
      </c>
      <c r="X13" s="58" t="s">
        <v>1354</v>
      </c>
      <c r="Y13" s="21" t="s">
        <v>785</v>
      </c>
      <c r="Z13" s="21"/>
      <c r="AA13" s="59"/>
      <c r="AB13" s="58"/>
      <c r="AC13" s="58"/>
      <c r="AD13" s="59"/>
      <c r="AE13" s="10"/>
      <c r="AF13" s="10"/>
    </row>
    <row r="14" spans="2:32" ht="13.8" x14ac:dyDescent="0.25">
      <c r="B14" s="26" t="str">
        <f t="shared" si="5"/>
        <v>RSD_APA1_Ret31</v>
      </c>
      <c r="C14" s="26" t="str">
        <f t="shared" si="6"/>
        <v>Apartment A1 Env. Insulation&amp;Windows repl. Standard (N)</v>
      </c>
      <c r="D14" s="61" t="str">
        <f t="shared" si="7"/>
        <v>DumRSD_APA1_Ret31</v>
      </c>
      <c r="E14" s="26" t="str">
        <f>E13</f>
        <v>RSD_APA1_SH</v>
      </c>
      <c r="F14" s="26"/>
      <c r="G14" s="62">
        <f t="shared" si="3"/>
        <v>2018</v>
      </c>
      <c r="H14" s="57">
        <v>1</v>
      </c>
      <c r="I14" s="32"/>
      <c r="J14" s="26"/>
      <c r="K14" s="26"/>
      <c r="L14" s="26"/>
      <c r="M14" s="10" t="str">
        <f>Commodities!$AD$8&amp;"_Ret31"</f>
        <v>RSD_APA1_Ret31</v>
      </c>
      <c r="N14" s="10" t="s">
        <v>1343</v>
      </c>
      <c r="O14" s="57" t="str">
        <f>General!$B$2</f>
        <v>PJ</v>
      </c>
      <c r="P14" s="57" t="str">
        <f>General!$D$24</f>
        <v>000dwellings</v>
      </c>
      <c r="Q14" s="57"/>
      <c r="R14" s="57" t="s">
        <v>845</v>
      </c>
      <c r="S14" s="26"/>
      <c r="T14" s="10"/>
      <c r="U14" s="10"/>
      <c r="V14" s="58"/>
      <c r="W14" s="58" t="str">
        <f t="shared" si="4"/>
        <v>DumRSD_APA1_Ret31</v>
      </c>
      <c r="X14" s="58" t="s">
        <v>1355</v>
      </c>
      <c r="Y14" s="21" t="s">
        <v>785</v>
      </c>
      <c r="Z14" s="21"/>
      <c r="AA14" s="59"/>
      <c r="AB14" s="58"/>
      <c r="AC14" s="58"/>
      <c r="AD14" s="59"/>
      <c r="AE14" s="10"/>
      <c r="AF14" s="10"/>
    </row>
    <row r="15" spans="2:32" ht="13.8" x14ac:dyDescent="0.25">
      <c r="B15" s="26" t="str">
        <f t="shared" si="5"/>
        <v>RSD_DTA2_Ret11</v>
      </c>
      <c r="C15" s="26" t="str">
        <f t="shared" si="6"/>
        <v>Detached A2  Envelope Insulation Standard (N)</v>
      </c>
      <c r="D15" s="61" t="str">
        <f t="shared" si="7"/>
        <v>DumRSD_DTA2_Ret11</v>
      </c>
      <c r="E15" s="26" t="str">
        <f>Commodities!$AD$17</f>
        <v>RSD_DTA2_SH</v>
      </c>
      <c r="F15" s="26"/>
      <c r="G15" s="62">
        <f t="shared" si="3"/>
        <v>2018</v>
      </c>
      <c r="H15" s="57">
        <v>1</v>
      </c>
      <c r="I15" s="32"/>
      <c r="J15" s="26"/>
      <c r="K15" s="26"/>
      <c r="L15" s="26"/>
      <c r="M15" s="10" t="str">
        <f>Commodities!$AD$9&amp;"_Ret11"</f>
        <v>RSD_DTA2_Ret11</v>
      </c>
      <c r="N15" s="10" t="s">
        <v>1362</v>
      </c>
      <c r="O15" s="57" t="str">
        <f>General!$B$2</f>
        <v>PJ</v>
      </c>
      <c r="P15" s="57" t="str">
        <f>General!$D$24</f>
        <v>000dwellings</v>
      </c>
      <c r="Q15" s="57"/>
      <c r="R15" s="57" t="s">
        <v>845</v>
      </c>
      <c r="S15" s="26"/>
      <c r="T15" s="10"/>
      <c r="U15" s="10"/>
      <c r="V15" s="58"/>
      <c r="W15" s="58" t="str">
        <f t="shared" si="4"/>
        <v>DumRSD_DTA2_Ret11</v>
      </c>
      <c r="X15" s="58" t="s">
        <v>1374</v>
      </c>
      <c r="Y15" s="21" t="s">
        <v>785</v>
      </c>
      <c r="Z15" s="21"/>
      <c r="AA15" s="59"/>
      <c r="AB15" s="58"/>
      <c r="AC15" s="58"/>
      <c r="AD15" s="59"/>
      <c r="AE15" s="10"/>
      <c r="AF15" s="10"/>
    </row>
    <row r="16" spans="2:32" ht="13.8" x14ac:dyDescent="0.25">
      <c r="B16" s="26" t="str">
        <f t="shared" si="5"/>
        <v>RSD_DTA2_Ret21</v>
      </c>
      <c r="C16" s="26" t="str">
        <f t="shared" si="6"/>
        <v>Detached A2 Windows Replacement Standard (N)</v>
      </c>
      <c r="D16" s="61" t="str">
        <f t="shared" si="7"/>
        <v>DumRSD_DTA2_Ret21</v>
      </c>
      <c r="E16" s="26" t="str">
        <f>E15</f>
        <v>RSD_DTA2_SH</v>
      </c>
      <c r="F16" s="26"/>
      <c r="G16" s="62">
        <f t="shared" si="3"/>
        <v>2018</v>
      </c>
      <c r="H16" s="57">
        <v>1</v>
      </c>
      <c r="I16" s="32"/>
      <c r="J16" s="26"/>
      <c r="K16" s="26"/>
      <c r="L16" s="26"/>
      <c r="M16" s="10" t="str">
        <f>Commodities!$AD$9&amp;"_Ret21"</f>
        <v>RSD_DTA2_Ret21</v>
      </c>
      <c r="N16" s="10" t="s">
        <v>1363</v>
      </c>
      <c r="O16" s="57" t="str">
        <f>General!$B$2</f>
        <v>PJ</v>
      </c>
      <c r="P16" s="57" t="str">
        <f>General!$D$24</f>
        <v>000dwellings</v>
      </c>
      <c r="Q16" s="57"/>
      <c r="R16" s="57" t="s">
        <v>845</v>
      </c>
      <c r="S16" s="26"/>
      <c r="T16" s="10"/>
      <c r="U16" s="10"/>
      <c r="V16" s="58"/>
      <c r="W16" s="58" t="str">
        <f t="shared" si="4"/>
        <v>DumRSD_DTA2_Ret21</v>
      </c>
      <c r="X16" s="58" t="s">
        <v>1375</v>
      </c>
      <c r="Y16" s="21" t="s">
        <v>785</v>
      </c>
      <c r="Z16" s="21"/>
      <c r="AA16" s="59"/>
      <c r="AB16" s="58"/>
      <c r="AC16" s="58"/>
      <c r="AD16" s="59"/>
      <c r="AE16" s="10"/>
      <c r="AF16" s="10"/>
    </row>
    <row r="17" spans="2:30" ht="13.8" x14ac:dyDescent="0.25">
      <c r="B17" s="26" t="str">
        <f t="shared" ref="B17:B24" si="8">M17</f>
        <v>RSD_DTA2_Ret31</v>
      </c>
      <c r="C17" s="26" t="str">
        <f t="shared" ref="C17:C24" si="9">N17</f>
        <v>Detached A2 Env. Insulation&amp;Windows repl. Standard (N)</v>
      </c>
      <c r="D17" s="61" t="str">
        <f t="shared" ref="D17:D24" si="10">W17</f>
        <v>DumRSD_DTA2_Ret31</v>
      </c>
      <c r="E17" s="26" t="str">
        <f>E16</f>
        <v>RSD_DTA2_SH</v>
      </c>
      <c r="F17" s="26"/>
      <c r="G17" s="62">
        <f t="shared" si="3"/>
        <v>2018</v>
      </c>
      <c r="H17" s="57">
        <v>1</v>
      </c>
      <c r="I17" s="57"/>
      <c r="J17" s="26"/>
      <c r="K17" s="26"/>
      <c r="L17" s="26"/>
      <c r="M17" s="10" t="str">
        <f>Commodities!$AD$9&amp;"_Ret31"</f>
        <v>RSD_DTA2_Ret31</v>
      </c>
      <c r="N17" s="10" t="s">
        <v>1364</v>
      </c>
      <c r="O17" s="57" t="str">
        <f>General!$B$2</f>
        <v>PJ</v>
      </c>
      <c r="P17" s="57" t="str">
        <f>General!$D$24</f>
        <v>000dwellings</v>
      </c>
      <c r="Q17" s="57"/>
      <c r="R17" s="57" t="s">
        <v>845</v>
      </c>
      <c r="S17" s="26"/>
      <c r="T17" s="10"/>
      <c r="U17" s="10"/>
      <c r="V17" s="58"/>
      <c r="W17" s="58" t="str">
        <f t="shared" si="4"/>
        <v>DumRSD_DTA2_Ret31</v>
      </c>
      <c r="X17" s="58" t="s">
        <v>1376</v>
      </c>
      <c r="Y17" s="21" t="s">
        <v>785</v>
      </c>
      <c r="Z17" s="21"/>
      <c r="AA17" s="59"/>
      <c r="AB17" s="58"/>
      <c r="AC17" s="58"/>
      <c r="AD17" s="59"/>
    </row>
    <row r="18" spans="2:30" ht="13.8" x14ac:dyDescent="0.25">
      <c r="B18" s="26" t="str">
        <f t="shared" si="8"/>
        <v>RSD_APA2_Ret11</v>
      </c>
      <c r="C18" s="26" t="str">
        <f t="shared" si="9"/>
        <v>Apartment A2 Envelope Insulation Standard (N)</v>
      </c>
      <c r="D18" s="61" t="str">
        <f t="shared" si="10"/>
        <v>DumRSD_APA2_Ret11</v>
      </c>
      <c r="E18" s="26" t="str">
        <f>Commodities!$AD$18</f>
        <v>RSD_APA2_SH</v>
      </c>
      <c r="F18" s="26"/>
      <c r="G18" s="62">
        <f t="shared" si="3"/>
        <v>2018</v>
      </c>
      <c r="H18" s="57">
        <v>1</v>
      </c>
      <c r="I18" s="57"/>
      <c r="J18" s="26"/>
      <c r="K18" s="26"/>
      <c r="L18" s="26"/>
      <c r="M18" s="10" t="str">
        <f>Commodities!$AD$10&amp;"_Ret11"</f>
        <v>RSD_APA2_Ret11</v>
      </c>
      <c r="N18" s="10" t="s">
        <v>1365</v>
      </c>
      <c r="O18" s="57" t="str">
        <f>General!$B$2</f>
        <v>PJ</v>
      </c>
      <c r="P18" s="57" t="str">
        <f>General!$D$24</f>
        <v>000dwellings</v>
      </c>
      <c r="Q18" s="57"/>
      <c r="R18" s="57" t="s">
        <v>845</v>
      </c>
      <c r="S18" s="26"/>
      <c r="T18" s="10"/>
      <c r="U18" s="10"/>
      <c r="V18" s="58"/>
      <c r="W18" s="58" t="str">
        <f t="shared" si="4"/>
        <v>DumRSD_APA2_Ret11</v>
      </c>
      <c r="X18" s="58" t="s">
        <v>1377</v>
      </c>
      <c r="Y18" s="21" t="s">
        <v>785</v>
      </c>
      <c r="Z18" s="21"/>
      <c r="AA18" s="59"/>
      <c r="AB18" s="58"/>
      <c r="AC18" s="58"/>
      <c r="AD18" s="59"/>
    </row>
    <row r="19" spans="2:30" ht="13.8" x14ac:dyDescent="0.25">
      <c r="B19" s="26" t="str">
        <f t="shared" si="8"/>
        <v>RSD_APA2_Ret21</v>
      </c>
      <c r="C19" s="26" t="str">
        <f t="shared" si="9"/>
        <v>Apartment A2 Windows Replacement Standard (N)</v>
      </c>
      <c r="D19" s="61" t="str">
        <f t="shared" si="10"/>
        <v>DumRSD_APA2_Ret21</v>
      </c>
      <c r="E19" s="26" t="str">
        <f>E18</f>
        <v>RSD_APA2_SH</v>
      </c>
      <c r="F19" s="26"/>
      <c r="G19" s="62">
        <f t="shared" si="3"/>
        <v>2018</v>
      </c>
      <c r="H19" s="57">
        <v>1</v>
      </c>
      <c r="I19" s="57"/>
      <c r="J19" s="26"/>
      <c r="K19" s="26"/>
      <c r="L19" s="26"/>
      <c r="M19" s="10" t="str">
        <f>Commodities!$AD$10&amp;"_Ret21"</f>
        <v>RSD_APA2_Ret21</v>
      </c>
      <c r="N19" s="10" t="s">
        <v>1366</v>
      </c>
      <c r="O19" s="57" t="str">
        <f>General!$B$2</f>
        <v>PJ</v>
      </c>
      <c r="P19" s="57" t="str">
        <f>General!$D$24</f>
        <v>000dwellings</v>
      </c>
      <c r="Q19" s="57"/>
      <c r="R19" s="57" t="s">
        <v>845</v>
      </c>
      <c r="S19" s="26"/>
      <c r="T19" s="10"/>
      <c r="U19" s="10"/>
      <c r="V19" s="58"/>
      <c r="W19" s="58" t="str">
        <f t="shared" si="4"/>
        <v>DumRSD_APA2_Ret21</v>
      </c>
      <c r="X19" s="58" t="s">
        <v>1378</v>
      </c>
      <c r="Y19" s="21" t="s">
        <v>785</v>
      </c>
      <c r="Z19" s="21"/>
      <c r="AA19" s="59"/>
      <c r="AB19" s="58"/>
      <c r="AC19" s="58"/>
      <c r="AD19" s="59"/>
    </row>
    <row r="20" spans="2:30" ht="13.8" x14ac:dyDescent="0.25">
      <c r="B20" s="26" t="str">
        <f t="shared" si="8"/>
        <v>RSD_APA2_Ret31</v>
      </c>
      <c r="C20" s="26" t="str">
        <f t="shared" si="9"/>
        <v>Apartment A2 Env. Insulation&amp;Windows repl. Standard (N)</v>
      </c>
      <c r="D20" s="61" t="str">
        <f t="shared" si="10"/>
        <v>DumRSD_APA2_Ret31</v>
      </c>
      <c r="E20" s="26" t="str">
        <f>E19</f>
        <v>RSD_APA2_SH</v>
      </c>
      <c r="F20" s="26"/>
      <c r="G20" s="62">
        <f t="shared" ref="G20:G56" si="11">BASE_YEAR+1</f>
        <v>2018</v>
      </c>
      <c r="H20" s="57">
        <v>1</v>
      </c>
      <c r="I20" s="57"/>
      <c r="J20" s="26"/>
      <c r="K20" s="26"/>
      <c r="L20" s="26"/>
      <c r="M20" s="10" t="str">
        <f>Commodities!$AD$10&amp;"_Ret31"</f>
        <v>RSD_APA2_Ret31</v>
      </c>
      <c r="N20" s="10" t="s">
        <v>1367</v>
      </c>
      <c r="O20" s="57" t="str">
        <f>General!$B$2</f>
        <v>PJ</v>
      </c>
      <c r="P20" s="57" t="str">
        <f>General!$D$24</f>
        <v>000dwellings</v>
      </c>
      <c r="Q20" s="57"/>
      <c r="R20" s="57" t="s">
        <v>845</v>
      </c>
      <c r="S20" s="26"/>
      <c r="T20" s="10"/>
      <c r="U20" s="10"/>
      <c r="V20" s="58"/>
      <c r="W20" s="58" t="str">
        <f t="shared" si="4"/>
        <v>DumRSD_APA2_Ret31</v>
      </c>
      <c r="X20" s="58" t="s">
        <v>1379</v>
      </c>
      <c r="Y20" s="21" t="s">
        <v>785</v>
      </c>
      <c r="Z20" s="21"/>
      <c r="AA20" s="59"/>
      <c r="AB20" s="58"/>
      <c r="AC20" s="58"/>
      <c r="AD20" s="59"/>
    </row>
    <row r="21" spans="2:30" ht="13.8" x14ac:dyDescent="0.25">
      <c r="B21" s="26" t="str">
        <f t="shared" si="8"/>
        <v>RSD_DTA3_Ret11</v>
      </c>
      <c r="C21" s="26" t="str">
        <f t="shared" si="9"/>
        <v>Detached A3 Envelope Insulation Standard (N)</v>
      </c>
      <c r="D21" s="61" t="str">
        <f t="shared" si="10"/>
        <v>DumRSD_DTA3_Ret11</v>
      </c>
      <c r="E21" s="26" t="str">
        <f>Commodities!$AD$19</f>
        <v>RSD_DTA3_SH</v>
      </c>
      <c r="F21" s="26"/>
      <c r="G21" s="62">
        <f t="shared" si="11"/>
        <v>2018</v>
      </c>
      <c r="H21" s="57">
        <v>1</v>
      </c>
      <c r="I21" s="57"/>
      <c r="J21" s="26"/>
      <c r="K21" s="26"/>
      <c r="L21" s="26"/>
      <c r="M21" s="10" t="str">
        <f>Commodities!$AD$11&amp;"_Ret11"</f>
        <v>RSD_DTA3_Ret11</v>
      </c>
      <c r="N21" s="10" t="s">
        <v>1386</v>
      </c>
      <c r="O21" s="57" t="str">
        <f>General!$B$2</f>
        <v>PJ</v>
      </c>
      <c r="P21" s="57" t="str">
        <f>General!$D$24</f>
        <v>000dwellings</v>
      </c>
      <c r="Q21" s="57"/>
      <c r="R21" s="57" t="s">
        <v>845</v>
      </c>
      <c r="S21" s="26"/>
      <c r="T21" s="10"/>
      <c r="U21" s="10"/>
      <c r="V21" s="58"/>
      <c r="W21" s="58" t="str">
        <f t="shared" si="4"/>
        <v>DumRSD_DTA3_Ret11</v>
      </c>
      <c r="X21" s="58" t="s">
        <v>1396</v>
      </c>
      <c r="Y21" s="21" t="s">
        <v>785</v>
      </c>
      <c r="Z21" s="21"/>
      <c r="AA21" s="59"/>
      <c r="AB21" s="58"/>
      <c r="AC21" s="58"/>
      <c r="AD21" s="59"/>
    </row>
    <row r="22" spans="2:30" ht="13.8" x14ac:dyDescent="0.25">
      <c r="B22" s="26" t="str">
        <f t="shared" si="8"/>
        <v>RSD_DTA3_Ret21</v>
      </c>
      <c r="C22" s="26" t="str">
        <f t="shared" si="9"/>
        <v>Detached A3 Windows Replacement Standard (N)</v>
      </c>
      <c r="D22" s="61" t="str">
        <f t="shared" si="10"/>
        <v>DumRSD_DTA3_Ret21</v>
      </c>
      <c r="E22" s="26" t="str">
        <f>E21</f>
        <v>RSD_DTA3_SH</v>
      </c>
      <c r="F22" s="26"/>
      <c r="G22" s="62">
        <f t="shared" si="11"/>
        <v>2018</v>
      </c>
      <c r="H22" s="57">
        <v>1</v>
      </c>
      <c r="I22" s="57"/>
      <c r="J22" s="26"/>
      <c r="K22" s="26"/>
      <c r="L22" s="26"/>
      <c r="M22" s="10" t="str">
        <f>Commodities!$AD$11&amp;"_Ret21"</f>
        <v>RSD_DTA3_Ret21</v>
      </c>
      <c r="N22" s="10" t="s">
        <v>1387</v>
      </c>
      <c r="O22" s="57" t="str">
        <f>General!$B$2</f>
        <v>PJ</v>
      </c>
      <c r="P22" s="57" t="str">
        <f>General!$D$24</f>
        <v>000dwellings</v>
      </c>
      <c r="Q22" s="57"/>
      <c r="R22" s="57" t="s">
        <v>845</v>
      </c>
      <c r="S22" s="26"/>
      <c r="T22" s="10"/>
      <c r="U22" s="10"/>
      <c r="V22" s="58"/>
      <c r="W22" s="58" t="str">
        <f t="shared" si="4"/>
        <v>DumRSD_DTA3_Ret21</v>
      </c>
      <c r="X22" s="58" t="s">
        <v>1397</v>
      </c>
      <c r="Y22" s="21" t="s">
        <v>785</v>
      </c>
      <c r="Z22" s="21"/>
      <c r="AA22" s="59"/>
      <c r="AB22" s="58"/>
      <c r="AC22" s="58"/>
      <c r="AD22" s="59"/>
    </row>
    <row r="23" spans="2:30" ht="13.8" x14ac:dyDescent="0.25">
      <c r="B23" s="26" t="str">
        <f t="shared" si="8"/>
        <v>RSD_DTA3_Ret31</v>
      </c>
      <c r="C23" s="26" t="str">
        <f t="shared" si="9"/>
        <v>Detached A3 Windows Replacement Standard (N)</v>
      </c>
      <c r="D23" s="61" t="str">
        <f t="shared" si="10"/>
        <v>DumRSD_DTA3_Ret31</v>
      </c>
      <c r="E23" s="26" t="str">
        <f>E22</f>
        <v>RSD_DTA3_SH</v>
      </c>
      <c r="F23" s="26"/>
      <c r="G23" s="62">
        <f t="shared" si="11"/>
        <v>2018</v>
      </c>
      <c r="H23" s="57">
        <v>1</v>
      </c>
      <c r="I23" s="57"/>
      <c r="J23" s="26"/>
      <c r="K23" s="26"/>
      <c r="L23" s="26"/>
      <c r="M23" s="10" t="str">
        <f>Commodities!$AD$11&amp;"_Ret31"</f>
        <v>RSD_DTA3_Ret31</v>
      </c>
      <c r="N23" s="10" t="s">
        <v>1387</v>
      </c>
      <c r="O23" s="57" t="str">
        <f>General!$B$2</f>
        <v>PJ</v>
      </c>
      <c r="P23" s="57" t="str">
        <f>General!$D$24</f>
        <v>000dwellings</v>
      </c>
      <c r="Q23" s="57"/>
      <c r="R23" s="57" t="s">
        <v>845</v>
      </c>
      <c r="S23" s="26"/>
      <c r="T23" s="10"/>
      <c r="U23" s="10"/>
      <c r="V23" s="58"/>
      <c r="W23" s="58" t="str">
        <f t="shared" si="4"/>
        <v>DumRSD_DTA3_Ret31</v>
      </c>
      <c r="X23" s="58" t="s">
        <v>1398</v>
      </c>
      <c r="Y23" s="21" t="s">
        <v>785</v>
      </c>
      <c r="Z23" s="21"/>
      <c r="AA23" s="59"/>
      <c r="AB23" s="58"/>
      <c r="AC23" s="58"/>
      <c r="AD23" s="59"/>
    </row>
    <row r="24" spans="2:30" ht="13.8" x14ac:dyDescent="0.25">
      <c r="B24" s="26" t="str">
        <f t="shared" si="8"/>
        <v>RSD_APA3_Ret11</v>
      </c>
      <c r="C24" s="26" t="str">
        <f t="shared" si="9"/>
        <v>Apartment A3 Envelope Insulation Standard (N)</v>
      </c>
      <c r="D24" s="61" t="str">
        <f t="shared" si="10"/>
        <v>DumRSD_APA3_Ret11</v>
      </c>
      <c r="E24" s="26" t="str">
        <f>Commodities!$AD$20</f>
        <v>RSD_APA3_SH</v>
      </c>
      <c r="F24" s="26"/>
      <c r="G24" s="62">
        <f t="shared" si="11"/>
        <v>2018</v>
      </c>
      <c r="H24" s="57">
        <v>1</v>
      </c>
      <c r="I24" s="57"/>
      <c r="J24" s="10"/>
      <c r="K24" s="26"/>
      <c r="L24" s="26"/>
      <c r="M24" s="10" t="str">
        <f>Commodities!$AD$12&amp;"_Ret11"</f>
        <v>RSD_APA3_Ret11</v>
      </c>
      <c r="N24" s="10" t="s">
        <v>1388</v>
      </c>
      <c r="O24" s="57" t="str">
        <f>General!$B$2</f>
        <v>PJ</v>
      </c>
      <c r="P24" s="57" t="str">
        <f>General!$D$24</f>
        <v>000dwellings</v>
      </c>
      <c r="Q24" s="57"/>
      <c r="R24" s="57" t="s">
        <v>845</v>
      </c>
      <c r="S24" s="26"/>
      <c r="T24" s="10"/>
      <c r="U24" s="10"/>
      <c r="V24" s="58"/>
      <c r="W24" s="58" t="str">
        <f t="shared" si="4"/>
        <v>DumRSD_APA3_Ret11</v>
      </c>
      <c r="X24" s="58" t="s">
        <v>1399</v>
      </c>
      <c r="Y24" s="21" t="s">
        <v>785</v>
      </c>
      <c r="Z24" s="21"/>
      <c r="AA24" s="59"/>
      <c r="AB24" s="58"/>
      <c r="AC24" s="58"/>
      <c r="AD24" s="59"/>
    </row>
    <row r="25" spans="2:30" ht="13.8" x14ac:dyDescent="0.25">
      <c r="B25" s="26" t="str">
        <f t="shared" ref="B25:B26" si="12">M25</f>
        <v>RSD_APA3_Ret21</v>
      </c>
      <c r="C25" s="26" t="str">
        <f t="shared" ref="C25:C26" si="13">N25</f>
        <v>Apartment A3 Windows Replacement Standard (N)</v>
      </c>
      <c r="D25" s="61" t="str">
        <f t="shared" ref="D25:D26" si="14">W25</f>
        <v>DumRSD_APA3_Ret21</v>
      </c>
      <c r="E25" s="26" t="str">
        <f>E24</f>
        <v>RSD_APA3_SH</v>
      </c>
      <c r="F25" s="26"/>
      <c r="G25" s="62">
        <f t="shared" si="11"/>
        <v>2018</v>
      </c>
      <c r="H25" s="57">
        <v>1</v>
      </c>
      <c r="I25" s="57"/>
      <c r="J25" s="10"/>
      <c r="K25" s="26"/>
      <c r="L25" s="26"/>
      <c r="M25" s="10" t="str">
        <f>Commodities!$AD$12&amp;"_Ret21"</f>
        <v>RSD_APA3_Ret21</v>
      </c>
      <c r="N25" s="10" t="s">
        <v>1389</v>
      </c>
      <c r="O25" s="57" t="str">
        <f>General!$B$2</f>
        <v>PJ</v>
      </c>
      <c r="P25" s="57" t="str">
        <f>General!$D$24</f>
        <v>000dwellings</v>
      </c>
      <c r="Q25" s="57"/>
      <c r="R25" s="57" t="s">
        <v>845</v>
      </c>
      <c r="S25" s="26"/>
      <c r="T25" s="10"/>
      <c r="U25" s="10"/>
      <c r="V25" s="58"/>
      <c r="W25" s="58" t="str">
        <f t="shared" si="4"/>
        <v>DumRSD_APA3_Ret21</v>
      </c>
      <c r="X25" s="58" t="s">
        <v>1400</v>
      </c>
      <c r="Y25" s="21" t="s">
        <v>785</v>
      </c>
      <c r="Z25" s="21"/>
      <c r="AA25" s="59"/>
      <c r="AB25" s="58"/>
      <c r="AC25" s="58"/>
      <c r="AD25" s="59"/>
    </row>
    <row r="26" spans="2:30" ht="13.8" x14ac:dyDescent="0.25">
      <c r="B26" s="26" t="str">
        <f t="shared" si="12"/>
        <v>RSD_APA3_Ret31</v>
      </c>
      <c r="C26" s="26" t="str">
        <f t="shared" si="13"/>
        <v>Apartment A3 Env. Insulation&amp;Windows repl. Standard (N)</v>
      </c>
      <c r="D26" s="61" t="str">
        <f t="shared" si="14"/>
        <v>DumRSD_APA3_Ret31</v>
      </c>
      <c r="E26" s="26" t="str">
        <f>E25</f>
        <v>RSD_APA3_SH</v>
      </c>
      <c r="F26" s="26"/>
      <c r="G26" s="62">
        <f t="shared" si="11"/>
        <v>2018</v>
      </c>
      <c r="H26" s="57">
        <v>1</v>
      </c>
      <c r="I26" s="57"/>
      <c r="J26" s="10"/>
      <c r="K26" s="26"/>
      <c r="L26" s="26"/>
      <c r="M26" s="10" t="str">
        <f>Commodities!$AD$12&amp;"_Ret31"</f>
        <v>RSD_APA3_Ret31</v>
      </c>
      <c r="N26" s="10" t="s">
        <v>1390</v>
      </c>
      <c r="O26" s="57" t="str">
        <f>General!$B$2</f>
        <v>PJ</v>
      </c>
      <c r="P26" s="57" t="str">
        <f>General!$D$24</f>
        <v>000dwellings</v>
      </c>
      <c r="Q26" s="57"/>
      <c r="R26" s="57" t="s">
        <v>845</v>
      </c>
      <c r="S26" s="26"/>
      <c r="T26" s="10"/>
      <c r="U26" s="10"/>
      <c r="V26" s="58"/>
      <c r="W26" s="58" t="str">
        <f t="shared" si="4"/>
        <v>DumRSD_APA3_Ret31</v>
      </c>
      <c r="X26" s="58" t="s">
        <v>1401</v>
      </c>
      <c r="Y26" s="21" t="s">
        <v>785</v>
      </c>
      <c r="Z26" s="21"/>
      <c r="AA26" s="59"/>
      <c r="AB26" s="58"/>
      <c r="AC26" s="58"/>
      <c r="AD26" s="59"/>
    </row>
    <row r="27" spans="2:30" ht="13.8" x14ac:dyDescent="0.25">
      <c r="B27" s="26" t="str">
        <f t="shared" ref="B27:B30" si="15">M27</f>
        <v>RSD_DTA4_Ret11</v>
      </c>
      <c r="C27" s="26" t="str">
        <f t="shared" ref="C27:C30" si="16">N27</f>
        <v>Detached A4  Envelope Insulation Standard (N)</v>
      </c>
      <c r="D27" s="61" t="str">
        <f t="shared" ref="D27:D30" si="17">W27</f>
        <v>DumRSD_DTA4_Ret11</v>
      </c>
      <c r="E27" s="26" t="str">
        <f>Commodities!$AD$21</f>
        <v>RSD_DTA4_SH</v>
      </c>
      <c r="F27" s="26"/>
      <c r="G27" s="62">
        <f t="shared" si="11"/>
        <v>2018</v>
      </c>
      <c r="H27" s="57">
        <v>1</v>
      </c>
      <c r="I27" s="57"/>
      <c r="J27" s="10"/>
      <c r="K27" s="26"/>
      <c r="L27" s="26"/>
      <c r="M27" s="10" t="str">
        <f>Commodities!$AD$13&amp;"_Ret11"</f>
        <v>RSD_DTA4_Ret11</v>
      </c>
      <c r="N27" s="10" t="s">
        <v>1408</v>
      </c>
      <c r="O27" s="57" t="str">
        <f>General!$B$2</f>
        <v>PJ</v>
      </c>
      <c r="P27" s="57" t="str">
        <f>General!$D$24</f>
        <v>000dwellings</v>
      </c>
      <c r="Q27" s="57"/>
      <c r="R27" s="57" t="s">
        <v>845</v>
      </c>
      <c r="S27" s="26"/>
      <c r="T27" s="10"/>
      <c r="U27" s="10"/>
      <c r="V27" s="58"/>
      <c r="W27" s="58" t="str">
        <f t="shared" si="4"/>
        <v>DumRSD_DTA4_Ret11</v>
      </c>
      <c r="X27" s="58" t="s">
        <v>1418</v>
      </c>
      <c r="Y27" s="21" t="s">
        <v>785</v>
      </c>
      <c r="Z27" s="21"/>
      <c r="AA27" s="59"/>
      <c r="AB27" s="58"/>
      <c r="AC27" s="58"/>
      <c r="AD27" s="59"/>
    </row>
    <row r="28" spans="2:30" ht="13.8" x14ac:dyDescent="0.25">
      <c r="B28" s="26" t="str">
        <f t="shared" si="15"/>
        <v>RSD_DTA4_Ret21</v>
      </c>
      <c r="C28" s="26" t="str">
        <f t="shared" si="16"/>
        <v>Detached A4  Windows Replacement Standard (N)</v>
      </c>
      <c r="D28" s="61" t="str">
        <f t="shared" si="17"/>
        <v>DumRSD_DTA4_Ret21</v>
      </c>
      <c r="E28" s="26" t="str">
        <f>E27</f>
        <v>RSD_DTA4_SH</v>
      </c>
      <c r="F28" s="26"/>
      <c r="G28" s="62">
        <f t="shared" si="11"/>
        <v>2018</v>
      </c>
      <c r="H28" s="57">
        <v>1</v>
      </c>
      <c r="I28" s="57"/>
      <c r="J28" s="10"/>
      <c r="K28" s="26"/>
      <c r="L28" s="26"/>
      <c r="M28" s="10" t="str">
        <f>Commodities!$AD$13&amp;"_Ret21"</f>
        <v>RSD_DTA4_Ret21</v>
      </c>
      <c r="N28" s="10" t="s">
        <v>1409</v>
      </c>
      <c r="O28" s="57" t="str">
        <f>General!$B$2</f>
        <v>PJ</v>
      </c>
      <c r="P28" s="57" t="str">
        <f>General!$D$24</f>
        <v>000dwellings</v>
      </c>
      <c r="Q28" s="57"/>
      <c r="R28" s="57" t="s">
        <v>845</v>
      </c>
      <c r="S28" s="26"/>
      <c r="T28" s="10"/>
      <c r="U28" s="10"/>
      <c r="V28" s="58"/>
      <c r="W28" s="58" t="str">
        <f t="shared" si="4"/>
        <v>DumRSD_DTA4_Ret21</v>
      </c>
      <c r="X28" s="58" t="s">
        <v>1418</v>
      </c>
      <c r="Y28" s="21" t="s">
        <v>785</v>
      </c>
      <c r="Z28" s="21"/>
      <c r="AA28" s="59"/>
      <c r="AB28" s="58"/>
      <c r="AC28" s="58"/>
      <c r="AD28" s="10"/>
    </row>
    <row r="29" spans="2:30" ht="13.8" x14ac:dyDescent="0.25">
      <c r="B29" s="26" t="str">
        <f t="shared" si="15"/>
        <v>RSD_DTA4_Ret31</v>
      </c>
      <c r="C29" s="26" t="str">
        <f t="shared" si="16"/>
        <v>Detached A4  Windows Replacement Standard (N)</v>
      </c>
      <c r="D29" s="61" t="str">
        <f t="shared" si="17"/>
        <v>DumRSD_DTA4_Ret31</v>
      </c>
      <c r="E29" s="26" t="str">
        <f>E28</f>
        <v>RSD_DTA4_SH</v>
      </c>
      <c r="F29" s="26"/>
      <c r="G29" s="62">
        <f t="shared" si="11"/>
        <v>2018</v>
      </c>
      <c r="H29" s="57">
        <v>1</v>
      </c>
      <c r="I29" s="57"/>
      <c r="J29" s="10"/>
      <c r="K29" s="26"/>
      <c r="L29" s="26"/>
      <c r="M29" s="10" t="str">
        <f>Commodities!$AD$13&amp;"_Ret31"</f>
        <v>RSD_DTA4_Ret31</v>
      </c>
      <c r="N29" s="10" t="s">
        <v>1409</v>
      </c>
      <c r="O29" s="57" t="str">
        <f>General!$B$2</f>
        <v>PJ</v>
      </c>
      <c r="P29" s="57" t="str">
        <f>General!$D$24</f>
        <v>000dwellings</v>
      </c>
      <c r="Q29" s="57"/>
      <c r="R29" s="57" t="s">
        <v>845</v>
      </c>
      <c r="S29" s="26"/>
      <c r="T29" s="10"/>
      <c r="U29" s="10"/>
      <c r="V29" s="58"/>
      <c r="W29" s="58" t="str">
        <f t="shared" si="4"/>
        <v>DumRSD_DTA4_Ret31</v>
      </c>
      <c r="X29" s="58" t="s">
        <v>1418</v>
      </c>
      <c r="Y29" s="21" t="s">
        <v>785</v>
      </c>
      <c r="Z29" s="21"/>
      <c r="AA29" s="59"/>
      <c r="AB29" s="58"/>
      <c r="AC29" s="58"/>
      <c r="AD29" s="10"/>
    </row>
    <row r="30" spans="2:30" ht="13.8" x14ac:dyDescent="0.25">
      <c r="B30" s="26" t="str">
        <f t="shared" si="15"/>
        <v>RSD_APA4_Ret11</v>
      </c>
      <c r="C30" s="26" t="str">
        <f t="shared" si="16"/>
        <v>Apartment A4 Envelope Insulation Standard (N)</v>
      </c>
      <c r="D30" s="61" t="str">
        <f t="shared" si="17"/>
        <v>DumRSD_APA4_Ret11</v>
      </c>
      <c r="E30" s="26" t="str">
        <f>Commodities!$AD$22</f>
        <v>RSD_APA4_SH</v>
      </c>
      <c r="F30" s="26"/>
      <c r="G30" s="62">
        <f t="shared" si="11"/>
        <v>2018</v>
      </c>
      <c r="H30" s="57">
        <v>1</v>
      </c>
      <c r="I30" s="32"/>
      <c r="J30" s="10"/>
      <c r="K30" s="26"/>
      <c r="L30" s="26"/>
      <c r="M30" s="10" t="str">
        <f>Commodities!$AD$14&amp;"_Ret11"</f>
        <v>RSD_APA4_Ret11</v>
      </c>
      <c r="N30" s="10" t="s">
        <v>1410</v>
      </c>
      <c r="O30" s="57" t="str">
        <f>General!$B$2</f>
        <v>PJ</v>
      </c>
      <c r="P30" s="57" t="str">
        <f>General!$D$24</f>
        <v>000dwellings</v>
      </c>
      <c r="Q30" s="57"/>
      <c r="R30" s="57" t="s">
        <v>845</v>
      </c>
      <c r="S30" s="26"/>
      <c r="T30" s="10"/>
      <c r="U30" s="10"/>
      <c r="V30" s="58"/>
      <c r="W30" s="58" t="str">
        <f t="shared" si="4"/>
        <v>DumRSD_APA4_Ret11</v>
      </c>
      <c r="X30" s="58" t="s">
        <v>1419</v>
      </c>
      <c r="Y30" s="21" t="s">
        <v>785</v>
      </c>
      <c r="Z30" s="21"/>
      <c r="AA30" s="59"/>
      <c r="AB30" s="58"/>
      <c r="AC30" s="58"/>
      <c r="AD30" s="10"/>
    </row>
    <row r="31" spans="2:30" ht="13.8" x14ac:dyDescent="0.25">
      <c r="B31" s="26" t="str">
        <f t="shared" ref="B31:B32" si="18">M31</f>
        <v>RSD_APA4_Ret21</v>
      </c>
      <c r="C31" s="26" t="str">
        <f t="shared" ref="C31:C32" si="19">N31</f>
        <v>Apartment A4 Windows Replacement Standard (N)</v>
      </c>
      <c r="D31" s="61" t="str">
        <f t="shared" ref="D31:D32" si="20">W31</f>
        <v>DumRSD_APA4_Ret21</v>
      </c>
      <c r="E31" s="26" t="str">
        <f>E30</f>
        <v>RSD_APA4_SH</v>
      </c>
      <c r="F31" s="26"/>
      <c r="G31" s="62">
        <f t="shared" si="11"/>
        <v>2018</v>
      </c>
      <c r="H31" s="57">
        <v>1</v>
      </c>
      <c r="I31" s="32"/>
      <c r="J31" s="10"/>
      <c r="K31" s="26"/>
      <c r="L31" s="26"/>
      <c r="M31" s="10" t="str">
        <f>Commodities!$AD$14&amp;"_Ret21"</f>
        <v>RSD_APA4_Ret21</v>
      </c>
      <c r="N31" s="10" t="s">
        <v>1411</v>
      </c>
      <c r="O31" s="57" t="str">
        <f>General!$B$2</f>
        <v>PJ</v>
      </c>
      <c r="P31" s="57" t="str">
        <f>General!$D$24</f>
        <v>000dwellings</v>
      </c>
      <c r="Q31" s="57"/>
      <c r="R31" s="57" t="s">
        <v>845</v>
      </c>
      <c r="S31" s="26"/>
      <c r="T31" s="10"/>
      <c r="U31" s="10"/>
      <c r="V31" s="58"/>
      <c r="W31" s="58" t="str">
        <f t="shared" si="4"/>
        <v>DumRSD_APA4_Ret21</v>
      </c>
      <c r="X31" s="58" t="s">
        <v>1419</v>
      </c>
      <c r="Y31" s="21" t="s">
        <v>785</v>
      </c>
      <c r="Z31" s="21"/>
      <c r="AA31" s="59"/>
      <c r="AB31" s="58"/>
      <c r="AC31" s="58"/>
      <c r="AD31" s="10"/>
    </row>
    <row r="32" spans="2:30" ht="13.8" x14ac:dyDescent="0.25">
      <c r="B32" s="11" t="str">
        <f t="shared" si="18"/>
        <v>RSD_APA4_Ret31</v>
      </c>
      <c r="C32" s="11" t="str">
        <f t="shared" si="19"/>
        <v>Apartment A4 Env. Insulation&amp;Windows repl. Standard (N)</v>
      </c>
      <c r="D32" s="63" t="str">
        <f t="shared" si="20"/>
        <v>DumRSD_APA4_Ret31</v>
      </c>
      <c r="E32" s="11" t="str">
        <f>E31</f>
        <v>RSD_APA4_SH</v>
      </c>
      <c r="F32" s="11"/>
      <c r="G32" s="64">
        <f t="shared" si="11"/>
        <v>2018</v>
      </c>
      <c r="H32" s="22">
        <v>1</v>
      </c>
      <c r="I32" s="32"/>
      <c r="J32" s="10"/>
      <c r="K32" s="11"/>
      <c r="L32" s="11"/>
      <c r="M32" s="11" t="str">
        <f>Commodities!$AD$14&amp;"_Ret31"</f>
        <v>RSD_APA4_Ret31</v>
      </c>
      <c r="N32" s="11" t="s">
        <v>1412</v>
      </c>
      <c r="O32" s="22" t="str">
        <f>General!$B$2</f>
        <v>PJ</v>
      </c>
      <c r="P32" s="22" t="str">
        <f>General!$D$24</f>
        <v>000dwellings</v>
      </c>
      <c r="Q32" s="22"/>
      <c r="R32" s="22" t="s">
        <v>845</v>
      </c>
      <c r="S32" s="11"/>
      <c r="T32" s="10"/>
      <c r="U32" s="10"/>
      <c r="V32" s="58"/>
      <c r="W32" s="58" t="str">
        <f t="shared" si="4"/>
        <v>DumRSD_APA4_Ret31</v>
      </c>
      <c r="X32" s="58" t="s">
        <v>1419</v>
      </c>
      <c r="Y32" s="21" t="s">
        <v>785</v>
      </c>
      <c r="Z32" s="21"/>
      <c r="AA32" s="59"/>
      <c r="AB32" s="58"/>
      <c r="AC32" s="58"/>
      <c r="AD32" s="10"/>
    </row>
    <row r="33" spans="2:30" ht="13.8" x14ac:dyDescent="0.25">
      <c r="B33" s="26" t="str">
        <f t="shared" ref="B33:B56" si="21">M33</f>
        <v>RSD_DTA1_Ret12</v>
      </c>
      <c r="C33" s="26" t="str">
        <f t="shared" ref="C33:C56" si="22">N33</f>
        <v>Detached A1 Envelope Insulation Advanced (N)</v>
      </c>
      <c r="D33" s="61" t="str">
        <f t="shared" ref="D33:D56" si="23">W33</f>
        <v>DumRSD_DTA1_Ret12</v>
      </c>
      <c r="E33" s="26" t="str">
        <f>Commodities!$AD$15</f>
        <v>RSD_DTA1_SH</v>
      </c>
      <c r="F33" s="26"/>
      <c r="G33" s="62">
        <f t="shared" si="11"/>
        <v>2018</v>
      </c>
      <c r="H33" s="57">
        <v>1</v>
      </c>
      <c r="I33" s="32"/>
      <c r="J33" s="10"/>
      <c r="K33" s="26" t="s">
        <v>809</v>
      </c>
      <c r="L33" s="26"/>
      <c r="M33" s="10" t="str">
        <f>Commodities!$AD$7&amp;"_Ret12"</f>
        <v>RSD_DTA1_Ret12</v>
      </c>
      <c r="N33" s="10" t="s">
        <v>1344</v>
      </c>
      <c r="O33" s="57" t="str">
        <f>General!$B$2</f>
        <v>PJ</v>
      </c>
      <c r="P33" s="57" t="str">
        <f>General!$D$24</f>
        <v>000dwellings</v>
      </c>
      <c r="Q33" s="57"/>
      <c r="R33" s="57" t="s">
        <v>845</v>
      </c>
      <c r="S33" s="26"/>
      <c r="T33" s="10"/>
      <c r="U33" s="10"/>
      <c r="V33" s="58"/>
      <c r="W33" s="58" t="str">
        <f t="shared" si="4"/>
        <v>DumRSD_DTA1_Ret12</v>
      </c>
      <c r="X33" s="58" t="s">
        <v>1356</v>
      </c>
      <c r="Y33" s="21" t="s">
        <v>785</v>
      </c>
      <c r="Z33" s="21"/>
      <c r="AA33" s="59"/>
      <c r="AB33" s="58"/>
      <c r="AC33" s="58"/>
      <c r="AD33" s="10"/>
    </row>
    <row r="34" spans="2:30" ht="13.8" x14ac:dyDescent="0.25">
      <c r="B34" s="26" t="str">
        <f t="shared" si="21"/>
        <v>RSD_DTA1_Ret22</v>
      </c>
      <c r="C34" s="26" t="str">
        <f t="shared" si="22"/>
        <v>Detached A1 Windows Replacement  Advanced (N)</v>
      </c>
      <c r="D34" s="61" t="str">
        <f t="shared" si="23"/>
        <v>DumRSD_DTA1_Ret22</v>
      </c>
      <c r="E34" s="26" t="str">
        <f>E33</f>
        <v>RSD_DTA1_SH</v>
      </c>
      <c r="F34" s="26"/>
      <c r="G34" s="62">
        <f t="shared" si="11"/>
        <v>2018</v>
      </c>
      <c r="H34" s="57">
        <v>1</v>
      </c>
      <c r="I34" s="32"/>
      <c r="J34" s="10"/>
      <c r="K34" s="26"/>
      <c r="L34" s="26"/>
      <c r="M34" s="10" t="str">
        <f>Commodities!$AD$7&amp;"_Ret22"</f>
        <v>RSD_DTA1_Ret22</v>
      </c>
      <c r="N34" s="10" t="s">
        <v>1345</v>
      </c>
      <c r="O34" s="57" t="str">
        <f>General!$B$2</f>
        <v>PJ</v>
      </c>
      <c r="P34" s="57" t="str">
        <f>General!$D$24</f>
        <v>000dwellings</v>
      </c>
      <c r="Q34" s="57"/>
      <c r="R34" s="57" t="s">
        <v>845</v>
      </c>
      <c r="S34" s="26"/>
      <c r="T34" s="10"/>
      <c r="U34" s="10"/>
      <c r="V34" s="58"/>
      <c r="W34" s="58" t="str">
        <f t="shared" si="4"/>
        <v>DumRSD_DTA1_Ret22</v>
      </c>
      <c r="X34" s="58" t="s">
        <v>1357</v>
      </c>
      <c r="Y34" s="21" t="s">
        <v>785</v>
      </c>
      <c r="Z34" s="21"/>
      <c r="AA34" s="59"/>
      <c r="AB34" s="58"/>
      <c r="AC34" s="58"/>
      <c r="AD34" s="10"/>
    </row>
    <row r="35" spans="2:30" ht="13.8" x14ac:dyDescent="0.25">
      <c r="B35" s="26" t="str">
        <f t="shared" si="21"/>
        <v>RSD_DTA1_Ret32</v>
      </c>
      <c r="C35" s="26" t="str">
        <f t="shared" si="22"/>
        <v>Detached A1 Env. Insulation&amp;Windows repl. Advanced (N)</v>
      </c>
      <c r="D35" s="61" t="str">
        <f t="shared" si="23"/>
        <v>DumRSD_DTA1_Ret32</v>
      </c>
      <c r="E35" s="26" t="str">
        <f>E34</f>
        <v>RSD_DTA1_SH</v>
      </c>
      <c r="F35" s="26"/>
      <c r="G35" s="62">
        <f t="shared" si="11"/>
        <v>2018</v>
      </c>
      <c r="H35" s="57">
        <v>1</v>
      </c>
      <c r="I35" s="32"/>
      <c r="J35" s="10"/>
      <c r="K35" s="26"/>
      <c r="L35" s="26"/>
      <c r="M35" s="10" t="str">
        <f>Commodities!$AD$7&amp;"_Ret32"</f>
        <v>RSD_DTA1_Ret32</v>
      </c>
      <c r="N35" s="10" t="s">
        <v>1346</v>
      </c>
      <c r="O35" s="57" t="str">
        <f>General!$B$2</f>
        <v>PJ</v>
      </c>
      <c r="P35" s="57" t="str">
        <f>General!$D$24</f>
        <v>000dwellings</v>
      </c>
      <c r="Q35" s="57"/>
      <c r="R35" s="57" t="s">
        <v>845</v>
      </c>
      <c r="S35" s="26"/>
      <c r="T35" s="10"/>
      <c r="U35" s="10"/>
      <c r="V35" s="58"/>
      <c r="W35" s="58" t="str">
        <f t="shared" si="4"/>
        <v>DumRSD_DTA1_Ret32</v>
      </c>
      <c r="X35" s="58" t="s">
        <v>1358</v>
      </c>
      <c r="Y35" s="21" t="s">
        <v>785</v>
      </c>
      <c r="Z35" s="21"/>
      <c r="AA35" s="59"/>
      <c r="AB35" s="58"/>
      <c r="AC35" s="58"/>
      <c r="AD35" s="10"/>
    </row>
    <row r="36" spans="2:30" ht="13.8" x14ac:dyDescent="0.25">
      <c r="B36" s="26" t="str">
        <f t="shared" si="21"/>
        <v>RSD_APA1_Ret12</v>
      </c>
      <c r="C36" s="26" t="str">
        <f t="shared" si="22"/>
        <v>Apartment A1 Envelope Insulation Advanced (N)</v>
      </c>
      <c r="D36" s="61" t="str">
        <f t="shared" si="23"/>
        <v>DumRSD_APA1_Ret12</v>
      </c>
      <c r="E36" s="26" t="str">
        <f>Commodities!$AD$16</f>
        <v>RSD_APA1_SH</v>
      </c>
      <c r="F36" s="26"/>
      <c r="G36" s="62">
        <f t="shared" si="11"/>
        <v>2018</v>
      </c>
      <c r="H36" s="57">
        <v>1</v>
      </c>
      <c r="I36" s="32"/>
      <c r="J36" s="10"/>
      <c r="K36" s="26"/>
      <c r="L36" s="26"/>
      <c r="M36" s="10" t="str">
        <f>Commodities!$AD$8&amp;"_Ret12"</f>
        <v>RSD_APA1_Ret12</v>
      </c>
      <c r="N36" s="10" t="s">
        <v>1347</v>
      </c>
      <c r="O36" s="57" t="str">
        <f>General!$B$2</f>
        <v>PJ</v>
      </c>
      <c r="P36" s="57" t="str">
        <f>General!$D$24</f>
        <v>000dwellings</v>
      </c>
      <c r="Q36" s="57"/>
      <c r="R36" s="57" t="s">
        <v>845</v>
      </c>
      <c r="S36" s="26"/>
      <c r="T36" s="10"/>
      <c r="U36" s="10"/>
      <c r="V36" s="58"/>
      <c r="W36" s="58" t="str">
        <f t="shared" si="4"/>
        <v>DumRSD_APA1_Ret12</v>
      </c>
      <c r="X36" s="58" t="s">
        <v>1359</v>
      </c>
      <c r="Y36" s="21" t="s">
        <v>785</v>
      </c>
      <c r="Z36" s="21"/>
      <c r="AA36" s="59"/>
      <c r="AB36" s="58"/>
      <c r="AC36" s="58"/>
      <c r="AD36" s="10"/>
    </row>
    <row r="37" spans="2:30" ht="13.8" x14ac:dyDescent="0.25">
      <c r="B37" s="26" t="str">
        <f t="shared" si="21"/>
        <v>RSD_APA1_Ret22</v>
      </c>
      <c r="C37" s="26" t="str">
        <f t="shared" si="22"/>
        <v>Apartment A1 Windows Replacement  Advanced (N)</v>
      </c>
      <c r="D37" s="61" t="str">
        <f t="shared" si="23"/>
        <v>DumRSD_APA1_Ret22</v>
      </c>
      <c r="E37" s="26" t="str">
        <f>E36</f>
        <v>RSD_APA1_SH</v>
      </c>
      <c r="F37" s="26"/>
      <c r="G37" s="62">
        <f t="shared" si="11"/>
        <v>2018</v>
      </c>
      <c r="H37" s="57">
        <v>1</v>
      </c>
      <c r="I37" s="32"/>
      <c r="J37" s="10"/>
      <c r="K37" s="26"/>
      <c r="L37" s="26"/>
      <c r="M37" s="10" t="str">
        <f>Commodities!$AD$8&amp;"_Ret22"</f>
        <v>RSD_APA1_Ret22</v>
      </c>
      <c r="N37" s="10" t="s">
        <v>1348</v>
      </c>
      <c r="O37" s="57" t="str">
        <f>General!$B$2</f>
        <v>PJ</v>
      </c>
      <c r="P37" s="57" t="str">
        <f>General!$D$24</f>
        <v>000dwellings</v>
      </c>
      <c r="Q37" s="57"/>
      <c r="R37" s="57" t="s">
        <v>845</v>
      </c>
      <c r="S37" s="26"/>
      <c r="T37" s="10"/>
      <c r="U37" s="10"/>
      <c r="V37" s="58"/>
      <c r="W37" s="58" t="str">
        <f t="shared" si="4"/>
        <v>DumRSD_APA1_Ret22</v>
      </c>
      <c r="X37" s="58" t="s">
        <v>1360</v>
      </c>
      <c r="Y37" s="21" t="s">
        <v>785</v>
      </c>
      <c r="Z37" s="21"/>
      <c r="AA37" s="59"/>
      <c r="AB37" s="58"/>
      <c r="AC37" s="58"/>
      <c r="AD37" s="10"/>
    </row>
    <row r="38" spans="2:30" ht="13.8" x14ac:dyDescent="0.25">
      <c r="B38" s="26" t="str">
        <f t="shared" si="21"/>
        <v>RSD_APA1_Ret32</v>
      </c>
      <c r="C38" s="26" t="str">
        <f t="shared" si="22"/>
        <v>Apartment A1 Env. Insulation&amp;Windows repl. Advanced (N)</v>
      </c>
      <c r="D38" s="61" t="str">
        <f t="shared" si="23"/>
        <v>DumRSD_APA1_Ret32</v>
      </c>
      <c r="E38" s="26" t="str">
        <f>E37</f>
        <v>RSD_APA1_SH</v>
      </c>
      <c r="F38" s="26"/>
      <c r="G38" s="62">
        <f t="shared" si="11"/>
        <v>2018</v>
      </c>
      <c r="H38" s="57">
        <v>1</v>
      </c>
      <c r="I38" s="32"/>
      <c r="J38" s="10"/>
      <c r="K38" s="26"/>
      <c r="L38" s="26"/>
      <c r="M38" s="10" t="str">
        <f>Commodities!$AD$8&amp;"_Ret32"</f>
        <v>RSD_APA1_Ret32</v>
      </c>
      <c r="N38" s="10" t="s">
        <v>1349</v>
      </c>
      <c r="O38" s="57" t="str">
        <f>General!$B$2</f>
        <v>PJ</v>
      </c>
      <c r="P38" s="57" t="str">
        <f>General!$D$24</f>
        <v>000dwellings</v>
      </c>
      <c r="Q38" s="57"/>
      <c r="R38" s="57" t="s">
        <v>845</v>
      </c>
      <c r="S38" s="26"/>
      <c r="T38" s="10"/>
      <c r="U38" s="10"/>
      <c r="V38" s="58"/>
      <c r="W38" s="58" t="str">
        <f t="shared" si="4"/>
        <v>DumRSD_APA1_Ret32</v>
      </c>
      <c r="X38" s="58" t="s">
        <v>1361</v>
      </c>
      <c r="Y38" s="21" t="s">
        <v>785</v>
      </c>
      <c r="Z38" s="21"/>
      <c r="AA38" s="59"/>
      <c r="AB38" s="58"/>
      <c r="AC38" s="58"/>
      <c r="AD38" s="10"/>
    </row>
    <row r="39" spans="2:30" ht="13.8" x14ac:dyDescent="0.25">
      <c r="B39" s="26" t="str">
        <f t="shared" si="21"/>
        <v>RSD_DTA2_Ret12</v>
      </c>
      <c r="C39" s="26" t="str">
        <f t="shared" si="22"/>
        <v>Detached A2  Envelope Insulation Advanced (N)</v>
      </c>
      <c r="D39" s="61" t="str">
        <f t="shared" si="23"/>
        <v>DumRSD_DTA2_Ret12</v>
      </c>
      <c r="E39" s="26" t="str">
        <f>Commodities!$AD$17</f>
        <v>RSD_DTA2_SH</v>
      </c>
      <c r="F39" s="26"/>
      <c r="G39" s="62">
        <f t="shared" si="11"/>
        <v>2018</v>
      </c>
      <c r="H39" s="57">
        <v>1</v>
      </c>
      <c r="I39" s="32"/>
      <c r="J39" s="10"/>
      <c r="K39" s="26"/>
      <c r="L39" s="26"/>
      <c r="M39" s="10" t="str">
        <f>Commodities!$AD$9&amp;"_Ret12"</f>
        <v>RSD_DTA2_Ret12</v>
      </c>
      <c r="N39" s="10" t="s">
        <v>1368</v>
      </c>
      <c r="O39" s="57" t="str">
        <f>General!$B$2</f>
        <v>PJ</v>
      </c>
      <c r="P39" s="57" t="str">
        <f>General!$D$24</f>
        <v>000dwellings</v>
      </c>
      <c r="Q39" s="57"/>
      <c r="R39" s="57" t="s">
        <v>845</v>
      </c>
      <c r="S39" s="26"/>
      <c r="T39" s="10"/>
      <c r="U39" s="10"/>
      <c r="V39" s="58"/>
      <c r="W39" s="58" t="str">
        <f t="shared" si="4"/>
        <v>DumRSD_DTA2_Ret12</v>
      </c>
      <c r="X39" s="58" t="s">
        <v>1380</v>
      </c>
      <c r="Y39" s="21" t="s">
        <v>785</v>
      </c>
      <c r="Z39" s="21"/>
      <c r="AA39" s="59"/>
      <c r="AB39" s="58"/>
      <c r="AC39" s="58"/>
      <c r="AD39" s="10"/>
    </row>
    <row r="40" spans="2:30" ht="13.8" x14ac:dyDescent="0.25">
      <c r="B40" s="26" t="str">
        <f t="shared" si="21"/>
        <v>RSD_DTA2_Ret22</v>
      </c>
      <c r="C40" s="26" t="str">
        <f t="shared" si="22"/>
        <v>Detached A2 Windows Replacement Advanced (N)</v>
      </c>
      <c r="D40" s="61" t="str">
        <f t="shared" si="23"/>
        <v>DumRSD_DTA2_Ret22</v>
      </c>
      <c r="E40" s="26" t="str">
        <f>E39</f>
        <v>RSD_DTA2_SH</v>
      </c>
      <c r="F40" s="26"/>
      <c r="G40" s="62">
        <f t="shared" si="11"/>
        <v>2018</v>
      </c>
      <c r="H40" s="57">
        <v>1</v>
      </c>
      <c r="I40" s="32"/>
      <c r="J40" s="10"/>
      <c r="K40" s="26"/>
      <c r="L40" s="26"/>
      <c r="M40" s="10" t="str">
        <f>Commodities!$AD$9&amp;"_Ret22"</f>
        <v>RSD_DTA2_Ret22</v>
      </c>
      <c r="N40" s="10" t="s">
        <v>1369</v>
      </c>
      <c r="O40" s="57" t="str">
        <f>General!$B$2</f>
        <v>PJ</v>
      </c>
      <c r="P40" s="57" t="str">
        <f>General!$D$24</f>
        <v>000dwellings</v>
      </c>
      <c r="Q40" s="57"/>
      <c r="R40" s="57" t="s">
        <v>845</v>
      </c>
      <c r="S40" s="26"/>
      <c r="T40" s="10"/>
      <c r="U40" s="10"/>
      <c r="V40" s="58"/>
      <c r="W40" s="58" t="str">
        <f t="shared" si="4"/>
        <v>DumRSD_DTA2_Ret22</v>
      </c>
      <c r="X40" s="58" t="s">
        <v>1381</v>
      </c>
      <c r="Y40" s="21" t="s">
        <v>785</v>
      </c>
      <c r="Z40" s="21"/>
      <c r="AA40" s="59"/>
      <c r="AB40" s="58"/>
      <c r="AC40" s="58"/>
      <c r="AD40" s="10"/>
    </row>
    <row r="41" spans="2:30" ht="13.8" x14ac:dyDescent="0.25">
      <c r="B41" s="26" t="str">
        <f t="shared" si="21"/>
        <v>RSD_DTA2_Ret32</v>
      </c>
      <c r="C41" s="26" t="str">
        <f t="shared" si="22"/>
        <v>Detached A2 Env. Insulation&amp;Windows repl. Advanced (N)</v>
      </c>
      <c r="D41" s="61" t="str">
        <f t="shared" si="23"/>
        <v>DumRSD_DTA2_Ret32</v>
      </c>
      <c r="E41" s="26" t="str">
        <f>E40</f>
        <v>RSD_DTA2_SH</v>
      </c>
      <c r="F41" s="26"/>
      <c r="G41" s="62">
        <f t="shared" si="11"/>
        <v>2018</v>
      </c>
      <c r="H41" s="57">
        <v>1</v>
      </c>
      <c r="I41" s="32"/>
      <c r="J41" s="10"/>
      <c r="K41" s="26"/>
      <c r="L41" s="26"/>
      <c r="M41" s="10" t="str">
        <f>Commodities!$AD$9&amp;"_Ret32"</f>
        <v>RSD_DTA2_Ret32</v>
      </c>
      <c r="N41" s="10" t="s">
        <v>1370</v>
      </c>
      <c r="O41" s="57" t="str">
        <f>General!$B$2</f>
        <v>PJ</v>
      </c>
      <c r="P41" s="57" t="str">
        <f>General!$D$24</f>
        <v>000dwellings</v>
      </c>
      <c r="Q41" s="57"/>
      <c r="R41" s="57" t="s">
        <v>845</v>
      </c>
      <c r="S41" s="26"/>
      <c r="T41" s="10"/>
      <c r="U41" s="10"/>
      <c r="V41" s="58"/>
      <c r="W41" s="58" t="str">
        <f t="shared" si="4"/>
        <v>DumRSD_DTA2_Ret32</v>
      </c>
      <c r="X41" s="58" t="s">
        <v>1382</v>
      </c>
      <c r="Y41" s="21" t="s">
        <v>785</v>
      </c>
      <c r="Z41" s="21"/>
      <c r="AA41" s="59"/>
      <c r="AB41" s="58"/>
      <c r="AC41" s="58"/>
      <c r="AD41" s="10"/>
    </row>
    <row r="42" spans="2:30" ht="13.8" x14ac:dyDescent="0.25">
      <c r="B42" s="26" t="str">
        <f t="shared" si="21"/>
        <v>RSD_APA2_Ret12</v>
      </c>
      <c r="C42" s="26" t="str">
        <f t="shared" si="22"/>
        <v>Apartment A2 Envelope Insulation Advanced (N)</v>
      </c>
      <c r="D42" s="61" t="str">
        <f t="shared" si="23"/>
        <v>DumRSD_APA2_Ret12</v>
      </c>
      <c r="E42" s="26" t="str">
        <f>Commodities!$AD$18</f>
        <v>RSD_APA2_SH</v>
      </c>
      <c r="F42" s="26"/>
      <c r="G42" s="62">
        <f t="shared" si="11"/>
        <v>2018</v>
      </c>
      <c r="H42" s="57">
        <v>1</v>
      </c>
      <c r="I42" s="32"/>
      <c r="J42" s="10"/>
      <c r="K42" s="26"/>
      <c r="L42" s="26"/>
      <c r="M42" s="10" t="str">
        <f>Commodities!$AD$10&amp;"_Ret12"</f>
        <v>RSD_APA2_Ret12</v>
      </c>
      <c r="N42" s="10" t="s">
        <v>1371</v>
      </c>
      <c r="O42" s="57" t="str">
        <f>General!$B$2</f>
        <v>PJ</v>
      </c>
      <c r="P42" s="57" t="str">
        <f>General!$D$24</f>
        <v>000dwellings</v>
      </c>
      <c r="Q42" s="57"/>
      <c r="R42" s="57" t="s">
        <v>845</v>
      </c>
      <c r="S42" s="26"/>
      <c r="T42" s="10"/>
      <c r="U42" s="10"/>
      <c r="V42" s="58"/>
      <c r="W42" s="58" t="str">
        <f t="shared" si="4"/>
        <v>DumRSD_APA2_Ret12</v>
      </c>
      <c r="X42" s="58" t="s">
        <v>1383</v>
      </c>
      <c r="Y42" s="21" t="s">
        <v>785</v>
      </c>
      <c r="Z42" s="21"/>
      <c r="AA42" s="59"/>
      <c r="AB42" s="58"/>
      <c r="AC42" s="58"/>
      <c r="AD42" s="10"/>
    </row>
    <row r="43" spans="2:30" ht="13.8" x14ac:dyDescent="0.25">
      <c r="B43" s="26" t="str">
        <f t="shared" si="21"/>
        <v>RSD_APA2_Ret22</v>
      </c>
      <c r="C43" s="26" t="str">
        <f t="shared" si="22"/>
        <v>Apartment A2 Windows Replacement Advanced (N)</v>
      </c>
      <c r="D43" s="61" t="str">
        <f t="shared" si="23"/>
        <v>DumRSD_APA2_Ret22</v>
      </c>
      <c r="E43" s="26" t="str">
        <f>E42</f>
        <v>RSD_APA2_SH</v>
      </c>
      <c r="F43" s="26"/>
      <c r="G43" s="62">
        <f t="shared" si="11"/>
        <v>2018</v>
      </c>
      <c r="H43" s="57">
        <v>1</v>
      </c>
      <c r="I43" s="32"/>
      <c r="J43" s="10"/>
      <c r="K43" s="26"/>
      <c r="L43" s="26"/>
      <c r="M43" s="10" t="str">
        <f>Commodities!$AD$10&amp;"_Ret22"</f>
        <v>RSD_APA2_Ret22</v>
      </c>
      <c r="N43" s="10" t="s">
        <v>1372</v>
      </c>
      <c r="O43" s="57" t="str">
        <f>General!$B$2</f>
        <v>PJ</v>
      </c>
      <c r="P43" s="57" t="str">
        <f>General!$D$24</f>
        <v>000dwellings</v>
      </c>
      <c r="Q43" s="57"/>
      <c r="R43" s="57" t="s">
        <v>845</v>
      </c>
      <c r="S43" s="26"/>
      <c r="T43" s="10"/>
      <c r="U43" s="10"/>
      <c r="V43" s="58"/>
      <c r="W43" s="58" t="str">
        <f t="shared" si="4"/>
        <v>DumRSD_APA2_Ret22</v>
      </c>
      <c r="X43" s="58" t="s">
        <v>1384</v>
      </c>
      <c r="Y43" s="21" t="s">
        <v>785</v>
      </c>
      <c r="Z43" s="21"/>
      <c r="AA43" s="59"/>
      <c r="AB43" s="58"/>
      <c r="AC43" s="58"/>
      <c r="AD43" s="10"/>
    </row>
    <row r="44" spans="2:30" ht="13.8" x14ac:dyDescent="0.25">
      <c r="B44" s="26" t="str">
        <f t="shared" si="21"/>
        <v>RSD_APA2_Ret32</v>
      </c>
      <c r="C44" s="26" t="str">
        <f t="shared" si="22"/>
        <v>Apartment A2 Env. Insulation&amp;Windows repl. Advanced (N)</v>
      </c>
      <c r="D44" s="61" t="str">
        <f t="shared" si="23"/>
        <v>DumRSD_APA2_Ret32</v>
      </c>
      <c r="E44" s="26" t="str">
        <f>E43</f>
        <v>RSD_APA2_SH</v>
      </c>
      <c r="F44" s="26"/>
      <c r="G44" s="62">
        <f t="shared" si="11"/>
        <v>2018</v>
      </c>
      <c r="H44" s="57">
        <v>1</v>
      </c>
      <c r="I44" s="32"/>
      <c r="J44" s="10"/>
      <c r="K44" s="26"/>
      <c r="L44" s="26"/>
      <c r="M44" s="10" t="str">
        <f>Commodities!$AD$10&amp;"_Ret32"</f>
        <v>RSD_APA2_Ret32</v>
      </c>
      <c r="N44" s="10" t="s">
        <v>1373</v>
      </c>
      <c r="O44" s="57" t="str">
        <f>General!$B$2</f>
        <v>PJ</v>
      </c>
      <c r="P44" s="57" t="str">
        <f>General!$D$24</f>
        <v>000dwellings</v>
      </c>
      <c r="Q44" s="57"/>
      <c r="R44" s="57" t="s">
        <v>845</v>
      </c>
      <c r="S44" s="26"/>
      <c r="T44" s="10"/>
      <c r="U44" s="10"/>
      <c r="V44" s="58"/>
      <c r="W44" s="58" t="str">
        <f t="shared" si="4"/>
        <v>DumRSD_APA2_Ret32</v>
      </c>
      <c r="X44" s="58" t="s">
        <v>1385</v>
      </c>
      <c r="Y44" s="21" t="s">
        <v>785</v>
      </c>
      <c r="Z44" s="21"/>
      <c r="AA44" s="59"/>
      <c r="AB44" s="58"/>
      <c r="AC44" s="58"/>
      <c r="AD44" s="10"/>
    </row>
    <row r="45" spans="2:30" ht="13.8" x14ac:dyDescent="0.25">
      <c r="B45" s="26" t="str">
        <f t="shared" si="21"/>
        <v>RSD_DTA3_Ret12</v>
      </c>
      <c r="C45" s="26" t="str">
        <f t="shared" si="22"/>
        <v>Detached A3 Envelope Insulation Advanced (N)</v>
      </c>
      <c r="D45" s="61" t="str">
        <f t="shared" si="23"/>
        <v>DumRSD_DTA3_Ret12</v>
      </c>
      <c r="E45" s="26" t="str">
        <f>Commodities!$AD$19</f>
        <v>RSD_DTA3_SH</v>
      </c>
      <c r="F45" s="26"/>
      <c r="G45" s="62">
        <f t="shared" si="11"/>
        <v>2018</v>
      </c>
      <c r="H45" s="57">
        <v>1</v>
      </c>
      <c r="I45" s="32"/>
      <c r="J45" s="10"/>
      <c r="K45" s="26"/>
      <c r="L45" s="26"/>
      <c r="M45" s="10" t="str">
        <f>Commodities!$AD$11&amp;"_Ret12"</f>
        <v>RSD_DTA3_Ret12</v>
      </c>
      <c r="N45" s="10" t="s">
        <v>1391</v>
      </c>
      <c r="O45" s="57" t="str">
        <f>General!$B$2</f>
        <v>PJ</v>
      </c>
      <c r="P45" s="57" t="str">
        <f>General!$D$24</f>
        <v>000dwellings</v>
      </c>
      <c r="Q45" s="57"/>
      <c r="R45" s="57" t="s">
        <v>845</v>
      </c>
      <c r="S45" s="26"/>
      <c r="T45" s="10"/>
      <c r="V45" s="58"/>
      <c r="W45" s="58" t="str">
        <f t="shared" si="4"/>
        <v>DumRSD_DTA3_Ret12</v>
      </c>
      <c r="X45" s="58" t="s">
        <v>1402</v>
      </c>
      <c r="Y45" s="21" t="s">
        <v>785</v>
      </c>
      <c r="Z45" s="21"/>
      <c r="AA45" s="59"/>
      <c r="AB45" s="58"/>
      <c r="AC45" s="58"/>
    </row>
    <row r="46" spans="2:30" ht="13.8" x14ac:dyDescent="0.25">
      <c r="B46" s="26" t="str">
        <f t="shared" si="21"/>
        <v>RSD_DTA3_Ret22</v>
      </c>
      <c r="C46" s="26" t="str">
        <f t="shared" si="22"/>
        <v>Detached A3 Windows Replacement Advanced (N)</v>
      </c>
      <c r="D46" s="61" t="str">
        <f t="shared" si="23"/>
        <v>DumRSD_DTA3_Ret22</v>
      </c>
      <c r="E46" s="26" t="str">
        <f>E45</f>
        <v>RSD_DTA3_SH</v>
      </c>
      <c r="F46" s="26"/>
      <c r="G46" s="62">
        <f t="shared" si="11"/>
        <v>2018</v>
      </c>
      <c r="H46" s="57">
        <v>1</v>
      </c>
      <c r="I46" s="32"/>
      <c r="J46" s="10"/>
      <c r="K46" s="26"/>
      <c r="L46" s="26"/>
      <c r="M46" s="10" t="str">
        <f>Commodities!$AD$11&amp;"_Ret22"</f>
        <v>RSD_DTA3_Ret22</v>
      </c>
      <c r="N46" s="10" t="s">
        <v>1392</v>
      </c>
      <c r="O46" s="57" t="str">
        <f>General!$B$2</f>
        <v>PJ</v>
      </c>
      <c r="P46" s="57" t="str">
        <f>General!$D$24</f>
        <v>000dwellings</v>
      </c>
      <c r="Q46" s="57"/>
      <c r="R46" s="57" t="s">
        <v>845</v>
      </c>
      <c r="S46" s="26"/>
      <c r="V46" s="58"/>
      <c r="W46" s="58" t="str">
        <f t="shared" si="4"/>
        <v>DumRSD_DTA3_Ret22</v>
      </c>
      <c r="X46" s="58" t="s">
        <v>1403</v>
      </c>
      <c r="Y46" s="21" t="s">
        <v>785</v>
      </c>
      <c r="Z46" s="21"/>
      <c r="AA46" s="59"/>
      <c r="AB46" s="58"/>
      <c r="AC46" s="58"/>
    </row>
    <row r="47" spans="2:30" ht="13.8" x14ac:dyDescent="0.25">
      <c r="B47" s="26" t="str">
        <f t="shared" si="21"/>
        <v>RSD_DTA3_Ret32</v>
      </c>
      <c r="C47" s="26" t="str">
        <f t="shared" si="22"/>
        <v>Detached A3 Windows Replacement Advanced (N)</v>
      </c>
      <c r="D47" s="61" t="str">
        <f t="shared" si="23"/>
        <v>DumRSD_DTA3_Ret32</v>
      </c>
      <c r="E47" s="26" t="str">
        <f>E46</f>
        <v>RSD_DTA3_SH</v>
      </c>
      <c r="F47" s="26"/>
      <c r="G47" s="62">
        <f t="shared" si="11"/>
        <v>2018</v>
      </c>
      <c r="H47" s="57">
        <v>1</v>
      </c>
      <c r="I47" s="32"/>
      <c r="K47" s="26"/>
      <c r="L47" s="26"/>
      <c r="M47" s="10" t="str">
        <f>Commodities!$AD$11&amp;"_Ret32"</f>
        <v>RSD_DTA3_Ret32</v>
      </c>
      <c r="N47" s="10" t="s">
        <v>1392</v>
      </c>
      <c r="O47" s="57" t="str">
        <f>General!$B$2</f>
        <v>PJ</v>
      </c>
      <c r="P47" s="57" t="str">
        <f>General!$D$24</f>
        <v>000dwellings</v>
      </c>
      <c r="Q47" s="57"/>
      <c r="R47" s="57" t="s">
        <v>845</v>
      </c>
      <c r="S47" s="26"/>
      <c r="V47" s="58"/>
      <c r="W47" s="58" t="str">
        <f t="shared" si="4"/>
        <v>DumRSD_DTA3_Ret32</v>
      </c>
      <c r="X47" s="58" t="s">
        <v>1404</v>
      </c>
      <c r="Y47" s="21" t="s">
        <v>785</v>
      </c>
      <c r="Z47" s="21"/>
      <c r="AA47" s="59"/>
      <c r="AB47" s="58"/>
      <c r="AC47" s="58"/>
    </row>
    <row r="48" spans="2:30" ht="13.8" x14ac:dyDescent="0.25">
      <c r="B48" s="26" t="str">
        <f t="shared" si="21"/>
        <v>RSD_APA3_Ret12</v>
      </c>
      <c r="C48" s="26" t="str">
        <f t="shared" si="22"/>
        <v>Apartment A3 Envelope Insulation Advanced (N)</v>
      </c>
      <c r="D48" s="61" t="str">
        <f t="shared" si="23"/>
        <v>DumRSD_APA3_Ret12</v>
      </c>
      <c r="E48" s="26" t="str">
        <f>Commodities!$AD$20</f>
        <v>RSD_APA3_SH</v>
      </c>
      <c r="F48" s="26"/>
      <c r="G48" s="62">
        <f t="shared" si="11"/>
        <v>2018</v>
      </c>
      <c r="H48" s="57">
        <v>1</v>
      </c>
      <c r="I48" s="32"/>
      <c r="K48" s="26"/>
      <c r="L48" s="26"/>
      <c r="M48" s="10" t="str">
        <f>Commodities!$AD$12&amp;"_Ret12"</f>
        <v>RSD_APA3_Ret12</v>
      </c>
      <c r="N48" s="10" t="s">
        <v>1393</v>
      </c>
      <c r="O48" s="57" t="str">
        <f>General!$B$2</f>
        <v>PJ</v>
      </c>
      <c r="P48" s="57" t="str">
        <f>General!$D$24</f>
        <v>000dwellings</v>
      </c>
      <c r="Q48" s="57"/>
      <c r="R48" s="57" t="s">
        <v>845</v>
      </c>
      <c r="S48" s="26"/>
      <c r="V48" s="58"/>
      <c r="W48" s="58" t="str">
        <f t="shared" si="4"/>
        <v>DumRSD_APA3_Ret12</v>
      </c>
      <c r="X48" s="58" t="s">
        <v>1405</v>
      </c>
      <c r="Y48" s="21" t="s">
        <v>785</v>
      </c>
      <c r="Z48" s="21"/>
      <c r="AA48" s="59"/>
      <c r="AB48" s="58"/>
      <c r="AC48" s="58"/>
    </row>
    <row r="49" spans="2:29" ht="13.8" x14ac:dyDescent="0.25">
      <c r="B49" s="26" t="str">
        <f t="shared" si="21"/>
        <v>RSD_APA3_Ret22</v>
      </c>
      <c r="C49" s="26" t="str">
        <f t="shared" si="22"/>
        <v>Apartment A3 Windows Replacement Advanced (N)</v>
      </c>
      <c r="D49" s="61" t="str">
        <f t="shared" si="23"/>
        <v>DumRSD_APA3_Ret22</v>
      </c>
      <c r="E49" s="26" t="str">
        <f>E48</f>
        <v>RSD_APA3_SH</v>
      </c>
      <c r="F49" s="26"/>
      <c r="G49" s="62">
        <f t="shared" si="11"/>
        <v>2018</v>
      </c>
      <c r="H49" s="57">
        <v>1</v>
      </c>
      <c r="I49" s="32"/>
      <c r="K49" s="26"/>
      <c r="L49" s="26"/>
      <c r="M49" s="10" t="str">
        <f>Commodities!$AD$12&amp;"_Ret22"</f>
        <v>RSD_APA3_Ret22</v>
      </c>
      <c r="N49" s="10" t="s">
        <v>1394</v>
      </c>
      <c r="O49" s="57" t="str">
        <f>General!$B$2</f>
        <v>PJ</v>
      </c>
      <c r="P49" s="57" t="str">
        <f>General!$D$24</f>
        <v>000dwellings</v>
      </c>
      <c r="Q49" s="57"/>
      <c r="R49" s="57" t="s">
        <v>845</v>
      </c>
      <c r="S49" s="26"/>
      <c r="V49" s="58"/>
      <c r="W49" s="58" t="str">
        <f t="shared" si="4"/>
        <v>DumRSD_APA3_Ret22</v>
      </c>
      <c r="X49" s="58" t="s">
        <v>1406</v>
      </c>
      <c r="Y49" s="21" t="s">
        <v>785</v>
      </c>
      <c r="Z49" s="21"/>
      <c r="AA49" s="59"/>
      <c r="AB49" s="58"/>
      <c r="AC49" s="58"/>
    </row>
    <row r="50" spans="2:29" ht="13.8" x14ac:dyDescent="0.25">
      <c r="B50" s="26" t="str">
        <f t="shared" si="21"/>
        <v>RSD_APA3_Ret32</v>
      </c>
      <c r="C50" s="26" t="str">
        <f t="shared" si="22"/>
        <v>Apartment A3 Env. Insulation&amp;Windows repl. Advanced (N)</v>
      </c>
      <c r="D50" s="61" t="str">
        <f t="shared" si="23"/>
        <v>DumRSD_APA3_Ret32</v>
      </c>
      <c r="E50" s="26" t="str">
        <f>E49</f>
        <v>RSD_APA3_SH</v>
      </c>
      <c r="F50" s="26"/>
      <c r="G50" s="62">
        <f t="shared" si="11"/>
        <v>2018</v>
      </c>
      <c r="H50" s="57">
        <v>1</v>
      </c>
      <c r="I50" s="32"/>
      <c r="K50" s="26"/>
      <c r="L50" s="26"/>
      <c r="M50" s="10" t="str">
        <f>Commodities!$AD$12&amp;"_Ret32"</f>
        <v>RSD_APA3_Ret32</v>
      </c>
      <c r="N50" s="10" t="s">
        <v>1395</v>
      </c>
      <c r="O50" s="57" t="str">
        <f>General!$B$2</f>
        <v>PJ</v>
      </c>
      <c r="P50" s="57" t="str">
        <f>General!$D$24</f>
        <v>000dwellings</v>
      </c>
      <c r="Q50" s="57"/>
      <c r="R50" s="57" t="s">
        <v>845</v>
      </c>
      <c r="S50" s="26"/>
      <c r="V50" s="58"/>
      <c r="W50" s="58" t="str">
        <f t="shared" si="4"/>
        <v>DumRSD_APA3_Ret32</v>
      </c>
      <c r="X50" s="58" t="s">
        <v>1407</v>
      </c>
      <c r="Y50" s="21" t="s">
        <v>785</v>
      </c>
      <c r="Z50" s="21"/>
      <c r="AA50" s="59"/>
      <c r="AB50" s="58"/>
      <c r="AC50" s="58"/>
    </row>
    <row r="51" spans="2:29" ht="13.8" x14ac:dyDescent="0.25">
      <c r="B51" s="26" t="str">
        <f t="shared" si="21"/>
        <v>RSD_DTA4_Ret12</v>
      </c>
      <c r="C51" s="26" t="str">
        <f t="shared" si="22"/>
        <v>Detached A4  Envelope Insulation Advanced (N)</v>
      </c>
      <c r="D51" s="61" t="str">
        <f t="shared" si="23"/>
        <v>DumRSD_DTA4_Ret12</v>
      </c>
      <c r="E51" s="26" t="str">
        <f>Commodities!$AD$21</f>
        <v>RSD_DTA4_SH</v>
      </c>
      <c r="F51" s="26"/>
      <c r="G51" s="62">
        <f t="shared" si="11"/>
        <v>2018</v>
      </c>
      <c r="H51" s="57">
        <v>1</v>
      </c>
      <c r="I51" s="32"/>
      <c r="J51" s="58"/>
      <c r="K51" s="26"/>
      <c r="L51" s="26"/>
      <c r="M51" s="10" t="str">
        <f>Commodities!$AD$13&amp;"_Ret12"</f>
        <v>RSD_DTA4_Ret12</v>
      </c>
      <c r="N51" s="10" t="s">
        <v>1413</v>
      </c>
      <c r="O51" s="57" t="str">
        <f>General!$B$2</f>
        <v>PJ</v>
      </c>
      <c r="P51" s="57" t="str">
        <f>General!$D$24</f>
        <v>000dwellings</v>
      </c>
      <c r="Q51" s="57"/>
      <c r="R51" s="57" t="s">
        <v>845</v>
      </c>
      <c r="S51" s="26"/>
      <c r="V51" s="58"/>
      <c r="W51" s="58" t="str">
        <f t="shared" si="4"/>
        <v>DumRSD_DTA4_Ret12</v>
      </c>
      <c r="X51" s="58" t="s">
        <v>1420</v>
      </c>
      <c r="Y51" s="21" t="s">
        <v>785</v>
      </c>
      <c r="Z51" s="21"/>
      <c r="AA51" s="59"/>
      <c r="AB51" s="58"/>
      <c r="AC51" s="58"/>
    </row>
    <row r="52" spans="2:29" ht="13.8" x14ac:dyDescent="0.25">
      <c r="B52" s="26" t="str">
        <f t="shared" si="21"/>
        <v>RSD_DTA4_Ret22</v>
      </c>
      <c r="C52" s="26" t="str">
        <f t="shared" si="22"/>
        <v>Detached A4  Windows Replacement Advanced (N)</v>
      </c>
      <c r="D52" s="61" t="str">
        <f t="shared" si="23"/>
        <v>DumRSD_DTA4_Ret22</v>
      </c>
      <c r="E52" s="26" t="str">
        <f>E51</f>
        <v>RSD_DTA4_SH</v>
      </c>
      <c r="F52" s="26"/>
      <c r="G52" s="62">
        <f t="shared" si="11"/>
        <v>2018</v>
      </c>
      <c r="H52" s="57">
        <v>1</v>
      </c>
      <c r="I52" s="32"/>
      <c r="K52" s="26"/>
      <c r="L52" s="26"/>
      <c r="M52" s="10" t="str">
        <f>Commodities!$AD$13&amp;"_Ret22"</f>
        <v>RSD_DTA4_Ret22</v>
      </c>
      <c r="N52" s="10" t="s">
        <v>1414</v>
      </c>
      <c r="O52" s="57" t="str">
        <f>General!$B$2</f>
        <v>PJ</v>
      </c>
      <c r="P52" s="57" t="str">
        <f>General!$D$24</f>
        <v>000dwellings</v>
      </c>
      <c r="Q52" s="57"/>
      <c r="R52" s="57" t="s">
        <v>845</v>
      </c>
      <c r="S52" s="26"/>
      <c r="V52" s="58"/>
      <c r="W52" s="58" t="str">
        <f t="shared" si="4"/>
        <v>DumRSD_DTA4_Ret22</v>
      </c>
      <c r="X52" s="58" t="s">
        <v>1420</v>
      </c>
      <c r="Y52" s="21" t="s">
        <v>785</v>
      </c>
      <c r="Z52" s="21"/>
      <c r="AA52" s="59"/>
      <c r="AB52" s="58"/>
      <c r="AC52" s="58"/>
    </row>
    <row r="53" spans="2:29" ht="13.8" x14ac:dyDescent="0.25">
      <c r="B53" s="26" t="str">
        <f t="shared" si="21"/>
        <v>RSD_DTA4_Ret32</v>
      </c>
      <c r="C53" s="26" t="str">
        <f t="shared" si="22"/>
        <v>Detached A4  Windows Replacement Advanced (N)</v>
      </c>
      <c r="D53" s="61" t="str">
        <f t="shared" si="23"/>
        <v>DumRSD_DTA4_Ret32</v>
      </c>
      <c r="E53" s="26" t="str">
        <f>E52</f>
        <v>RSD_DTA4_SH</v>
      </c>
      <c r="F53" s="26"/>
      <c r="G53" s="62">
        <f t="shared" si="11"/>
        <v>2018</v>
      </c>
      <c r="H53" s="57">
        <v>1</v>
      </c>
      <c r="I53" s="32"/>
      <c r="K53" s="26"/>
      <c r="L53" s="26"/>
      <c r="M53" s="10" t="str">
        <f>Commodities!$AD$13&amp;"_Ret32"</f>
        <v>RSD_DTA4_Ret32</v>
      </c>
      <c r="N53" s="10" t="s">
        <v>1414</v>
      </c>
      <c r="O53" s="57" t="str">
        <f>General!$B$2</f>
        <v>PJ</v>
      </c>
      <c r="P53" s="57" t="str">
        <f>General!$D$24</f>
        <v>000dwellings</v>
      </c>
      <c r="Q53" s="57"/>
      <c r="R53" s="57" t="s">
        <v>845</v>
      </c>
      <c r="S53" s="26"/>
      <c r="V53" s="58"/>
      <c r="W53" s="58" t="str">
        <f t="shared" si="4"/>
        <v>DumRSD_DTA4_Ret32</v>
      </c>
      <c r="X53" s="58" t="s">
        <v>1420</v>
      </c>
      <c r="Y53" s="21" t="s">
        <v>785</v>
      </c>
      <c r="Z53" s="21"/>
      <c r="AA53" s="59"/>
      <c r="AB53" s="58"/>
      <c r="AC53" s="58"/>
    </row>
    <row r="54" spans="2:29" ht="13.8" x14ac:dyDescent="0.25">
      <c r="B54" s="26" t="str">
        <f t="shared" si="21"/>
        <v>RSD_APA4_Ret12</v>
      </c>
      <c r="C54" s="26" t="str">
        <f t="shared" si="22"/>
        <v>Apartment A4 Envelope Insulation Advanced (N)</v>
      </c>
      <c r="D54" s="61" t="str">
        <f t="shared" si="23"/>
        <v>DumRSD_APA4_Ret12</v>
      </c>
      <c r="E54" s="26" t="str">
        <f>Commodities!$AD$22</f>
        <v>RSD_APA4_SH</v>
      </c>
      <c r="F54" s="26"/>
      <c r="G54" s="62">
        <f t="shared" si="11"/>
        <v>2018</v>
      </c>
      <c r="H54" s="57">
        <v>1</v>
      </c>
      <c r="I54" s="32"/>
      <c r="K54" s="26"/>
      <c r="L54" s="26"/>
      <c r="M54" s="10" t="str">
        <f>Commodities!$AD$14&amp;"_Ret12"</f>
        <v>RSD_APA4_Ret12</v>
      </c>
      <c r="N54" s="10" t="s">
        <v>1415</v>
      </c>
      <c r="O54" s="57" t="str">
        <f>General!$B$2</f>
        <v>PJ</v>
      </c>
      <c r="P54" s="57" t="str">
        <f>General!$D$24</f>
        <v>000dwellings</v>
      </c>
      <c r="Q54" s="57"/>
      <c r="R54" s="57" t="s">
        <v>845</v>
      </c>
      <c r="S54" s="26"/>
      <c r="V54" s="58"/>
      <c r="W54" s="58" t="str">
        <f t="shared" si="4"/>
        <v>DumRSD_APA4_Ret12</v>
      </c>
      <c r="X54" s="58" t="s">
        <v>1421</v>
      </c>
      <c r="Y54" s="21" t="s">
        <v>785</v>
      </c>
      <c r="Z54" s="21"/>
      <c r="AA54" s="59"/>
      <c r="AB54" s="58"/>
      <c r="AC54" s="58"/>
    </row>
    <row r="55" spans="2:29" ht="13.8" x14ac:dyDescent="0.25">
      <c r="B55" s="26" t="str">
        <f t="shared" si="21"/>
        <v>RSD_APA4_Ret22</v>
      </c>
      <c r="C55" s="26" t="str">
        <f t="shared" si="22"/>
        <v>Apartment A4 Windows Replacement Advanced (N)</v>
      </c>
      <c r="D55" s="61" t="str">
        <f t="shared" si="23"/>
        <v>DumRSD_APA4_Ret22</v>
      </c>
      <c r="E55" s="26" t="str">
        <f>E54</f>
        <v>RSD_APA4_SH</v>
      </c>
      <c r="F55" s="26"/>
      <c r="G55" s="62">
        <f t="shared" si="11"/>
        <v>2018</v>
      </c>
      <c r="H55" s="57">
        <v>1</v>
      </c>
      <c r="I55" s="32"/>
      <c r="K55" s="26"/>
      <c r="L55" s="26"/>
      <c r="M55" s="10" t="str">
        <f>Commodities!$AD$14&amp;"_Ret22"</f>
        <v>RSD_APA4_Ret22</v>
      </c>
      <c r="N55" s="10" t="s">
        <v>1416</v>
      </c>
      <c r="O55" s="57" t="str">
        <f>General!$B$2</f>
        <v>PJ</v>
      </c>
      <c r="P55" s="57" t="str">
        <f>General!$D$24</f>
        <v>000dwellings</v>
      </c>
      <c r="Q55" s="57"/>
      <c r="R55" s="57" t="s">
        <v>845</v>
      </c>
      <c r="S55" s="26"/>
      <c r="V55" s="58"/>
      <c r="W55" s="58" t="str">
        <f t="shared" si="4"/>
        <v>DumRSD_APA4_Ret22</v>
      </c>
      <c r="X55" s="58" t="s">
        <v>1421</v>
      </c>
      <c r="Y55" s="21" t="s">
        <v>785</v>
      </c>
      <c r="Z55" s="21"/>
      <c r="AA55" s="59"/>
      <c r="AB55" s="58"/>
      <c r="AC55" s="58"/>
    </row>
    <row r="56" spans="2:29" ht="13.8" x14ac:dyDescent="0.25">
      <c r="B56" s="26" t="str">
        <f t="shared" si="21"/>
        <v>RSD_APA4_Ret32</v>
      </c>
      <c r="C56" s="26" t="str">
        <f t="shared" si="22"/>
        <v>Apartment A4 Env. Insulation&amp;Windows repl. Advanced (N)</v>
      </c>
      <c r="D56" s="61" t="str">
        <f t="shared" si="23"/>
        <v>DumRSD_APA4_Ret32</v>
      </c>
      <c r="E56" s="26" t="str">
        <f>E55</f>
        <v>RSD_APA4_SH</v>
      </c>
      <c r="F56" s="26"/>
      <c r="G56" s="62">
        <f t="shared" si="11"/>
        <v>2018</v>
      </c>
      <c r="H56" s="57">
        <v>1</v>
      </c>
      <c r="I56" s="32"/>
      <c r="K56" s="11"/>
      <c r="L56" s="11"/>
      <c r="M56" s="11" t="str">
        <f>Commodities!$AD$14&amp;"_Ret32"</f>
        <v>RSD_APA4_Ret32</v>
      </c>
      <c r="N56" s="11" t="s">
        <v>1417</v>
      </c>
      <c r="O56" s="22" t="str">
        <f>General!$B$2</f>
        <v>PJ</v>
      </c>
      <c r="P56" s="22" t="str">
        <f>General!$D$24</f>
        <v>000dwellings</v>
      </c>
      <c r="Q56" s="22"/>
      <c r="R56" s="22" t="s">
        <v>845</v>
      </c>
      <c r="S56" s="11"/>
      <c r="V56" s="58"/>
      <c r="W56" s="58" t="str">
        <f t="shared" si="4"/>
        <v>DumRSD_APA4_Ret32</v>
      </c>
      <c r="X56" s="58" t="s">
        <v>1421</v>
      </c>
      <c r="Y56" s="21" t="s">
        <v>785</v>
      </c>
      <c r="Z56" s="21"/>
      <c r="AA56" s="59"/>
      <c r="AB56" s="58"/>
      <c r="AC56" s="58"/>
    </row>
    <row r="57" spans="2:29" ht="13.8" x14ac:dyDescent="0.25">
      <c r="B57" s="26"/>
      <c r="C57" s="26"/>
      <c r="D57" s="61"/>
      <c r="E57" s="26"/>
      <c r="F57" s="26"/>
      <c r="G57" s="57"/>
      <c r="H57" s="57"/>
      <c r="I57" s="32"/>
      <c r="K57" s="53" t="s">
        <v>835</v>
      </c>
      <c r="L57" s="53"/>
      <c r="M57" s="65" t="s">
        <v>837</v>
      </c>
      <c r="N57" s="10" t="s">
        <v>846</v>
      </c>
      <c r="O57" s="55" t="str">
        <f>General!$D$24</f>
        <v>000dwellings</v>
      </c>
      <c r="P57" s="55" t="str">
        <f>General!$D$24</f>
        <v>000dwellings</v>
      </c>
      <c r="Q57" s="53"/>
      <c r="R57" s="53"/>
      <c r="S57" s="53"/>
    </row>
    <row r="58" spans="2:29" ht="13.8" x14ac:dyDescent="0.25">
      <c r="B58" s="26"/>
      <c r="C58" s="26"/>
      <c r="D58" s="61"/>
      <c r="E58" s="26"/>
      <c r="F58" s="26"/>
      <c r="G58" s="57"/>
      <c r="H58" s="57"/>
      <c r="I58" s="32"/>
      <c r="K58" s="26"/>
      <c r="L58" s="26"/>
      <c r="M58" s="66"/>
      <c r="N58" s="26"/>
      <c r="O58" s="57"/>
      <c r="P58" s="57"/>
      <c r="Q58" s="26"/>
      <c r="R58" s="26"/>
      <c r="S58" s="26"/>
    </row>
    <row r="59" spans="2:29" ht="13.8" x14ac:dyDescent="0.25">
      <c r="B59" s="26"/>
      <c r="C59" s="26"/>
      <c r="D59" s="61"/>
      <c r="E59" s="26"/>
      <c r="F59" s="26"/>
      <c r="G59" s="57"/>
      <c r="H59" s="57"/>
      <c r="I59" s="32"/>
      <c r="K59" s="10"/>
      <c r="L59" s="10"/>
      <c r="M59" s="10"/>
      <c r="N59" s="10"/>
      <c r="O59" s="10"/>
      <c r="P59" s="10"/>
      <c r="Q59" s="10"/>
      <c r="R59" s="10"/>
      <c r="S59" s="10"/>
    </row>
    <row r="60" spans="2:29" ht="13.8" x14ac:dyDescent="0.25">
      <c r="B60" s="26"/>
      <c r="C60" s="26"/>
      <c r="D60" s="61"/>
      <c r="E60" s="26"/>
      <c r="F60" s="26"/>
      <c r="G60" s="57"/>
      <c r="H60" s="57"/>
      <c r="I60" s="32"/>
      <c r="K60" s="10"/>
      <c r="L60" s="10"/>
      <c r="M60" s="10"/>
      <c r="N60" s="10"/>
      <c r="O60" s="10"/>
      <c r="P60" s="10"/>
      <c r="Q60" s="10"/>
      <c r="R60" s="10"/>
      <c r="S60" s="10"/>
    </row>
    <row r="61" spans="2:29" ht="13.8" x14ac:dyDescent="0.25">
      <c r="B61" s="26"/>
      <c r="C61" s="26"/>
      <c r="D61" s="61"/>
      <c r="E61" s="26"/>
      <c r="F61" s="26"/>
      <c r="G61" s="57"/>
      <c r="H61" s="57"/>
      <c r="I61" s="32"/>
      <c r="K61" s="10"/>
      <c r="L61" s="10"/>
      <c r="M61" s="10"/>
      <c r="N61" s="10"/>
      <c r="O61" s="10"/>
      <c r="P61" s="10"/>
      <c r="Q61" s="10"/>
      <c r="R61" s="10"/>
      <c r="S61" s="10"/>
    </row>
    <row r="62" spans="2:29" ht="13.8" x14ac:dyDescent="0.25">
      <c r="B62" s="26"/>
      <c r="C62" s="26"/>
      <c r="D62" s="61"/>
      <c r="E62" s="26"/>
      <c r="F62" s="26"/>
      <c r="G62" s="57"/>
      <c r="H62" s="57"/>
      <c r="I62" s="32"/>
      <c r="K62" s="10"/>
      <c r="L62" s="10"/>
      <c r="M62" s="10"/>
      <c r="N62" s="10"/>
      <c r="O62" s="10"/>
      <c r="P62" s="10"/>
      <c r="Q62" s="10"/>
      <c r="R62" s="10"/>
      <c r="S62" s="10"/>
    </row>
    <row r="63" spans="2:29" ht="13.8" x14ac:dyDescent="0.25">
      <c r="B63" s="26"/>
      <c r="C63" s="26"/>
      <c r="D63" s="61"/>
      <c r="E63" s="26"/>
      <c r="F63" s="26"/>
      <c r="G63" s="57"/>
      <c r="H63" s="57"/>
      <c r="I63" s="32"/>
      <c r="K63" s="10"/>
      <c r="L63" s="10"/>
      <c r="M63" s="10"/>
      <c r="N63" s="10"/>
      <c r="O63" s="10"/>
      <c r="P63" s="10"/>
      <c r="Q63" s="10"/>
      <c r="R63" s="10"/>
      <c r="S63" s="10"/>
    </row>
    <row r="64" spans="2:29" ht="13.8" x14ac:dyDescent="0.25">
      <c r="B64" s="26"/>
      <c r="C64" s="26"/>
      <c r="D64" s="61"/>
      <c r="E64" s="26"/>
      <c r="F64" s="26"/>
      <c r="G64" s="57"/>
      <c r="H64" s="57"/>
      <c r="I64" s="32"/>
      <c r="K64" s="10"/>
      <c r="L64" s="10"/>
      <c r="M64" s="58"/>
      <c r="N64" s="10"/>
      <c r="O64" s="57"/>
      <c r="P64" s="57"/>
      <c r="Q64" s="10"/>
      <c r="R64" s="10"/>
      <c r="S64" s="10"/>
    </row>
    <row r="65" spans="2:19" ht="13.8" x14ac:dyDescent="0.25">
      <c r="B65" s="26"/>
      <c r="C65" s="26"/>
      <c r="D65" s="61"/>
      <c r="E65" s="26"/>
      <c r="F65" s="26"/>
      <c r="G65" s="57"/>
      <c r="H65" s="57"/>
      <c r="I65" s="32"/>
      <c r="K65" s="10"/>
      <c r="L65" s="10"/>
      <c r="M65" s="58"/>
      <c r="N65" s="10"/>
      <c r="O65" s="57"/>
      <c r="P65" s="57"/>
      <c r="Q65" s="10"/>
      <c r="R65" s="10"/>
      <c r="S65" s="10"/>
    </row>
    <row r="66" spans="2:19" ht="13.8" x14ac:dyDescent="0.25">
      <c r="B66" s="26"/>
      <c r="C66" s="26"/>
      <c r="D66" s="61"/>
      <c r="E66" s="26"/>
      <c r="F66" s="26"/>
      <c r="G66" s="57"/>
      <c r="H66" s="57"/>
      <c r="I66" s="32"/>
      <c r="K66" s="10"/>
      <c r="L66" s="10"/>
      <c r="M66" s="58"/>
      <c r="N66" s="10"/>
      <c r="O66" s="57"/>
      <c r="P66" s="57"/>
      <c r="Q66" s="10"/>
      <c r="R66" s="10"/>
      <c r="S66" s="10"/>
    </row>
    <row r="67" spans="2:19" ht="13.8" x14ac:dyDescent="0.25">
      <c r="B67" s="26"/>
      <c r="C67" s="26"/>
      <c r="D67" s="61"/>
      <c r="E67" s="26"/>
      <c r="F67" s="26"/>
      <c r="G67" s="57"/>
      <c r="H67" s="57"/>
      <c r="I67" s="32"/>
      <c r="K67" s="10"/>
      <c r="L67" s="10"/>
      <c r="M67" s="58"/>
      <c r="N67" s="10"/>
      <c r="O67" s="57"/>
      <c r="P67" s="57"/>
      <c r="Q67" s="10"/>
      <c r="R67" s="10"/>
      <c r="S67" s="10"/>
    </row>
    <row r="68" spans="2:19" ht="13.8" x14ac:dyDescent="0.25">
      <c r="B68" s="26"/>
      <c r="C68" s="26"/>
      <c r="D68" s="61"/>
      <c r="E68" s="26"/>
      <c r="F68" s="26"/>
      <c r="G68" s="57"/>
      <c r="H68" s="57"/>
      <c r="I68" s="32"/>
      <c r="K68" s="10"/>
      <c r="L68" s="10"/>
      <c r="M68" s="58"/>
      <c r="N68" s="10"/>
      <c r="O68" s="57"/>
      <c r="P68" s="57"/>
      <c r="Q68" s="10"/>
      <c r="R68" s="10"/>
      <c r="S68" s="10"/>
    </row>
    <row r="69" spans="2:19" ht="13.8" x14ac:dyDescent="0.25">
      <c r="B69" s="26"/>
      <c r="C69" s="26"/>
      <c r="D69" s="61"/>
      <c r="E69" s="26"/>
      <c r="F69" s="26"/>
      <c r="G69" s="57"/>
      <c r="H69" s="57"/>
      <c r="I69" s="32"/>
      <c r="K69" s="10"/>
      <c r="L69" s="10"/>
      <c r="M69" s="58"/>
      <c r="N69" s="10"/>
      <c r="O69" s="57"/>
      <c r="P69" s="57"/>
      <c r="Q69" s="10"/>
      <c r="R69" s="10"/>
      <c r="S69" s="10"/>
    </row>
    <row r="70" spans="2:19" ht="13.8" x14ac:dyDescent="0.25">
      <c r="B70" s="26"/>
      <c r="C70" s="26"/>
      <c r="D70" s="61"/>
      <c r="E70" s="26"/>
      <c r="F70" s="26"/>
      <c r="G70" s="57"/>
      <c r="H70" s="57"/>
      <c r="I70" s="32"/>
    </row>
    <row r="71" spans="2:19" ht="13.8" x14ac:dyDescent="0.25">
      <c r="B71" s="26"/>
      <c r="C71" s="26"/>
      <c r="D71" s="61"/>
      <c r="E71" s="26"/>
      <c r="F71" s="26"/>
      <c r="G71" s="57"/>
      <c r="H71" s="57"/>
      <c r="I71" s="32"/>
    </row>
    <row r="72" spans="2:19" ht="13.8" x14ac:dyDescent="0.25">
      <c r="B72" s="26"/>
      <c r="C72" s="26"/>
      <c r="D72" s="61"/>
      <c r="E72" s="26"/>
      <c r="F72" s="26"/>
      <c r="G72" s="57"/>
      <c r="H72" s="57"/>
      <c r="I72" s="32"/>
    </row>
    <row r="73" spans="2:19" ht="13.8" x14ac:dyDescent="0.25">
      <c r="B73" s="26"/>
      <c r="C73" s="26"/>
      <c r="D73" s="61"/>
      <c r="E73" s="26"/>
      <c r="F73" s="26"/>
      <c r="G73" s="57"/>
      <c r="H73" s="57"/>
      <c r="I73" s="32"/>
    </row>
    <row r="74" spans="2:19" ht="13.8" x14ac:dyDescent="0.25">
      <c r="B74" s="26"/>
      <c r="C74" s="26"/>
      <c r="D74" s="61"/>
      <c r="E74" s="26"/>
      <c r="F74" s="26"/>
      <c r="G74" s="57"/>
      <c r="H74" s="57"/>
      <c r="I74" s="32"/>
    </row>
    <row r="75" spans="2:19" ht="13.8" x14ac:dyDescent="0.25">
      <c r="B75" s="26"/>
      <c r="C75" s="26"/>
      <c r="D75" s="61"/>
      <c r="E75" s="26"/>
      <c r="F75" s="26"/>
      <c r="G75" s="57"/>
      <c r="H75" s="57"/>
      <c r="I75" s="32"/>
    </row>
    <row r="76" spans="2:19" ht="13.8" x14ac:dyDescent="0.25">
      <c r="B76" s="26"/>
      <c r="C76" s="26"/>
      <c r="D76" s="61"/>
      <c r="E76" s="26"/>
      <c r="F76" s="26"/>
      <c r="G76" s="57"/>
      <c r="H76" s="57"/>
      <c r="I76" s="32"/>
    </row>
    <row r="77" spans="2:19" ht="13.8" x14ac:dyDescent="0.25">
      <c r="B77" s="26"/>
      <c r="C77" s="26"/>
      <c r="D77" s="61"/>
      <c r="E77" s="26"/>
      <c r="F77" s="26"/>
      <c r="G77" s="57"/>
      <c r="H77" s="57"/>
      <c r="I77" s="32"/>
    </row>
    <row r="88" spans="2:9" ht="17.399999999999999" x14ac:dyDescent="0.3">
      <c r="B88" s="27" t="s">
        <v>844</v>
      </c>
      <c r="C88" s="27"/>
      <c r="D88" s="27"/>
      <c r="E88" s="27"/>
      <c r="F88" s="27"/>
      <c r="G88" s="27"/>
      <c r="H88" s="27"/>
      <c r="I88" s="27"/>
    </row>
    <row r="89" spans="2:9" ht="13.8" x14ac:dyDescent="0.25">
      <c r="B89" s="10"/>
      <c r="C89" s="10"/>
      <c r="D89" s="10"/>
      <c r="F89" s="31" t="s">
        <v>0</v>
      </c>
      <c r="G89" s="10"/>
    </row>
    <row r="90" spans="2:9" ht="13.8" x14ac:dyDescent="0.25">
      <c r="B90" s="33" t="s">
        <v>1</v>
      </c>
      <c r="C90" s="33" t="s">
        <v>794</v>
      </c>
      <c r="D90" s="33" t="s">
        <v>3</v>
      </c>
      <c r="E90" s="33" t="s">
        <v>4</v>
      </c>
      <c r="F90" s="34" t="s">
        <v>803</v>
      </c>
      <c r="G90" s="35" t="s">
        <v>14</v>
      </c>
      <c r="H90" s="35" t="s">
        <v>788</v>
      </c>
    </row>
    <row r="91" spans="2:9" ht="14.4" thickBot="1" x14ac:dyDescent="0.3">
      <c r="B91" s="67" t="s">
        <v>842</v>
      </c>
      <c r="C91" s="67" t="s">
        <v>28</v>
      </c>
      <c r="D91" s="68" t="s">
        <v>32</v>
      </c>
      <c r="E91" s="67" t="s">
        <v>33</v>
      </c>
      <c r="F91" s="42"/>
      <c r="G91" s="43" t="s">
        <v>35</v>
      </c>
      <c r="H91" s="43"/>
    </row>
    <row r="92" spans="2:9" ht="13.8" x14ac:dyDescent="0.25">
      <c r="B92" s="69" t="s">
        <v>843</v>
      </c>
      <c r="C92" s="69"/>
      <c r="D92" s="69"/>
      <c r="E92" s="69"/>
      <c r="F92" s="70"/>
      <c r="G92" s="69"/>
      <c r="H92" s="28"/>
    </row>
    <row r="93" spans="2:9" ht="13.8" x14ac:dyDescent="0.25">
      <c r="B93" s="61" t="str">
        <f>M57</f>
        <v>Dum_RSD_Retrofit</v>
      </c>
      <c r="C93" s="61" t="str">
        <f>N57</f>
        <v xml:space="preserve">Dummy Process to control Total Retrofits </v>
      </c>
      <c r="D93" s="26"/>
      <c r="E93" s="61" t="str">
        <f t="shared" ref="E93:E140" si="24">W9</f>
        <v>DumRSD_DTA1_Ret11</v>
      </c>
      <c r="F93" s="57"/>
      <c r="G93" s="71">
        <f>BASE_YEAR+1</f>
        <v>2018</v>
      </c>
      <c r="H93" s="10"/>
    </row>
    <row r="94" spans="2:9" ht="13.8" x14ac:dyDescent="0.25">
      <c r="B94" s="61"/>
      <c r="C94" s="61"/>
      <c r="D94" s="32"/>
      <c r="E94" s="61" t="str">
        <f t="shared" si="24"/>
        <v>DumRSD_DTA1_Ret21</v>
      </c>
      <c r="F94" s="57"/>
      <c r="G94" s="72"/>
    </row>
    <row r="95" spans="2:9" ht="13.8" x14ac:dyDescent="0.25">
      <c r="B95" s="61"/>
      <c r="C95" s="61"/>
      <c r="D95" s="32"/>
      <c r="E95" s="61" t="str">
        <f t="shared" si="24"/>
        <v>DumRSD_DTA1_Ret31</v>
      </c>
      <c r="F95" s="57"/>
      <c r="G95" s="72"/>
    </row>
    <row r="96" spans="2:9" ht="13.8" x14ac:dyDescent="0.25">
      <c r="B96" s="61"/>
      <c r="C96" s="61"/>
      <c r="D96" s="26"/>
      <c r="E96" s="61" t="str">
        <f t="shared" si="24"/>
        <v>DumRSD_APA1_Ret11</v>
      </c>
      <c r="F96" s="57"/>
      <c r="G96" s="72"/>
    </row>
    <row r="97" spans="2:7" ht="13.8" x14ac:dyDescent="0.25">
      <c r="B97" s="61"/>
      <c r="C97" s="61"/>
      <c r="D97" s="32"/>
      <c r="E97" s="61" t="str">
        <f t="shared" si="24"/>
        <v>DumRSD_APA1_Ret21</v>
      </c>
      <c r="F97" s="57"/>
      <c r="G97" s="72"/>
    </row>
    <row r="98" spans="2:7" ht="13.8" x14ac:dyDescent="0.25">
      <c r="B98" s="61"/>
      <c r="C98" s="61"/>
      <c r="D98" s="32"/>
      <c r="E98" s="61" t="str">
        <f t="shared" si="24"/>
        <v>DumRSD_APA1_Ret31</v>
      </c>
      <c r="F98" s="57"/>
      <c r="G98" s="72"/>
    </row>
    <row r="99" spans="2:7" ht="13.8" x14ac:dyDescent="0.25">
      <c r="B99" s="61"/>
      <c r="C99" s="61"/>
      <c r="D99" s="26"/>
      <c r="E99" s="61" t="str">
        <f t="shared" si="24"/>
        <v>DumRSD_DTA2_Ret11</v>
      </c>
      <c r="F99" s="57"/>
      <c r="G99" s="72"/>
    </row>
    <row r="100" spans="2:7" ht="13.8" x14ac:dyDescent="0.25">
      <c r="B100" s="61"/>
      <c r="C100" s="61"/>
      <c r="D100" s="32"/>
      <c r="E100" s="61" t="str">
        <f t="shared" si="24"/>
        <v>DumRSD_DTA2_Ret21</v>
      </c>
      <c r="F100" s="57"/>
      <c r="G100" s="72"/>
    </row>
    <row r="101" spans="2:7" ht="13.8" x14ac:dyDescent="0.25">
      <c r="C101" s="61"/>
      <c r="E101" s="61" t="str">
        <f t="shared" si="24"/>
        <v>DumRSD_DTA2_Ret31</v>
      </c>
    </row>
    <row r="102" spans="2:7" ht="13.8" x14ac:dyDescent="0.25">
      <c r="C102" s="61"/>
      <c r="E102" s="61" t="str">
        <f t="shared" si="24"/>
        <v>DumRSD_APA2_Ret11</v>
      </c>
    </row>
    <row r="103" spans="2:7" ht="13.8" x14ac:dyDescent="0.25">
      <c r="C103" s="61"/>
      <c r="E103" s="61" t="str">
        <f t="shared" si="24"/>
        <v>DumRSD_APA2_Ret21</v>
      </c>
    </row>
    <row r="104" spans="2:7" ht="13.8" x14ac:dyDescent="0.25">
      <c r="C104" s="61"/>
      <c r="E104" s="61" t="str">
        <f t="shared" si="24"/>
        <v>DumRSD_APA2_Ret31</v>
      </c>
    </row>
    <row r="105" spans="2:7" ht="13.8" x14ac:dyDescent="0.25">
      <c r="C105" s="61"/>
      <c r="E105" s="61" t="str">
        <f t="shared" si="24"/>
        <v>DumRSD_DTA3_Ret11</v>
      </c>
    </row>
    <row r="106" spans="2:7" ht="13.8" x14ac:dyDescent="0.25">
      <c r="C106" s="61"/>
      <c r="E106" s="61" t="str">
        <f t="shared" si="24"/>
        <v>DumRSD_DTA3_Ret21</v>
      </c>
    </row>
    <row r="107" spans="2:7" ht="13.8" x14ac:dyDescent="0.25">
      <c r="C107" s="61"/>
      <c r="E107" s="61" t="str">
        <f t="shared" si="24"/>
        <v>DumRSD_DTA3_Ret31</v>
      </c>
    </row>
    <row r="108" spans="2:7" ht="13.8" x14ac:dyDescent="0.25">
      <c r="C108" s="61"/>
      <c r="E108" s="61" t="str">
        <f t="shared" si="24"/>
        <v>DumRSD_APA3_Ret11</v>
      </c>
    </row>
    <row r="109" spans="2:7" ht="13.8" x14ac:dyDescent="0.25">
      <c r="C109" s="61"/>
      <c r="E109" s="61" t="str">
        <f t="shared" si="24"/>
        <v>DumRSD_APA3_Ret21</v>
      </c>
    </row>
    <row r="110" spans="2:7" ht="13.8" x14ac:dyDescent="0.25">
      <c r="C110" s="61"/>
      <c r="E110" s="61" t="str">
        <f t="shared" si="24"/>
        <v>DumRSD_APA3_Ret31</v>
      </c>
    </row>
    <row r="111" spans="2:7" ht="13.8" x14ac:dyDescent="0.25">
      <c r="E111" s="61" t="str">
        <f t="shared" si="24"/>
        <v>DumRSD_DTA4_Ret11</v>
      </c>
    </row>
    <row r="112" spans="2:7" ht="13.8" x14ac:dyDescent="0.25">
      <c r="E112" s="61" t="str">
        <f t="shared" si="24"/>
        <v>DumRSD_DTA4_Ret21</v>
      </c>
    </row>
    <row r="113" spans="5:5" ht="13.8" x14ac:dyDescent="0.25">
      <c r="E113" s="61" t="str">
        <f t="shared" si="24"/>
        <v>DumRSD_DTA4_Ret31</v>
      </c>
    </row>
    <row r="114" spans="5:5" ht="13.8" x14ac:dyDescent="0.25">
      <c r="E114" s="61" t="str">
        <f t="shared" si="24"/>
        <v>DumRSD_APA4_Ret11</v>
      </c>
    </row>
    <row r="115" spans="5:5" ht="13.8" x14ac:dyDescent="0.25">
      <c r="E115" s="61" t="str">
        <f t="shared" si="24"/>
        <v>DumRSD_APA4_Ret21</v>
      </c>
    </row>
    <row r="116" spans="5:5" ht="13.8" x14ac:dyDescent="0.25">
      <c r="E116" s="61" t="str">
        <f t="shared" si="24"/>
        <v>DumRSD_APA4_Ret31</v>
      </c>
    </row>
    <row r="117" spans="5:5" ht="13.8" x14ac:dyDescent="0.25">
      <c r="E117" s="61" t="str">
        <f t="shared" si="24"/>
        <v>DumRSD_DTA1_Ret12</v>
      </c>
    </row>
    <row r="118" spans="5:5" ht="13.8" x14ac:dyDescent="0.25">
      <c r="E118" s="61" t="str">
        <f t="shared" si="24"/>
        <v>DumRSD_DTA1_Ret22</v>
      </c>
    </row>
    <row r="119" spans="5:5" ht="13.8" x14ac:dyDescent="0.25">
      <c r="E119" s="61" t="str">
        <f t="shared" si="24"/>
        <v>DumRSD_DTA1_Ret32</v>
      </c>
    </row>
    <row r="120" spans="5:5" ht="13.8" x14ac:dyDescent="0.25">
      <c r="E120" s="61" t="str">
        <f t="shared" si="24"/>
        <v>DumRSD_APA1_Ret12</v>
      </c>
    </row>
    <row r="121" spans="5:5" ht="13.8" x14ac:dyDescent="0.25">
      <c r="E121" s="61" t="str">
        <f t="shared" si="24"/>
        <v>DumRSD_APA1_Ret22</v>
      </c>
    </row>
    <row r="122" spans="5:5" ht="13.8" x14ac:dyDescent="0.25">
      <c r="E122" s="61" t="str">
        <f t="shared" si="24"/>
        <v>DumRSD_APA1_Ret32</v>
      </c>
    </row>
    <row r="123" spans="5:5" ht="13.8" x14ac:dyDescent="0.25">
      <c r="E123" s="61" t="str">
        <f t="shared" si="24"/>
        <v>DumRSD_DTA2_Ret12</v>
      </c>
    </row>
    <row r="124" spans="5:5" ht="13.8" x14ac:dyDescent="0.25">
      <c r="E124" s="61" t="str">
        <f t="shared" si="24"/>
        <v>DumRSD_DTA2_Ret22</v>
      </c>
    </row>
    <row r="125" spans="5:5" ht="13.8" x14ac:dyDescent="0.25">
      <c r="E125" s="61" t="str">
        <f t="shared" si="24"/>
        <v>DumRSD_DTA2_Ret32</v>
      </c>
    </row>
    <row r="126" spans="5:5" ht="13.8" x14ac:dyDescent="0.25">
      <c r="E126" s="61" t="str">
        <f t="shared" si="24"/>
        <v>DumRSD_APA2_Ret12</v>
      </c>
    </row>
    <row r="127" spans="5:5" ht="13.8" x14ac:dyDescent="0.25">
      <c r="E127" s="61" t="str">
        <f t="shared" si="24"/>
        <v>DumRSD_APA2_Ret22</v>
      </c>
    </row>
    <row r="128" spans="5:5" ht="13.8" x14ac:dyDescent="0.25">
      <c r="E128" s="61" t="str">
        <f t="shared" si="24"/>
        <v>DumRSD_APA2_Ret32</v>
      </c>
    </row>
    <row r="129" spans="5:5" ht="13.8" x14ac:dyDescent="0.25">
      <c r="E129" s="61" t="str">
        <f t="shared" si="24"/>
        <v>DumRSD_DTA3_Ret12</v>
      </c>
    </row>
    <row r="130" spans="5:5" ht="13.8" x14ac:dyDescent="0.25">
      <c r="E130" s="61" t="str">
        <f t="shared" si="24"/>
        <v>DumRSD_DTA3_Ret22</v>
      </c>
    </row>
    <row r="131" spans="5:5" ht="13.8" x14ac:dyDescent="0.25">
      <c r="E131" s="61" t="str">
        <f t="shared" si="24"/>
        <v>DumRSD_DTA3_Ret32</v>
      </c>
    </row>
    <row r="132" spans="5:5" ht="13.8" x14ac:dyDescent="0.25">
      <c r="E132" s="61" t="str">
        <f t="shared" si="24"/>
        <v>DumRSD_APA3_Ret12</v>
      </c>
    </row>
    <row r="133" spans="5:5" ht="13.8" x14ac:dyDescent="0.25">
      <c r="E133" s="61" t="str">
        <f t="shared" si="24"/>
        <v>DumRSD_APA3_Ret22</v>
      </c>
    </row>
    <row r="134" spans="5:5" ht="13.8" x14ac:dyDescent="0.25">
      <c r="E134" s="61" t="str">
        <f t="shared" si="24"/>
        <v>DumRSD_APA3_Ret32</v>
      </c>
    </row>
    <row r="135" spans="5:5" ht="13.8" x14ac:dyDescent="0.25">
      <c r="E135" s="61" t="str">
        <f t="shared" si="24"/>
        <v>DumRSD_DTA4_Ret12</v>
      </c>
    </row>
    <row r="136" spans="5:5" ht="13.8" x14ac:dyDescent="0.25">
      <c r="E136" s="61" t="str">
        <f t="shared" si="24"/>
        <v>DumRSD_DTA4_Ret22</v>
      </c>
    </row>
    <row r="137" spans="5:5" ht="13.8" x14ac:dyDescent="0.25">
      <c r="E137" s="61" t="str">
        <f t="shared" si="24"/>
        <v>DumRSD_DTA4_Ret32</v>
      </c>
    </row>
    <row r="138" spans="5:5" ht="13.8" x14ac:dyDescent="0.25">
      <c r="E138" s="61" t="str">
        <f t="shared" si="24"/>
        <v>DumRSD_APA4_Ret12</v>
      </c>
    </row>
    <row r="139" spans="5:5" ht="13.8" x14ac:dyDescent="0.25">
      <c r="E139" s="61" t="str">
        <f t="shared" si="24"/>
        <v>DumRSD_APA4_Ret22</v>
      </c>
    </row>
    <row r="140" spans="5:5" ht="13.8" x14ac:dyDescent="0.25">
      <c r="E140" s="61" t="str">
        <f t="shared" si="24"/>
        <v>DumRSD_APA4_Ret32</v>
      </c>
    </row>
    <row r="141" spans="5:5" ht="13.8" x14ac:dyDescent="0.25">
      <c r="E141" s="61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AM353"/>
  <sheetViews>
    <sheetView topLeftCell="A98" zoomScale="70" zoomScaleNormal="70" workbookViewId="0">
      <selection activeCell="A98" sqref="A1:XFD1048576"/>
    </sheetView>
  </sheetViews>
  <sheetFormatPr defaultColWidth="9.109375" defaultRowHeight="13.8" x14ac:dyDescent="0.25"/>
  <cols>
    <col min="1" max="1" width="9.109375" style="10"/>
    <col min="2" max="2" width="15.6640625" style="10" customWidth="1"/>
    <col min="3" max="3" width="15.109375" style="10" customWidth="1"/>
    <col min="4" max="4" width="22" style="10" customWidth="1"/>
    <col min="5" max="5" width="55.5546875" style="10" customWidth="1"/>
    <col min="6" max="6" width="8.88671875" style="10" customWidth="1"/>
    <col min="7" max="7" width="24.33203125" style="10" bestFit="1" customWidth="1"/>
    <col min="8" max="8" width="13.6640625" style="10" bestFit="1" customWidth="1"/>
    <col min="9" max="9" width="14.5546875" style="10" bestFit="1" customWidth="1"/>
    <col min="10" max="10" width="14.88671875" style="10" customWidth="1"/>
    <col min="11" max="11" width="3.6640625" style="10" customWidth="1"/>
    <col min="12" max="12" width="39.33203125" style="10" bestFit="1" customWidth="1"/>
    <col min="13" max="13" width="31.33203125" style="10" customWidth="1"/>
    <col min="14" max="14" width="9.109375" style="10"/>
    <col min="15" max="15" width="8.6640625" style="10" customWidth="1"/>
    <col min="16" max="16" width="13.44140625" style="10" bestFit="1" customWidth="1"/>
    <col min="17" max="17" width="17.33203125" style="10" bestFit="1" customWidth="1"/>
    <col min="18" max="18" width="24.109375" style="10" bestFit="1" customWidth="1"/>
    <col min="19" max="19" width="7.6640625" style="10" bestFit="1" customWidth="1"/>
    <col min="20" max="23" width="12.33203125" style="10" customWidth="1"/>
    <col min="24" max="24" width="9.109375" style="10"/>
    <col min="25" max="26" width="24.109375" style="10" bestFit="1" customWidth="1"/>
    <col min="27" max="27" width="9.109375" style="10"/>
    <col min="28" max="28" width="16.109375" style="10" customWidth="1"/>
    <col min="29" max="29" width="13.44140625" style="10" bestFit="1" customWidth="1"/>
    <col min="30" max="30" width="28.88671875" style="10" customWidth="1"/>
    <col min="31" max="31" width="44" style="10" bestFit="1" customWidth="1"/>
    <col min="32" max="32" width="13.88671875" style="10" bestFit="1" customWidth="1"/>
    <col min="33" max="33" width="15.5546875" style="10" customWidth="1"/>
    <col min="34" max="35" width="12.5546875" style="10" customWidth="1"/>
    <col min="36" max="36" width="9" style="10" customWidth="1"/>
    <col min="37" max="16384" width="9.109375" style="10"/>
  </cols>
  <sheetData>
    <row r="1" spans="2:39" x14ac:dyDescent="0.25">
      <c r="B1" s="12" t="s">
        <v>749</v>
      </c>
    </row>
    <row r="4" spans="2:39" x14ac:dyDescent="0.25">
      <c r="B4" s="13"/>
      <c r="C4" s="13"/>
      <c r="D4" s="14"/>
      <c r="E4" s="14"/>
      <c r="F4" s="14"/>
      <c r="G4" s="14"/>
      <c r="H4" s="14"/>
      <c r="I4" s="14"/>
      <c r="J4" s="14"/>
      <c r="O4" s="13"/>
      <c r="P4" s="13"/>
      <c r="Q4" s="14"/>
      <c r="R4" s="14"/>
      <c r="S4" s="14"/>
      <c r="T4" s="14"/>
      <c r="U4" s="14"/>
      <c r="V4" s="14"/>
      <c r="W4" s="14"/>
      <c r="AB4" s="13"/>
      <c r="AC4" s="13"/>
      <c r="AD4" s="14"/>
      <c r="AE4" s="14"/>
      <c r="AF4" s="14"/>
      <c r="AG4" s="14"/>
      <c r="AH4" s="14"/>
      <c r="AI4" s="14"/>
      <c r="AJ4" s="14"/>
    </row>
    <row r="5" spans="2:39" x14ac:dyDescent="0.25">
      <c r="B5" s="15" t="s">
        <v>7</v>
      </c>
      <c r="C5" s="16" t="s">
        <v>39</v>
      </c>
      <c r="D5" s="15" t="s">
        <v>6</v>
      </c>
      <c r="E5" s="15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O5" s="15" t="s">
        <v>7</v>
      </c>
      <c r="P5" s="16" t="s">
        <v>39</v>
      </c>
      <c r="Q5" s="15" t="s">
        <v>6</v>
      </c>
      <c r="R5" s="15" t="s">
        <v>8</v>
      </c>
      <c r="S5" s="17" t="s">
        <v>9</v>
      </c>
      <c r="T5" s="17" t="s">
        <v>10</v>
      </c>
      <c r="U5" s="17" t="s">
        <v>11</v>
      </c>
      <c r="V5" s="17" t="s">
        <v>12</v>
      </c>
      <c r="W5" s="17" t="s">
        <v>13</v>
      </c>
      <c r="Y5" s="15" t="s">
        <v>40</v>
      </c>
      <c r="AB5" s="15" t="s">
        <v>7</v>
      </c>
      <c r="AC5" s="16" t="s">
        <v>39</v>
      </c>
      <c r="AD5" s="15" t="s">
        <v>6</v>
      </c>
      <c r="AE5" s="15" t="s">
        <v>8</v>
      </c>
      <c r="AF5" s="17" t="s">
        <v>9</v>
      </c>
      <c r="AG5" s="17" t="s">
        <v>10</v>
      </c>
      <c r="AH5" s="17" t="s">
        <v>11</v>
      </c>
      <c r="AI5" s="17" t="s">
        <v>12</v>
      </c>
      <c r="AJ5" s="17" t="s">
        <v>13</v>
      </c>
    </row>
    <row r="6" spans="2:39" s="20" customFormat="1" ht="28.5" customHeight="1" thickBot="1" x14ac:dyDescent="0.3">
      <c r="B6" s="18" t="s">
        <v>41</v>
      </c>
      <c r="C6" s="19" t="s">
        <v>42</v>
      </c>
      <c r="D6" s="18" t="s">
        <v>23</v>
      </c>
      <c r="E6" s="18" t="s">
        <v>24</v>
      </c>
      <c r="F6" s="18" t="s">
        <v>9</v>
      </c>
      <c r="G6" s="18" t="s">
        <v>43</v>
      </c>
      <c r="H6" s="18" t="s">
        <v>44</v>
      </c>
      <c r="I6" s="18" t="s">
        <v>25</v>
      </c>
      <c r="J6" s="18" t="s">
        <v>26</v>
      </c>
      <c r="L6" s="10"/>
      <c r="M6" s="10"/>
      <c r="O6" s="18" t="s">
        <v>41</v>
      </c>
      <c r="P6" s="19" t="s">
        <v>42</v>
      </c>
      <c r="Q6" s="18" t="s">
        <v>23</v>
      </c>
      <c r="R6" s="18" t="s">
        <v>24</v>
      </c>
      <c r="S6" s="18" t="s">
        <v>9</v>
      </c>
      <c r="T6" s="18" t="s">
        <v>43</v>
      </c>
      <c r="U6" s="18" t="s">
        <v>44</v>
      </c>
      <c r="V6" s="18" t="s">
        <v>25</v>
      </c>
      <c r="W6" s="18" t="s">
        <v>26</v>
      </c>
      <c r="Y6" s="18" t="s">
        <v>24</v>
      </c>
      <c r="Z6" s="10"/>
      <c r="AB6" s="18" t="s">
        <v>41</v>
      </c>
      <c r="AC6" s="19" t="s">
        <v>42</v>
      </c>
      <c r="AD6" s="18" t="s">
        <v>23</v>
      </c>
      <c r="AE6" s="18" t="s">
        <v>24</v>
      </c>
      <c r="AF6" s="18" t="s">
        <v>9</v>
      </c>
      <c r="AG6" s="18" t="s">
        <v>43</v>
      </c>
      <c r="AH6" s="18" t="s">
        <v>44</v>
      </c>
      <c r="AI6" s="18" t="s">
        <v>25</v>
      </c>
      <c r="AJ6" s="18" t="s">
        <v>26</v>
      </c>
      <c r="AK6" s="10"/>
      <c r="AL6" s="10"/>
      <c r="AM6" s="10"/>
    </row>
    <row r="7" spans="2:39" x14ac:dyDescent="0.25">
      <c r="B7" s="10" t="s">
        <v>45</v>
      </c>
      <c r="D7" s="10" t="s">
        <v>1436</v>
      </c>
      <c r="E7" s="10" t="s">
        <v>1437</v>
      </c>
      <c r="F7" s="21" t="s">
        <v>145</v>
      </c>
      <c r="O7" s="10" t="s">
        <v>46</v>
      </c>
      <c r="Q7" s="10" t="s">
        <v>47</v>
      </c>
      <c r="R7" s="10" t="str">
        <f>Y7</f>
        <v>CO2</v>
      </c>
      <c r="S7" s="21" t="s">
        <v>756</v>
      </c>
      <c r="Y7" s="10" t="s">
        <v>48</v>
      </c>
      <c r="AB7" s="12" t="s">
        <v>49</v>
      </c>
      <c r="AD7" s="10" t="s">
        <v>957</v>
      </c>
      <c r="AE7" s="10" t="s">
        <v>1422</v>
      </c>
      <c r="AF7" s="21" t="s">
        <v>785</v>
      </c>
      <c r="AH7" s="10" t="s">
        <v>723</v>
      </c>
    </row>
    <row r="8" spans="2:39" x14ac:dyDescent="0.25">
      <c r="D8" s="10" t="s">
        <v>50</v>
      </c>
      <c r="E8" s="10" t="s">
        <v>51</v>
      </c>
      <c r="F8" s="21" t="s">
        <v>145</v>
      </c>
      <c r="Q8" s="10" t="s">
        <v>52</v>
      </c>
      <c r="R8" s="10" t="str">
        <f t="shared" ref="R8:R33" si="0">Y8</f>
        <v>CH4</v>
      </c>
      <c r="S8" s="21" t="s">
        <v>756</v>
      </c>
      <c r="Y8" s="10" t="s">
        <v>53</v>
      </c>
      <c r="AD8" s="10" t="s">
        <v>958</v>
      </c>
      <c r="AE8" s="10" t="s">
        <v>1423</v>
      </c>
      <c r="AF8" s="21" t="s">
        <v>785</v>
      </c>
      <c r="AH8" s="10" t="s">
        <v>723</v>
      </c>
    </row>
    <row r="9" spans="2:39" x14ac:dyDescent="0.25">
      <c r="D9" s="10" t="s">
        <v>54</v>
      </c>
      <c r="E9" s="10" t="s">
        <v>55</v>
      </c>
      <c r="F9" s="21" t="s">
        <v>145</v>
      </c>
      <c r="Q9" s="10" t="s">
        <v>56</v>
      </c>
      <c r="R9" s="10" t="str">
        <f t="shared" si="0"/>
        <v>N2O</v>
      </c>
      <c r="S9" s="21" t="s">
        <v>756</v>
      </c>
      <c r="Y9" s="10" t="s">
        <v>57</v>
      </c>
      <c r="AD9" s="10" t="s">
        <v>959</v>
      </c>
      <c r="AE9" s="10" t="s">
        <v>1424</v>
      </c>
      <c r="AF9" s="21" t="s">
        <v>785</v>
      </c>
      <c r="AH9" s="10" t="s">
        <v>723</v>
      </c>
    </row>
    <row r="10" spans="2:39" x14ac:dyDescent="0.25">
      <c r="D10" s="10" t="s">
        <v>1438</v>
      </c>
      <c r="E10" s="10" t="s">
        <v>58</v>
      </c>
      <c r="F10" s="21" t="s">
        <v>145</v>
      </c>
      <c r="Q10" s="10" t="s">
        <v>59</v>
      </c>
      <c r="R10" s="10" t="str">
        <f t="shared" si="0"/>
        <v>CO2 (SUP)</v>
      </c>
      <c r="S10" s="21" t="s">
        <v>756</v>
      </c>
      <c r="Y10" s="10" t="s">
        <v>60</v>
      </c>
      <c r="AD10" s="10" t="s">
        <v>960</v>
      </c>
      <c r="AE10" s="10" t="s">
        <v>1425</v>
      </c>
      <c r="AF10" s="21" t="s">
        <v>785</v>
      </c>
      <c r="AH10" s="10" t="s">
        <v>723</v>
      </c>
    </row>
    <row r="11" spans="2:39" x14ac:dyDescent="0.25">
      <c r="D11" s="10" t="s">
        <v>61</v>
      </c>
      <c r="E11" s="10" t="s">
        <v>62</v>
      </c>
      <c r="F11" s="21" t="s">
        <v>145</v>
      </c>
      <c r="Q11" s="10" t="s">
        <v>63</v>
      </c>
      <c r="R11" s="10" t="str">
        <f t="shared" si="0"/>
        <v>CH4 (SUP)</v>
      </c>
      <c r="S11" s="21" t="s">
        <v>756</v>
      </c>
      <c r="Y11" s="10" t="s">
        <v>64</v>
      </c>
      <c r="AD11" s="10" t="s">
        <v>961</v>
      </c>
      <c r="AE11" s="10" t="s">
        <v>1426</v>
      </c>
      <c r="AF11" s="21" t="s">
        <v>785</v>
      </c>
      <c r="AH11" s="10" t="s">
        <v>723</v>
      </c>
    </row>
    <row r="12" spans="2:39" x14ac:dyDescent="0.25">
      <c r="D12" s="10" t="s">
        <v>65</v>
      </c>
      <c r="E12" s="10" t="s">
        <v>66</v>
      </c>
      <c r="F12" s="21" t="s">
        <v>145</v>
      </c>
      <c r="Q12" s="10" t="s">
        <v>67</v>
      </c>
      <c r="R12" s="10" t="str">
        <f t="shared" si="0"/>
        <v>N2O (SUP)</v>
      </c>
      <c r="S12" s="21" t="s">
        <v>756</v>
      </c>
      <c r="Y12" s="10" t="s">
        <v>68</v>
      </c>
      <c r="AD12" s="10" t="s">
        <v>962</v>
      </c>
      <c r="AE12" s="10" t="s">
        <v>1427</v>
      </c>
      <c r="AF12" s="21" t="s">
        <v>785</v>
      </c>
      <c r="AH12" s="10" t="s">
        <v>723</v>
      </c>
    </row>
    <row r="13" spans="2:39" x14ac:dyDescent="0.25">
      <c r="D13" s="10" t="s">
        <v>69</v>
      </c>
      <c r="E13" s="10" t="s">
        <v>70</v>
      </c>
      <c r="F13" s="21" t="s">
        <v>145</v>
      </c>
      <c r="Q13" s="10" t="s">
        <v>71</v>
      </c>
      <c r="R13" s="10" t="str">
        <f t="shared" si="0"/>
        <v>CO2 (IND)</v>
      </c>
      <c r="S13" s="21" t="s">
        <v>756</v>
      </c>
      <c r="Y13" s="10" t="s">
        <v>72</v>
      </c>
      <c r="AD13" s="10" t="s">
        <v>963</v>
      </c>
      <c r="AE13" s="10" t="s">
        <v>1428</v>
      </c>
      <c r="AF13" s="21" t="s">
        <v>785</v>
      </c>
      <c r="AH13" s="10" t="s">
        <v>723</v>
      </c>
    </row>
    <row r="14" spans="2:39" x14ac:dyDescent="0.25">
      <c r="D14" s="10" t="s">
        <v>73</v>
      </c>
      <c r="E14" s="10" t="s">
        <v>74</v>
      </c>
      <c r="F14" s="21" t="s">
        <v>145</v>
      </c>
      <c r="Q14" s="10" t="s">
        <v>75</v>
      </c>
      <c r="R14" s="10" t="str">
        <f t="shared" si="0"/>
        <v>CH4 (IND)</v>
      </c>
      <c r="S14" s="21" t="s">
        <v>756</v>
      </c>
      <c r="Y14" s="10" t="s">
        <v>76</v>
      </c>
      <c r="AB14" s="11"/>
      <c r="AC14" s="11"/>
      <c r="AD14" s="11" t="s">
        <v>964</v>
      </c>
      <c r="AE14" s="11" t="s">
        <v>1429</v>
      </c>
      <c r="AF14" s="22" t="s">
        <v>785</v>
      </c>
      <c r="AG14" s="11"/>
      <c r="AH14" s="11" t="s">
        <v>723</v>
      </c>
      <c r="AI14" s="11"/>
      <c r="AJ14" s="11"/>
    </row>
    <row r="15" spans="2:39" x14ac:dyDescent="0.25">
      <c r="D15" s="10" t="s">
        <v>77</v>
      </c>
      <c r="E15" s="10" t="s">
        <v>78</v>
      </c>
      <c r="F15" s="21" t="s">
        <v>145</v>
      </c>
      <c r="Q15" s="10" t="s">
        <v>79</v>
      </c>
      <c r="R15" s="10" t="str">
        <f t="shared" si="0"/>
        <v>N2O (IND)</v>
      </c>
      <c r="S15" s="21" t="s">
        <v>756</v>
      </c>
      <c r="Y15" s="10" t="s">
        <v>80</v>
      </c>
      <c r="AB15" s="12" t="s">
        <v>45</v>
      </c>
      <c r="AD15" s="10" t="s">
        <v>850</v>
      </c>
      <c r="AE15" s="10" t="s">
        <v>922</v>
      </c>
      <c r="AF15" s="21" t="s">
        <v>145</v>
      </c>
    </row>
    <row r="16" spans="2:39" x14ac:dyDescent="0.25">
      <c r="D16" s="10" t="s">
        <v>81</v>
      </c>
      <c r="E16" s="10" t="s">
        <v>82</v>
      </c>
      <c r="F16" s="21" t="s">
        <v>145</v>
      </c>
      <c r="Q16" s="10" t="s">
        <v>83</v>
      </c>
      <c r="R16" s="10" t="str">
        <f t="shared" si="0"/>
        <v>CO2 (RSD)</v>
      </c>
      <c r="S16" s="21" t="s">
        <v>756</v>
      </c>
      <c r="Y16" s="10" t="s">
        <v>84</v>
      </c>
      <c r="AD16" s="10" t="s">
        <v>851</v>
      </c>
      <c r="AE16" s="10" t="s">
        <v>965</v>
      </c>
      <c r="AF16" s="21" t="s">
        <v>145</v>
      </c>
    </row>
    <row r="17" spans="4:36" x14ac:dyDescent="0.25">
      <c r="D17" s="10" t="s">
        <v>85</v>
      </c>
      <c r="E17" s="10" t="s">
        <v>86</v>
      </c>
      <c r="F17" s="21" t="s">
        <v>145</v>
      </c>
      <c r="Q17" s="10" t="s">
        <v>87</v>
      </c>
      <c r="R17" s="10" t="str">
        <f t="shared" si="0"/>
        <v>CH4 (RSD)</v>
      </c>
      <c r="S17" s="21" t="s">
        <v>756</v>
      </c>
      <c r="Y17" s="10" t="s">
        <v>88</v>
      </c>
      <c r="AD17" s="10" t="s">
        <v>868</v>
      </c>
      <c r="AE17" s="10" t="s">
        <v>931</v>
      </c>
      <c r="AF17" s="21" t="s">
        <v>145</v>
      </c>
    </row>
    <row r="18" spans="4:36" x14ac:dyDescent="0.25">
      <c r="D18" s="10" t="s">
        <v>89</v>
      </c>
      <c r="E18" s="10" t="s">
        <v>90</v>
      </c>
      <c r="F18" s="21" t="s">
        <v>145</v>
      </c>
      <c r="Q18" s="10" t="s">
        <v>91</v>
      </c>
      <c r="R18" s="10" t="str">
        <f t="shared" si="0"/>
        <v>N2O (RSD)</v>
      </c>
      <c r="S18" s="21" t="s">
        <v>756</v>
      </c>
      <c r="Y18" s="10" t="s">
        <v>92</v>
      </c>
      <c r="AD18" s="10" t="s">
        <v>869</v>
      </c>
      <c r="AE18" s="10" t="s">
        <v>966</v>
      </c>
      <c r="AF18" s="21" t="s">
        <v>145</v>
      </c>
    </row>
    <row r="19" spans="4:36" x14ac:dyDescent="0.25">
      <c r="D19" s="10" t="s">
        <v>93</v>
      </c>
      <c r="E19" s="10" t="s">
        <v>94</v>
      </c>
      <c r="F19" s="21" t="s">
        <v>145</v>
      </c>
      <c r="Q19" s="10" t="s">
        <v>95</v>
      </c>
      <c r="R19" s="10" t="str">
        <f t="shared" si="0"/>
        <v>CO2 (COM)</v>
      </c>
      <c r="S19" s="21" t="s">
        <v>756</v>
      </c>
      <c r="Y19" s="10" t="s">
        <v>96</v>
      </c>
      <c r="AD19" s="10" t="s">
        <v>886</v>
      </c>
      <c r="AE19" s="10" t="s">
        <v>940</v>
      </c>
      <c r="AF19" s="21" t="s">
        <v>145</v>
      </c>
    </row>
    <row r="20" spans="4:36" x14ac:dyDescent="0.25">
      <c r="D20" s="10" t="s">
        <v>97</v>
      </c>
      <c r="E20" s="10" t="s">
        <v>98</v>
      </c>
      <c r="F20" s="21" t="s">
        <v>145</v>
      </c>
      <c r="Q20" s="10" t="s">
        <v>99</v>
      </c>
      <c r="R20" s="10" t="str">
        <f t="shared" si="0"/>
        <v>CH4 (COM)</v>
      </c>
      <c r="S20" s="21" t="s">
        <v>756</v>
      </c>
      <c r="Y20" s="10" t="s">
        <v>100</v>
      </c>
      <c r="AD20" s="10" t="s">
        <v>887</v>
      </c>
      <c r="AE20" s="10" t="s">
        <v>967</v>
      </c>
      <c r="AF20" s="21" t="s">
        <v>145</v>
      </c>
    </row>
    <row r="21" spans="4:36" x14ac:dyDescent="0.25">
      <c r="D21" s="10" t="s">
        <v>101</v>
      </c>
      <c r="E21" s="10" t="s">
        <v>102</v>
      </c>
      <c r="F21" s="21" t="s">
        <v>145</v>
      </c>
      <c r="Q21" s="10" t="s">
        <v>103</v>
      </c>
      <c r="R21" s="10" t="str">
        <f t="shared" si="0"/>
        <v>N2O (COM)</v>
      </c>
      <c r="S21" s="21" t="s">
        <v>756</v>
      </c>
      <c r="Y21" s="10" t="s">
        <v>104</v>
      </c>
      <c r="AD21" s="10" t="s">
        <v>904</v>
      </c>
      <c r="AE21" s="10" t="s">
        <v>949</v>
      </c>
      <c r="AF21" s="21" t="s">
        <v>145</v>
      </c>
    </row>
    <row r="22" spans="4:36" x14ac:dyDescent="0.25">
      <c r="D22" s="10" t="s">
        <v>105</v>
      </c>
      <c r="E22" s="10" t="s">
        <v>106</v>
      </c>
      <c r="F22" s="21" t="s">
        <v>145</v>
      </c>
      <c r="Q22" s="10" t="s">
        <v>107</v>
      </c>
      <c r="R22" s="10" t="str">
        <f t="shared" si="0"/>
        <v>CO2 (AGR)</v>
      </c>
      <c r="S22" s="21" t="s">
        <v>756</v>
      </c>
      <c r="Y22" s="10" t="s">
        <v>108</v>
      </c>
      <c r="AB22" s="11"/>
      <c r="AC22" s="11"/>
      <c r="AD22" s="11" t="s">
        <v>905</v>
      </c>
      <c r="AE22" s="11" t="s">
        <v>968</v>
      </c>
      <c r="AF22" s="22" t="s">
        <v>145</v>
      </c>
      <c r="AG22" s="11"/>
      <c r="AH22" s="11"/>
      <c r="AI22" s="11"/>
      <c r="AJ22" s="11"/>
    </row>
    <row r="23" spans="4:36" x14ac:dyDescent="0.25">
      <c r="D23" s="10" t="s">
        <v>109</v>
      </c>
      <c r="E23" s="10" t="s">
        <v>110</v>
      </c>
      <c r="F23" s="21" t="s">
        <v>145</v>
      </c>
      <c r="Q23" s="10" t="s">
        <v>111</v>
      </c>
      <c r="R23" s="10" t="str">
        <f t="shared" si="0"/>
        <v>CH4 (AGR)</v>
      </c>
      <c r="S23" s="21" t="s">
        <v>756</v>
      </c>
      <c r="Y23" s="10" t="s">
        <v>112</v>
      </c>
      <c r="AB23" s="12"/>
      <c r="AD23" s="10" t="s">
        <v>852</v>
      </c>
      <c r="AE23" s="10" t="s">
        <v>923</v>
      </c>
      <c r="AF23" s="21" t="s">
        <v>145</v>
      </c>
    </row>
    <row r="24" spans="4:36" x14ac:dyDescent="0.25">
      <c r="D24" s="10" t="s">
        <v>113</v>
      </c>
      <c r="E24" s="10" t="s">
        <v>114</v>
      </c>
      <c r="F24" s="21" t="s">
        <v>145</v>
      </c>
      <c r="Q24" s="10" t="s">
        <v>115</v>
      </c>
      <c r="R24" s="10" t="str">
        <f t="shared" si="0"/>
        <v>N2O (AGR)</v>
      </c>
      <c r="S24" s="21" t="s">
        <v>756</v>
      </c>
      <c r="Y24" s="10" t="s">
        <v>116</v>
      </c>
      <c r="AD24" s="10" t="s">
        <v>853</v>
      </c>
      <c r="AE24" s="10" t="s">
        <v>969</v>
      </c>
      <c r="AF24" s="21" t="s">
        <v>145</v>
      </c>
    </row>
    <row r="25" spans="4:36" x14ac:dyDescent="0.25">
      <c r="D25" s="10" t="s">
        <v>117</v>
      </c>
      <c r="E25" s="10" t="s">
        <v>118</v>
      </c>
      <c r="F25" s="21" t="s">
        <v>145</v>
      </c>
      <c r="Q25" s="10" t="s">
        <v>119</v>
      </c>
      <c r="R25" s="10" t="str">
        <f t="shared" si="0"/>
        <v>CO2 (TRA)</v>
      </c>
      <c r="S25" s="21" t="s">
        <v>756</v>
      </c>
      <c r="Y25" s="10" t="s">
        <v>120</v>
      </c>
      <c r="AD25" s="10" t="s">
        <v>870</v>
      </c>
      <c r="AE25" s="10" t="s">
        <v>932</v>
      </c>
      <c r="AF25" s="21" t="s">
        <v>145</v>
      </c>
    </row>
    <row r="26" spans="4:36" x14ac:dyDescent="0.25">
      <c r="D26" s="10" t="s">
        <v>121</v>
      </c>
      <c r="E26" s="10" t="s">
        <v>122</v>
      </c>
      <c r="F26" s="21" t="s">
        <v>145</v>
      </c>
      <c r="Q26" s="10" t="s">
        <v>123</v>
      </c>
      <c r="R26" s="10" t="str">
        <f t="shared" si="0"/>
        <v>CH4 (TRA)</v>
      </c>
      <c r="S26" s="21" t="s">
        <v>756</v>
      </c>
      <c r="Y26" s="10" t="s">
        <v>124</v>
      </c>
      <c r="AD26" s="10" t="s">
        <v>871</v>
      </c>
      <c r="AE26" s="10" t="s">
        <v>970</v>
      </c>
      <c r="AF26" s="21" t="s">
        <v>145</v>
      </c>
    </row>
    <row r="27" spans="4:36" x14ac:dyDescent="0.25">
      <c r="D27" s="10" t="s">
        <v>125</v>
      </c>
      <c r="E27" s="10" t="s">
        <v>126</v>
      </c>
      <c r="F27" s="21" t="s">
        <v>145</v>
      </c>
      <c r="Q27" s="10" t="s">
        <v>127</v>
      </c>
      <c r="R27" s="10" t="str">
        <f t="shared" si="0"/>
        <v>N2O (TRA)</v>
      </c>
      <c r="S27" s="21" t="s">
        <v>756</v>
      </c>
      <c r="Y27" s="10" t="s">
        <v>128</v>
      </c>
      <c r="AD27" s="10" t="s">
        <v>888</v>
      </c>
      <c r="AE27" s="10" t="s">
        <v>941</v>
      </c>
      <c r="AF27" s="21" t="s">
        <v>145</v>
      </c>
    </row>
    <row r="28" spans="4:36" x14ac:dyDescent="0.25">
      <c r="D28" s="10" t="s">
        <v>129</v>
      </c>
      <c r="E28" s="10" t="s">
        <v>130</v>
      </c>
      <c r="F28" s="21" t="s">
        <v>145</v>
      </c>
      <c r="Q28" s="10" t="s">
        <v>131</v>
      </c>
      <c r="R28" s="10" t="str">
        <f t="shared" si="0"/>
        <v>CO2 (ELE)</v>
      </c>
      <c r="S28" s="21" t="s">
        <v>756</v>
      </c>
      <c r="Y28" s="10" t="s">
        <v>132</v>
      </c>
      <c r="AD28" s="10" t="s">
        <v>889</v>
      </c>
      <c r="AE28" s="10" t="s">
        <v>971</v>
      </c>
      <c r="AF28" s="21" t="s">
        <v>145</v>
      </c>
    </row>
    <row r="29" spans="4:36" x14ac:dyDescent="0.25">
      <c r="D29" s="10" t="s">
        <v>133</v>
      </c>
      <c r="E29" s="10" t="s">
        <v>134</v>
      </c>
      <c r="F29" s="21" t="s">
        <v>145</v>
      </c>
      <c r="Q29" s="10" t="s">
        <v>135</v>
      </c>
      <c r="R29" s="10" t="str">
        <f t="shared" si="0"/>
        <v>CH4 (ELE)</v>
      </c>
      <c r="S29" s="21" t="s">
        <v>756</v>
      </c>
      <c r="Y29" s="10" t="s">
        <v>136</v>
      </c>
      <c r="AD29" s="10" t="s">
        <v>906</v>
      </c>
      <c r="AE29" s="10" t="s">
        <v>950</v>
      </c>
      <c r="AF29" s="21" t="s">
        <v>145</v>
      </c>
    </row>
    <row r="30" spans="4:36" x14ac:dyDescent="0.25">
      <c r="D30" s="10" t="s">
        <v>137</v>
      </c>
      <c r="E30" s="10" t="s">
        <v>138</v>
      </c>
      <c r="F30" s="21" t="s">
        <v>145</v>
      </c>
      <c r="Q30" s="10" t="s">
        <v>139</v>
      </c>
      <c r="R30" s="10" t="str">
        <f t="shared" si="0"/>
        <v>N2O (ELE)</v>
      </c>
      <c r="S30" s="21" t="s">
        <v>756</v>
      </c>
      <c r="Y30" s="10" t="s">
        <v>140</v>
      </c>
      <c r="AB30" s="11"/>
      <c r="AC30" s="11"/>
      <c r="AD30" s="11" t="s">
        <v>907</v>
      </c>
      <c r="AE30" s="11" t="s">
        <v>972</v>
      </c>
      <c r="AF30" s="22" t="s">
        <v>145</v>
      </c>
      <c r="AG30" s="11"/>
      <c r="AH30" s="11"/>
      <c r="AI30" s="11"/>
      <c r="AJ30" s="11"/>
    </row>
    <row r="31" spans="4:36" x14ac:dyDescent="0.25">
      <c r="D31" s="10" t="s">
        <v>141</v>
      </c>
      <c r="E31" s="10" t="s">
        <v>142</v>
      </c>
      <c r="F31" s="21" t="s">
        <v>145</v>
      </c>
      <c r="Q31" s="10" t="s">
        <v>143</v>
      </c>
      <c r="R31" s="10" t="str">
        <f t="shared" si="0"/>
        <v>CO2 (HET)</v>
      </c>
      <c r="S31" s="21" t="s">
        <v>756</v>
      </c>
      <c r="Y31" s="10" t="s">
        <v>144</v>
      </c>
      <c r="AB31" s="12"/>
      <c r="AD31" s="10" t="s">
        <v>854</v>
      </c>
      <c r="AE31" s="10" t="s">
        <v>924</v>
      </c>
      <c r="AF31" s="21" t="s">
        <v>145</v>
      </c>
    </row>
    <row r="32" spans="4:36" x14ac:dyDescent="0.25">
      <c r="D32" s="10" t="s">
        <v>146</v>
      </c>
      <c r="E32" s="10" t="s">
        <v>147</v>
      </c>
      <c r="F32" s="21" t="s">
        <v>145</v>
      </c>
      <c r="Q32" s="10" t="s">
        <v>148</v>
      </c>
      <c r="R32" s="10" t="str">
        <f t="shared" si="0"/>
        <v>CH4 (HET)</v>
      </c>
      <c r="S32" s="21" t="s">
        <v>756</v>
      </c>
      <c r="Y32" s="10" t="s">
        <v>149</v>
      </c>
      <c r="AD32" s="10" t="s">
        <v>855</v>
      </c>
      <c r="AE32" s="10" t="s">
        <v>973</v>
      </c>
      <c r="AF32" s="21" t="s">
        <v>145</v>
      </c>
    </row>
    <row r="33" spans="4:36" x14ac:dyDescent="0.25">
      <c r="D33" s="10" t="s">
        <v>150</v>
      </c>
      <c r="E33" s="10" t="s">
        <v>151</v>
      </c>
      <c r="F33" s="21" t="s">
        <v>145</v>
      </c>
      <c r="Q33" s="10" t="s">
        <v>152</v>
      </c>
      <c r="R33" s="10" t="str">
        <f t="shared" si="0"/>
        <v>N2O (HET)</v>
      </c>
      <c r="S33" s="21" t="s">
        <v>756</v>
      </c>
      <c r="Y33" s="10" t="s">
        <v>153</v>
      </c>
      <c r="AD33" s="10" t="s">
        <v>872</v>
      </c>
      <c r="AE33" s="10" t="s">
        <v>933</v>
      </c>
      <c r="AF33" s="21" t="s">
        <v>145</v>
      </c>
    </row>
    <row r="34" spans="4:36" x14ac:dyDescent="0.25">
      <c r="D34" s="10" t="s">
        <v>154</v>
      </c>
      <c r="E34" s="10" t="s">
        <v>155</v>
      </c>
      <c r="F34" s="21" t="s">
        <v>145</v>
      </c>
      <c r="AD34" s="10" t="s">
        <v>873</v>
      </c>
      <c r="AE34" s="10" t="s">
        <v>974</v>
      </c>
      <c r="AF34" s="21" t="s">
        <v>145</v>
      </c>
    </row>
    <row r="35" spans="4:36" x14ac:dyDescent="0.25">
      <c r="D35" s="10" t="s">
        <v>156</v>
      </c>
      <c r="E35" s="10" t="s">
        <v>157</v>
      </c>
      <c r="F35" s="21" t="s">
        <v>145</v>
      </c>
      <c r="AD35" s="10" t="s">
        <v>890</v>
      </c>
      <c r="AE35" s="10" t="s">
        <v>942</v>
      </c>
      <c r="AF35" s="21" t="s">
        <v>145</v>
      </c>
    </row>
    <row r="36" spans="4:36" x14ac:dyDescent="0.25">
      <c r="D36" s="10" t="s">
        <v>158</v>
      </c>
      <c r="E36" s="10" t="s">
        <v>159</v>
      </c>
      <c r="F36" s="21" t="s">
        <v>145</v>
      </c>
      <c r="AD36" s="10" t="s">
        <v>891</v>
      </c>
      <c r="AE36" s="10" t="s">
        <v>942</v>
      </c>
      <c r="AF36" s="21" t="s">
        <v>145</v>
      </c>
    </row>
    <row r="37" spans="4:36" x14ac:dyDescent="0.25">
      <c r="D37" s="10" t="s">
        <v>160</v>
      </c>
      <c r="E37" s="10" t="s">
        <v>161</v>
      </c>
      <c r="F37" s="21" t="s">
        <v>145</v>
      </c>
      <c r="AD37" s="10" t="s">
        <v>908</v>
      </c>
      <c r="AE37" s="10" t="s">
        <v>1000</v>
      </c>
      <c r="AF37" s="21" t="s">
        <v>145</v>
      </c>
    </row>
    <row r="38" spans="4:36" x14ac:dyDescent="0.25">
      <c r="D38" s="10" t="s">
        <v>164</v>
      </c>
      <c r="E38" s="10" t="s">
        <v>165</v>
      </c>
      <c r="F38" s="21" t="s">
        <v>145</v>
      </c>
      <c r="AB38" s="11"/>
      <c r="AC38" s="11"/>
      <c r="AD38" s="11" t="s">
        <v>909</v>
      </c>
      <c r="AE38" s="11" t="s">
        <v>975</v>
      </c>
      <c r="AF38" s="22" t="s">
        <v>145</v>
      </c>
      <c r="AG38" s="11"/>
      <c r="AH38" s="11"/>
      <c r="AI38" s="11"/>
      <c r="AJ38" s="11"/>
    </row>
    <row r="39" spans="4:36" x14ac:dyDescent="0.25">
      <c r="D39" s="10" t="s">
        <v>166</v>
      </c>
      <c r="E39" s="10" t="s">
        <v>167</v>
      </c>
      <c r="F39" s="21" t="s">
        <v>145</v>
      </c>
      <c r="AB39" s="12"/>
      <c r="AD39" s="10" t="s">
        <v>856</v>
      </c>
      <c r="AE39" s="10" t="s">
        <v>925</v>
      </c>
      <c r="AF39" s="21" t="s">
        <v>145</v>
      </c>
    </row>
    <row r="40" spans="4:36" x14ac:dyDescent="0.25">
      <c r="D40" s="10" t="s">
        <v>168</v>
      </c>
      <c r="E40" s="10" t="s">
        <v>169</v>
      </c>
      <c r="F40" s="21" t="s">
        <v>145</v>
      </c>
      <c r="AD40" s="10" t="s">
        <v>857</v>
      </c>
      <c r="AE40" s="10" t="s">
        <v>976</v>
      </c>
      <c r="AF40" s="21" t="s">
        <v>145</v>
      </c>
    </row>
    <row r="41" spans="4:36" x14ac:dyDescent="0.25">
      <c r="D41" s="10" t="s">
        <v>170</v>
      </c>
      <c r="E41" s="10" t="s">
        <v>171</v>
      </c>
      <c r="F41" s="21" t="s">
        <v>145</v>
      </c>
      <c r="AD41" s="10" t="s">
        <v>874</v>
      </c>
      <c r="AE41" s="10" t="s">
        <v>934</v>
      </c>
      <c r="AF41" s="21" t="s">
        <v>145</v>
      </c>
    </row>
    <row r="42" spans="4:36" x14ac:dyDescent="0.25">
      <c r="D42" s="10" t="s">
        <v>172</v>
      </c>
      <c r="E42" s="10" t="s">
        <v>173</v>
      </c>
      <c r="F42" s="21" t="s">
        <v>145</v>
      </c>
      <c r="AD42" s="10" t="s">
        <v>875</v>
      </c>
      <c r="AE42" s="10" t="s">
        <v>977</v>
      </c>
      <c r="AF42" s="21" t="s">
        <v>145</v>
      </c>
    </row>
    <row r="43" spans="4:36" x14ac:dyDescent="0.25">
      <c r="D43" s="10" t="s">
        <v>174</v>
      </c>
      <c r="E43" s="10" t="s">
        <v>175</v>
      </c>
      <c r="F43" s="21" t="s">
        <v>145</v>
      </c>
      <c r="AD43" s="10" t="s">
        <v>892</v>
      </c>
      <c r="AE43" s="10" t="s">
        <v>943</v>
      </c>
      <c r="AF43" s="21" t="s">
        <v>145</v>
      </c>
    </row>
    <row r="44" spans="4:36" x14ac:dyDescent="0.25">
      <c r="D44" s="10" t="s">
        <v>176</v>
      </c>
      <c r="E44" s="10" t="s">
        <v>177</v>
      </c>
      <c r="F44" s="21" t="s">
        <v>145</v>
      </c>
      <c r="AD44" s="10" t="s">
        <v>893</v>
      </c>
      <c r="AE44" s="10" t="s">
        <v>978</v>
      </c>
      <c r="AF44" s="21" t="s">
        <v>145</v>
      </c>
    </row>
    <row r="45" spans="4:36" x14ac:dyDescent="0.25">
      <c r="D45" s="10" t="s">
        <v>178</v>
      </c>
      <c r="E45" s="10" t="s">
        <v>179</v>
      </c>
      <c r="F45" s="21" t="s">
        <v>145</v>
      </c>
      <c r="AD45" s="10" t="s">
        <v>910</v>
      </c>
      <c r="AE45" s="10" t="s">
        <v>951</v>
      </c>
      <c r="AF45" s="21" t="s">
        <v>145</v>
      </c>
    </row>
    <row r="46" spans="4:36" x14ac:dyDescent="0.25">
      <c r="D46" s="10" t="s">
        <v>180</v>
      </c>
      <c r="E46" s="10" t="s">
        <v>181</v>
      </c>
      <c r="F46" s="21" t="s">
        <v>145</v>
      </c>
      <c r="AB46" s="11"/>
      <c r="AC46" s="11"/>
      <c r="AD46" s="11" t="s">
        <v>911</v>
      </c>
      <c r="AE46" s="11" t="s">
        <v>979</v>
      </c>
      <c r="AF46" s="22" t="s">
        <v>145</v>
      </c>
      <c r="AG46" s="11"/>
      <c r="AH46" s="11"/>
      <c r="AI46" s="11"/>
      <c r="AJ46" s="11"/>
    </row>
    <row r="47" spans="4:36" x14ac:dyDescent="0.25">
      <c r="D47" s="10" t="s">
        <v>182</v>
      </c>
      <c r="E47" s="10" t="s">
        <v>183</v>
      </c>
      <c r="F47" s="21" t="s">
        <v>145</v>
      </c>
      <c r="AB47" s="12" t="s">
        <v>162</v>
      </c>
      <c r="AD47" s="10" t="s">
        <v>858</v>
      </c>
      <c r="AE47" s="10" t="s">
        <v>926</v>
      </c>
      <c r="AF47" s="21" t="s">
        <v>163</v>
      </c>
    </row>
    <row r="48" spans="4:36" x14ac:dyDescent="0.25">
      <c r="D48" s="10" t="s">
        <v>184</v>
      </c>
      <c r="E48" s="10" t="s">
        <v>185</v>
      </c>
      <c r="F48" s="21" t="s">
        <v>145</v>
      </c>
      <c r="AD48" s="10" t="s">
        <v>859</v>
      </c>
      <c r="AE48" s="10" t="s">
        <v>980</v>
      </c>
      <c r="AF48" s="21" t="s">
        <v>163</v>
      </c>
    </row>
    <row r="49" spans="4:36" x14ac:dyDescent="0.25">
      <c r="D49" s="10" t="s">
        <v>176</v>
      </c>
      <c r="E49" s="10" t="s">
        <v>186</v>
      </c>
      <c r="F49" s="21" t="s">
        <v>145</v>
      </c>
      <c r="AD49" s="10" t="s">
        <v>876</v>
      </c>
      <c r="AE49" s="10" t="s">
        <v>935</v>
      </c>
      <c r="AF49" s="21" t="s">
        <v>163</v>
      </c>
    </row>
    <row r="50" spans="4:36" x14ac:dyDescent="0.25">
      <c r="D50" s="10" t="s">
        <v>187</v>
      </c>
      <c r="E50" s="10" t="s">
        <v>188</v>
      </c>
      <c r="F50" s="21" t="s">
        <v>145</v>
      </c>
      <c r="AD50" s="10" t="s">
        <v>877</v>
      </c>
      <c r="AE50" s="10" t="s">
        <v>981</v>
      </c>
      <c r="AF50" s="21" t="s">
        <v>163</v>
      </c>
    </row>
    <row r="51" spans="4:36" x14ac:dyDescent="0.25">
      <c r="D51" s="10" t="s">
        <v>189</v>
      </c>
      <c r="E51" s="10" t="s">
        <v>190</v>
      </c>
      <c r="F51" s="21" t="s">
        <v>145</v>
      </c>
      <c r="AD51" s="10" t="s">
        <v>894</v>
      </c>
      <c r="AE51" s="10" t="s">
        <v>982</v>
      </c>
      <c r="AF51" s="21" t="s">
        <v>163</v>
      </c>
    </row>
    <row r="52" spans="4:36" x14ac:dyDescent="0.25">
      <c r="D52" s="10" t="s">
        <v>191</v>
      </c>
      <c r="E52" s="10" t="s">
        <v>192</v>
      </c>
      <c r="F52" s="21" t="s">
        <v>145</v>
      </c>
      <c r="AD52" s="10" t="s">
        <v>895</v>
      </c>
      <c r="AE52" s="10" t="s">
        <v>944</v>
      </c>
      <c r="AF52" s="21" t="s">
        <v>163</v>
      </c>
    </row>
    <row r="53" spans="4:36" x14ac:dyDescent="0.25">
      <c r="D53" s="10" t="s">
        <v>193</v>
      </c>
      <c r="E53" s="10" t="s">
        <v>194</v>
      </c>
      <c r="F53" s="21" t="s">
        <v>145</v>
      </c>
      <c r="AD53" s="10" t="s">
        <v>912</v>
      </c>
      <c r="AE53" s="10" t="s">
        <v>952</v>
      </c>
      <c r="AF53" s="21" t="s">
        <v>163</v>
      </c>
    </row>
    <row r="54" spans="4:36" x14ac:dyDescent="0.25">
      <c r="D54" s="10" t="s">
        <v>195</v>
      </c>
      <c r="E54" s="10" t="s">
        <v>196</v>
      </c>
      <c r="F54" s="21" t="s">
        <v>145</v>
      </c>
      <c r="AB54" s="11"/>
      <c r="AC54" s="11"/>
      <c r="AD54" s="11" t="s">
        <v>913</v>
      </c>
      <c r="AE54" s="11" t="s">
        <v>983</v>
      </c>
      <c r="AF54" s="22" t="s">
        <v>163</v>
      </c>
      <c r="AG54" s="11"/>
      <c r="AH54" s="11"/>
      <c r="AI54" s="11"/>
      <c r="AJ54" s="11"/>
    </row>
    <row r="55" spans="4:36" x14ac:dyDescent="0.25">
      <c r="D55" s="10" t="s">
        <v>197</v>
      </c>
      <c r="E55" s="10" t="s">
        <v>198</v>
      </c>
      <c r="F55" s="21" t="s">
        <v>145</v>
      </c>
      <c r="AB55" s="12"/>
      <c r="AD55" s="10" t="s">
        <v>860</v>
      </c>
      <c r="AE55" s="10" t="s">
        <v>927</v>
      </c>
      <c r="AF55" s="21" t="s">
        <v>163</v>
      </c>
    </row>
    <row r="56" spans="4:36" x14ac:dyDescent="0.25">
      <c r="D56" s="10" t="s">
        <v>199</v>
      </c>
      <c r="E56" s="10" t="s">
        <v>200</v>
      </c>
      <c r="F56" s="21" t="s">
        <v>145</v>
      </c>
      <c r="AD56" s="10" t="s">
        <v>861</v>
      </c>
      <c r="AE56" s="10" t="s">
        <v>984</v>
      </c>
      <c r="AF56" s="21" t="s">
        <v>163</v>
      </c>
    </row>
    <row r="57" spans="4:36" x14ac:dyDescent="0.25">
      <c r="D57" s="10" t="s">
        <v>201</v>
      </c>
      <c r="E57" s="10" t="s">
        <v>202</v>
      </c>
      <c r="F57" s="21" t="s">
        <v>145</v>
      </c>
      <c r="AD57" s="10" t="s">
        <v>878</v>
      </c>
      <c r="AE57" s="10" t="s">
        <v>936</v>
      </c>
      <c r="AF57" s="21" t="s">
        <v>163</v>
      </c>
    </row>
    <row r="58" spans="4:36" x14ac:dyDescent="0.25">
      <c r="D58" s="10" t="s">
        <v>203</v>
      </c>
      <c r="E58" s="10" t="s">
        <v>204</v>
      </c>
      <c r="F58" s="21" t="s">
        <v>145</v>
      </c>
      <c r="AD58" s="10" t="s">
        <v>879</v>
      </c>
      <c r="AE58" s="10" t="s">
        <v>985</v>
      </c>
      <c r="AF58" s="21" t="s">
        <v>163</v>
      </c>
    </row>
    <row r="59" spans="4:36" x14ac:dyDescent="0.25">
      <c r="D59" s="10" t="s">
        <v>1439</v>
      </c>
      <c r="E59" s="10" t="s">
        <v>1440</v>
      </c>
      <c r="F59" s="21" t="s">
        <v>145</v>
      </c>
      <c r="AD59" s="10" t="s">
        <v>896</v>
      </c>
      <c r="AE59" s="10" t="s">
        <v>945</v>
      </c>
      <c r="AF59" s="21" t="s">
        <v>163</v>
      </c>
    </row>
    <row r="60" spans="4:36" x14ac:dyDescent="0.25">
      <c r="D60" s="10" t="s">
        <v>205</v>
      </c>
      <c r="E60" s="10" t="s">
        <v>206</v>
      </c>
      <c r="F60" s="21" t="s">
        <v>145</v>
      </c>
      <c r="AD60" s="10" t="s">
        <v>897</v>
      </c>
      <c r="AE60" s="10" t="s">
        <v>986</v>
      </c>
      <c r="AF60" s="21" t="s">
        <v>163</v>
      </c>
    </row>
    <row r="61" spans="4:36" x14ac:dyDescent="0.25">
      <c r="D61" s="10" t="s">
        <v>1441</v>
      </c>
      <c r="E61" s="10" t="s">
        <v>207</v>
      </c>
      <c r="F61" s="21" t="s">
        <v>145</v>
      </c>
      <c r="AD61" s="10" t="s">
        <v>914</v>
      </c>
      <c r="AE61" s="10" t="s">
        <v>953</v>
      </c>
      <c r="AF61" s="21" t="s">
        <v>163</v>
      </c>
    </row>
    <row r="62" spans="4:36" x14ac:dyDescent="0.25">
      <c r="D62" s="10" t="s">
        <v>208</v>
      </c>
      <c r="E62" s="10" t="s">
        <v>209</v>
      </c>
      <c r="F62" s="21" t="s">
        <v>145</v>
      </c>
      <c r="AB62" s="11"/>
      <c r="AC62" s="11"/>
      <c r="AD62" s="11" t="s">
        <v>915</v>
      </c>
      <c r="AE62" s="11" t="s">
        <v>987</v>
      </c>
      <c r="AF62" s="22" t="s">
        <v>163</v>
      </c>
      <c r="AG62" s="11"/>
      <c r="AH62" s="11"/>
      <c r="AI62" s="11"/>
      <c r="AJ62" s="11"/>
    </row>
    <row r="63" spans="4:36" x14ac:dyDescent="0.25">
      <c r="D63" s="10" t="s">
        <v>210</v>
      </c>
      <c r="E63" s="10" t="s">
        <v>211</v>
      </c>
      <c r="F63" s="21" t="s">
        <v>145</v>
      </c>
      <c r="AB63" s="12"/>
      <c r="AD63" s="10" t="s">
        <v>862</v>
      </c>
      <c r="AE63" s="10" t="s">
        <v>928</v>
      </c>
      <c r="AF63" s="21" t="s">
        <v>163</v>
      </c>
    </row>
    <row r="64" spans="4:36" x14ac:dyDescent="0.25">
      <c r="D64" s="10" t="s">
        <v>212</v>
      </c>
      <c r="E64" s="10" t="s">
        <v>213</v>
      </c>
      <c r="F64" s="21" t="s">
        <v>145</v>
      </c>
      <c r="AD64" s="10" t="s">
        <v>863</v>
      </c>
      <c r="AE64" s="10" t="s">
        <v>988</v>
      </c>
      <c r="AF64" s="21" t="s">
        <v>163</v>
      </c>
    </row>
    <row r="65" spans="4:36" x14ac:dyDescent="0.25">
      <c r="D65" s="10" t="s">
        <v>214</v>
      </c>
      <c r="E65" s="10" t="s">
        <v>215</v>
      </c>
      <c r="F65" s="21" t="s">
        <v>145</v>
      </c>
      <c r="AD65" s="10" t="s">
        <v>880</v>
      </c>
      <c r="AE65" s="10" t="s">
        <v>937</v>
      </c>
      <c r="AF65" s="21" t="s">
        <v>163</v>
      </c>
    </row>
    <row r="66" spans="4:36" x14ac:dyDescent="0.25">
      <c r="D66" s="10" t="s">
        <v>216</v>
      </c>
      <c r="E66" s="10" t="s">
        <v>217</v>
      </c>
      <c r="F66" s="21" t="s">
        <v>145</v>
      </c>
      <c r="AD66" s="10" t="s">
        <v>881</v>
      </c>
      <c r="AE66" s="10" t="s">
        <v>989</v>
      </c>
      <c r="AF66" s="21" t="s">
        <v>163</v>
      </c>
    </row>
    <row r="67" spans="4:36" x14ac:dyDescent="0.25">
      <c r="D67" s="10" t="s">
        <v>1442</v>
      </c>
      <c r="E67" s="10" t="s">
        <v>218</v>
      </c>
      <c r="F67" s="21" t="s">
        <v>145</v>
      </c>
      <c r="AD67" s="10" t="s">
        <v>898</v>
      </c>
      <c r="AE67" s="10" t="s">
        <v>946</v>
      </c>
      <c r="AF67" s="21" t="s">
        <v>163</v>
      </c>
    </row>
    <row r="68" spans="4:36" x14ac:dyDescent="0.25">
      <c r="D68" s="10" t="s">
        <v>219</v>
      </c>
      <c r="E68" s="10" t="s">
        <v>220</v>
      </c>
      <c r="F68" s="21" t="s">
        <v>145</v>
      </c>
      <c r="AD68" s="10" t="s">
        <v>899</v>
      </c>
      <c r="AE68" s="10" t="s">
        <v>990</v>
      </c>
      <c r="AF68" s="21" t="s">
        <v>163</v>
      </c>
    </row>
    <row r="69" spans="4:36" x14ac:dyDescent="0.25">
      <c r="D69" s="10" t="s">
        <v>221</v>
      </c>
      <c r="E69" s="10" t="s">
        <v>222</v>
      </c>
      <c r="F69" s="21" t="s">
        <v>145</v>
      </c>
      <c r="AD69" s="10" t="s">
        <v>916</v>
      </c>
      <c r="AE69" s="10" t="s">
        <v>954</v>
      </c>
      <c r="AF69" s="21" t="s">
        <v>163</v>
      </c>
    </row>
    <row r="70" spans="4:36" x14ac:dyDescent="0.25">
      <c r="D70" s="10" t="s">
        <v>1443</v>
      </c>
      <c r="E70" s="10" t="s">
        <v>1444</v>
      </c>
      <c r="F70" s="21" t="s">
        <v>145</v>
      </c>
      <c r="AB70" s="11"/>
      <c r="AC70" s="11"/>
      <c r="AD70" s="11" t="s">
        <v>917</v>
      </c>
      <c r="AE70" s="11" t="s">
        <v>991</v>
      </c>
      <c r="AF70" s="22" t="s">
        <v>163</v>
      </c>
      <c r="AG70" s="11"/>
      <c r="AH70" s="11"/>
      <c r="AI70" s="11"/>
      <c r="AJ70" s="11"/>
    </row>
    <row r="71" spans="4:36" x14ac:dyDescent="0.25">
      <c r="D71" s="10" t="s">
        <v>223</v>
      </c>
      <c r="E71" s="10" t="s">
        <v>224</v>
      </c>
      <c r="F71" s="21" t="s">
        <v>145</v>
      </c>
      <c r="AB71" s="12"/>
      <c r="AD71" s="10" t="s">
        <v>864</v>
      </c>
      <c r="AE71" s="10" t="s">
        <v>929</v>
      </c>
      <c r="AF71" s="21" t="s">
        <v>163</v>
      </c>
    </row>
    <row r="72" spans="4:36" x14ac:dyDescent="0.25">
      <c r="D72" s="10" t="s">
        <v>225</v>
      </c>
      <c r="E72" s="10" t="s">
        <v>226</v>
      </c>
      <c r="F72" s="21" t="s">
        <v>145</v>
      </c>
      <c r="AD72" s="10" t="s">
        <v>865</v>
      </c>
      <c r="AE72" s="10" t="s">
        <v>992</v>
      </c>
      <c r="AF72" s="21" t="s">
        <v>163</v>
      </c>
    </row>
    <row r="73" spans="4:36" x14ac:dyDescent="0.25">
      <c r="D73" s="10" t="s">
        <v>1445</v>
      </c>
      <c r="E73" s="10" t="s">
        <v>227</v>
      </c>
      <c r="F73" s="21" t="s">
        <v>145</v>
      </c>
      <c r="AD73" s="10" t="s">
        <v>882</v>
      </c>
      <c r="AE73" s="10" t="s">
        <v>938</v>
      </c>
      <c r="AF73" s="21" t="s">
        <v>163</v>
      </c>
    </row>
    <row r="74" spans="4:36" x14ac:dyDescent="0.25">
      <c r="D74" s="10" t="s">
        <v>228</v>
      </c>
      <c r="E74" s="10" t="s">
        <v>229</v>
      </c>
      <c r="F74" s="21" t="s">
        <v>145</v>
      </c>
      <c r="AD74" s="10" t="s">
        <v>883</v>
      </c>
      <c r="AE74" s="10" t="s">
        <v>993</v>
      </c>
      <c r="AF74" s="21" t="s">
        <v>163</v>
      </c>
    </row>
    <row r="75" spans="4:36" x14ac:dyDescent="0.25">
      <c r="D75" s="10" t="s">
        <v>230</v>
      </c>
      <c r="E75" s="10" t="s">
        <v>231</v>
      </c>
      <c r="F75" s="21" t="s">
        <v>145</v>
      </c>
      <c r="AD75" s="10" t="s">
        <v>900</v>
      </c>
      <c r="AE75" s="10" t="s">
        <v>947</v>
      </c>
      <c r="AF75" s="21" t="s">
        <v>163</v>
      </c>
    </row>
    <row r="76" spans="4:36" x14ac:dyDescent="0.25">
      <c r="D76" s="10" t="s">
        <v>232</v>
      </c>
      <c r="E76" s="10" t="s">
        <v>233</v>
      </c>
      <c r="F76" s="21" t="s">
        <v>145</v>
      </c>
      <c r="AD76" s="10" t="s">
        <v>901</v>
      </c>
      <c r="AE76" s="10" t="s">
        <v>994</v>
      </c>
      <c r="AF76" s="21" t="s">
        <v>163</v>
      </c>
    </row>
    <row r="77" spans="4:36" x14ac:dyDescent="0.25">
      <c r="D77" s="10" t="s">
        <v>234</v>
      </c>
      <c r="E77" s="10" t="s">
        <v>235</v>
      </c>
      <c r="F77" s="21" t="s">
        <v>145</v>
      </c>
      <c r="AD77" s="10" t="s">
        <v>918</v>
      </c>
      <c r="AE77" s="10" t="s">
        <v>955</v>
      </c>
      <c r="AF77" s="21" t="s">
        <v>163</v>
      </c>
    </row>
    <row r="78" spans="4:36" x14ac:dyDescent="0.25">
      <c r="D78" s="10" t="s">
        <v>236</v>
      </c>
      <c r="E78" s="10" t="s">
        <v>237</v>
      </c>
      <c r="F78" s="21" t="s">
        <v>145</v>
      </c>
      <c r="AB78" s="11"/>
      <c r="AC78" s="11"/>
      <c r="AD78" s="11" t="s">
        <v>919</v>
      </c>
      <c r="AE78" s="11" t="s">
        <v>995</v>
      </c>
      <c r="AF78" s="22" t="s">
        <v>163</v>
      </c>
      <c r="AG78" s="11"/>
      <c r="AH78" s="11"/>
      <c r="AI78" s="11"/>
      <c r="AJ78" s="11"/>
    </row>
    <row r="79" spans="4:36" x14ac:dyDescent="0.25">
      <c r="D79" s="10" t="s">
        <v>238</v>
      </c>
      <c r="E79" s="10" t="s">
        <v>239</v>
      </c>
      <c r="F79" s="21" t="s">
        <v>145</v>
      </c>
      <c r="AB79" s="12"/>
      <c r="AD79" s="10" t="s">
        <v>866</v>
      </c>
      <c r="AE79" s="10" t="s">
        <v>930</v>
      </c>
      <c r="AF79" s="21" t="s">
        <v>163</v>
      </c>
    </row>
    <row r="80" spans="4:36" x14ac:dyDescent="0.25">
      <c r="D80" s="10" t="s">
        <v>240</v>
      </c>
      <c r="E80" s="10" t="s">
        <v>241</v>
      </c>
      <c r="F80" s="21" t="s">
        <v>145</v>
      </c>
      <c r="AD80" s="10" t="s">
        <v>867</v>
      </c>
      <c r="AE80" s="10" t="s">
        <v>996</v>
      </c>
      <c r="AF80" s="21" t="s">
        <v>163</v>
      </c>
    </row>
    <row r="81" spans="4:36" x14ac:dyDescent="0.25">
      <c r="D81" s="10" t="s">
        <v>242</v>
      </c>
      <c r="E81" s="10" t="s">
        <v>243</v>
      </c>
      <c r="F81" s="21" t="s">
        <v>145</v>
      </c>
      <c r="AD81" s="10" t="s">
        <v>884</v>
      </c>
      <c r="AE81" s="10" t="s">
        <v>939</v>
      </c>
      <c r="AF81" s="21" t="s">
        <v>163</v>
      </c>
    </row>
    <row r="82" spans="4:36" x14ac:dyDescent="0.25">
      <c r="D82" s="10" t="s">
        <v>244</v>
      </c>
      <c r="E82" s="10" t="s">
        <v>245</v>
      </c>
      <c r="F82" s="21" t="s">
        <v>145</v>
      </c>
      <c r="AD82" s="10" t="s">
        <v>885</v>
      </c>
      <c r="AE82" s="10" t="s">
        <v>997</v>
      </c>
      <c r="AF82" s="21" t="s">
        <v>163</v>
      </c>
    </row>
    <row r="83" spans="4:36" x14ac:dyDescent="0.25">
      <c r="D83" s="10" t="s">
        <v>246</v>
      </c>
      <c r="E83" s="10" t="s">
        <v>247</v>
      </c>
      <c r="F83" s="21" t="s">
        <v>145</v>
      </c>
      <c r="AD83" s="10" t="s">
        <v>902</v>
      </c>
      <c r="AE83" s="10" t="s">
        <v>948</v>
      </c>
      <c r="AF83" s="21" t="s">
        <v>163</v>
      </c>
    </row>
    <row r="84" spans="4:36" x14ac:dyDescent="0.25">
      <c r="D84" s="10" t="s">
        <v>248</v>
      </c>
      <c r="E84" s="10" t="s">
        <v>249</v>
      </c>
      <c r="F84" s="21" t="s">
        <v>145</v>
      </c>
      <c r="AD84" s="10" t="s">
        <v>903</v>
      </c>
      <c r="AE84" s="10" t="s">
        <v>998</v>
      </c>
      <c r="AF84" s="21" t="s">
        <v>163</v>
      </c>
    </row>
    <row r="85" spans="4:36" x14ac:dyDescent="0.25">
      <c r="D85" s="10" t="s">
        <v>250</v>
      </c>
      <c r="E85" s="10" t="s">
        <v>251</v>
      </c>
      <c r="F85" s="21" t="s">
        <v>145</v>
      </c>
      <c r="AD85" s="10" t="s">
        <v>920</v>
      </c>
      <c r="AE85" s="10" t="s">
        <v>956</v>
      </c>
      <c r="AF85" s="21" t="s">
        <v>163</v>
      </c>
    </row>
    <row r="86" spans="4:36" x14ac:dyDescent="0.25">
      <c r="D86" s="10" t="s">
        <v>252</v>
      </c>
      <c r="E86" s="10" t="s">
        <v>253</v>
      </c>
      <c r="F86" s="21" t="s">
        <v>145</v>
      </c>
      <c r="AB86" s="11"/>
      <c r="AC86" s="11"/>
      <c r="AD86" s="11" t="s">
        <v>921</v>
      </c>
      <c r="AE86" s="11" t="s">
        <v>999</v>
      </c>
      <c r="AF86" s="22" t="s">
        <v>163</v>
      </c>
      <c r="AG86" s="11"/>
      <c r="AH86" s="11"/>
      <c r="AI86" s="11"/>
      <c r="AJ86" s="11"/>
    </row>
    <row r="87" spans="4:36" x14ac:dyDescent="0.25">
      <c r="D87" s="10" t="s">
        <v>254</v>
      </c>
      <c r="E87" s="10" t="s">
        <v>255</v>
      </c>
      <c r="F87" s="21" t="s">
        <v>145</v>
      </c>
    </row>
    <row r="88" spans="4:36" x14ac:dyDescent="0.25">
      <c r="D88" s="10" t="s">
        <v>256</v>
      </c>
      <c r="E88" s="10" t="s">
        <v>257</v>
      </c>
      <c r="F88" s="21" t="s">
        <v>145</v>
      </c>
    </row>
    <row r="89" spans="4:36" x14ac:dyDescent="0.25">
      <c r="D89" s="10" t="s">
        <v>258</v>
      </c>
      <c r="E89" s="10" t="s">
        <v>259</v>
      </c>
      <c r="F89" s="21" t="s">
        <v>145</v>
      </c>
    </row>
    <row r="90" spans="4:36" x14ac:dyDescent="0.25">
      <c r="D90" s="10" t="s">
        <v>260</v>
      </c>
      <c r="E90" s="10" t="s">
        <v>261</v>
      </c>
      <c r="F90" s="21" t="s">
        <v>145</v>
      </c>
    </row>
    <row r="91" spans="4:36" x14ac:dyDescent="0.25">
      <c r="D91" s="10" t="s">
        <v>262</v>
      </c>
      <c r="E91" s="10" t="s">
        <v>263</v>
      </c>
      <c r="F91" s="21" t="s">
        <v>145</v>
      </c>
    </row>
    <row r="92" spans="4:36" x14ac:dyDescent="0.25">
      <c r="D92" s="10" t="s">
        <v>264</v>
      </c>
      <c r="E92" s="10" t="s">
        <v>265</v>
      </c>
      <c r="F92" s="21" t="s">
        <v>145</v>
      </c>
    </row>
    <row r="93" spans="4:36" x14ac:dyDescent="0.25">
      <c r="D93" s="10" t="s">
        <v>266</v>
      </c>
      <c r="E93" s="10" t="s">
        <v>267</v>
      </c>
      <c r="F93" s="21" t="s">
        <v>145</v>
      </c>
    </row>
    <row r="94" spans="4:36" x14ac:dyDescent="0.25">
      <c r="D94" s="10" t="s">
        <v>268</v>
      </c>
      <c r="E94" s="10" t="s">
        <v>269</v>
      </c>
      <c r="F94" s="21" t="s">
        <v>145</v>
      </c>
    </row>
    <row r="95" spans="4:36" x14ac:dyDescent="0.25">
      <c r="D95" s="10" t="s">
        <v>270</v>
      </c>
      <c r="E95" s="10" t="s">
        <v>271</v>
      </c>
      <c r="F95" s="21" t="s">
        <v>145</v>
      </c>
    </row>
    <row r="96" spans="4:36" x14ac:dyDescent="0.25">
      <c r="D96" s="10" t="s">
        <v>272</v>
      </c>
      <c r="E96" s="10" t="s">
        <v>273</v>
      </c>
      <c r="F96" s="21" t="s">
        <v>145</v>
      </c>
    </row>
    <row r="97" spans="4:6" x14ac:dyDescent="0.25">
      <c r="D97" s="10" t="s">
        <v>274</v>
      </c>
      <c r="E97" s="10" t="s">
        <v>275</v>
      </c>
      <c r="F97" s="21" t="s">
        <v>145</v>
      </c>
    </row>
    <row r="98" spans="4:6" x14ac:dyDescent="0.25">
      <c r="D98" s="10" t="s">
        <v>276</v>
      </c>
      <c r="E98" s="10" t="s">
        <v>277</v>
      </c>
      <c r="F98" s="21" t="s">
        <v>145</v>
      </c>
    </row>
    <row r="99" spans="4:6" x14ac:dyDescent="0.25">
      <c r="D99" s="10" t="s">
        <v>278</v>
      </c>
      <c r="E99" s="10" t="s">
        <v>279</v>
      </c>
      <c r="F99" s="21" t="s">
        <v>145</v>
      </c>
    </row>
    <row r="100" spans="4:6" x14ac:dyDescent="0.25">
      <c r="D100" s="10" t="s">
        <v>280</v>
      </c>
      <c r="E100" s="10" t="s">
        <v>281</v>
      </c>
      <c r="F100" s="21" t="s">
        <v>145</v>
      </c>
    </row>
    <row r="101" spans="4:6" x14ac:dyDescent="0.25">
      <c r="D101" s="10" t="s">
        <v>282</v>
      </c>
      <c r="E101" s="10" t="s">
        <v>283</v>
      </c>
      <c r="F101" s="21" t="s">
        <v>145</v>
      </c>
    </row>
    <row r="102" spans="4:6" x14ac:dyDescent="0.25">
      <c r="D102" s="10" t="s">
        <v>284</v>
      </c>
      <c r="E102" s="10" t="s">
        <v>285</v>
      </c>
      <c r="F102" s="21" t="s">
        <v>145</v>
      </c>
    </row>
    <row r="103" spans="4:6" x14ac:dyDescent="0.25">
      <c r="D103" s="10" t="s">
        <v>286</v>
      </c>
      <c r="E103" s="10" t="s">
        <v>287</v>
      </c>
      <c r="F103" s="21" t="s">
        <v>145</v>
      </c>
    </row>
    <row r="104" spans="4:6" x14ac:dyDescent="0.25">
      <c r="D104" s="10" t="s">
        <v>288</v>
      </c>
      <c r="E104" s="10" t="s">
        <v>289</v>
      </c>
      <c r="F104" s="21" t="s">
        <v>145</v>
      </c>
    </row>
    <row r="105" spans="4:6" x14ac:dyDescent="0.25">
      <c r="D105" s="10" t="s">
        <v>290</v>
      </c>
      <c r="E105" s="10" t="s">
        <v>291</v>
      </c>
      <c r="F105" s="21" t="s">
        <v>145</v>
      </c>
    </row>
    <row r="106" spans="4:6" x14ac:dyDescent="0.25">
      <c r="D106" s="10" t="s">
        <v>282</v>
      </c>
      <c r="E106" s="10" t="s">
        <v>292</v>
      </c>
      <c r="F106" s="21" t="s">
        <v>145</v>
      </c>
    </row>
    <row r="107" spans="4:6" x14ac:dyDescent="0.25">
      <c r="D107" s="10" t="s">
        <v>293</v>
      </c>
      <c r="E107" s="10" t="s">
        <v>294</v>
      </c>
      <c r="F107" s="21" t="s">
        <v>145</v>
      </c>
    </row>
    <row r="108" spans="4:6" x14ac:dyDescent="0.25">
      <c r="D108" s="10" t="s">
        <v>295</v>
      </c>
      <c r="E108" s="10" t="s">
        <v>296</v>
      </c>
      <c r="F108" s="21" t="s">
        <v>145</v>
      </c>
    </row>
    <row r="109" spans="4:6" x14ac:dyDescent="0.25">
      <c r="D109" s="10" t="s">
        <v>297</v>
      </c>
      <c r="E109" s="10" t="s">
        <v>298</v>
      </c>
      <c r="F109" s="21" t="s">
        <v>145</v>
      </c>
    </row>
    <row r="110" spans="4:6" x14ac:dyDescent="0.25">
      <c r="D110" s="10" t="s">
        <v>299</v>
      </c>
      <c r="E110" s="10" t="s">
        <v>300</v>
      </c>
      <c r="F110" s="21" t="s">
        <v>145</v>
      </c>
    </row>
    <row r="111" spans="4:6" x14ac:dyDescent="0.25">
      <c r="D111" s="10" t="s">
        <v>301</v>
      </c>
      <c r="E111" s="10" t="s">
        <v>302</v>
      </c>
      <c r="F111" s="21" t="s">
        <v>145</v>
      </c>
    </row>
    <row r="112" spans="4:6" x14ac:dyDescent="0.25">
      <c r="D112" s="10" t="s">
        <v>303</v>
      </c>
      <c r="E112" s="10" t="s">
        <v>304</v>
      </c>
      <c r="F112" s="21" t="s">
        <v>145</v>
      </c>
    </row>
    <row r="113" spans="4:6" x14ac:dyDescent="0.25">
      <c r="D113" s="10" t="s">
        <v>305</v>
      </c>
      <c r="E113" s="10" t="s">
        <v>306</v>
      </c>
      <c r="F113" s="21" t="s">
        <v>145</v>
      </c>
    </row>
    <row r="114" spans="4:6" x14ac:dyDescent="0.25">
      <c r="D114" s="10" t="s">
        <v>307</v>
      </c>
      <c r="E114" s="10" t="s">
        <v>308</v>
      </c>
      <c r="F114" s="21" t="s">
        <v>145</v>
      </c>
    </row>
    <row r="115" spans="4:6" x14ac:dyDescent="0.25">
      <c r="D115" s="10" t="s">
        <v>1446</v>
      </c>
      <c r="E115" s="10" t="s">
        <v>1447</v>
      </c>
      <c r="F115" s="21" t="s">
        <v>145</v>
      </c>
    </row>
    <row r="116" spans="4:6" x14ac:dyDescent="0.25">
      <c r="D116" s="10" t="s">
        <v>309</v>
      </c>
      <c r="E116" s="10" t="s">
        <v>310</v>
      </c>
      <c r="F116" s="21" t="s">
        <v>145</v>
      </c>
    </row>
    <row r="117" spans="4:6" x14ac:dyDescent="0.25">
      <c r="D117" s="10" t="s">
        <v>311</v>
      </c>
      <c r="E117" s="10" t="s">
        <v>312</v>
      </c>
      <c r="F117" s="21" t="s">
        <v>145</v>
      </c>
    </row>
    <row r="118" spans="4:6" x14ac:dyDescent="0.25">
      <c r="D118" s="10" t="s">
        <v>1448</v>
      </c>
      <c r="E118" s="10" t="s">
        <v>313</v>
      </c>
      <c r="F118" s="21" t="s">
        <v>145</v>
      </c>
    </row>
    <row r="119" spans="4:6" x14ac:dyDescent="0.25">
      <c r="D119" s="10" t="s">
        <v>314</v>
      </c>
      <c r="E119" s="10" t="s">
        <v>315</v>
      </c>
      <c r="F119" s="21" t="s">
        <v>145</v>
      </c>
    </row>
    <row r="120" spans="4:6" x14ac:dyDescent="0.25">
      <c r="D120" s="10" t="s">
        <v>316</v>
      </c>
      <c r="E120" s="10" t="s">
        <v>317</v>
      </c>
      <c r="F120" s="21" t="s">
        <v>145</v>
      </c>
    </row>
    <row r="121" spans="4:6" x14ac:dyDescent="0.25">
      <c r="D121" s="10" t="s">
        <v>318</v>
      </c>
      <c r="E121" s="10" t="s">
        <v>319</v>
      </c>
      <c r="F121" s="21" t="s">
        <v>145</v>
      </c>
    </row>
    <row r="122" spans="4:6" x14ac:dyDescent="0.25">
      <c r="D122" s="10" t="s">
        <v>320</v>
      </c>
      <c r="E122" s="10" t="s">
        <v>321</v>
      </c>
      <c r="F122" s="21" t="s">
        <v>145</v>
      </c>
    </row>
    <row r="123" spans="4:6" x14ac:dyDescent="0.25">
      <c r="D123" s="10" t="s">
        <v>322</v>
      </c>
      <c r="E123" s="10" t="s">
        <v>323</v>
      </c>
      <c r="F123" s="21" t="s">
        <v>145</v>
      </c>
    </row>
    <row r="124" spans="4:6" x14ac:dyDescent="0.25">
      <c r="D124" s="10" t="s">
        <v>324</v>
      </c>
      <c r="E124" s="10" t="s">
        <v>325</v>
      </c>
      <c r="F124" s="21" t="s">
        <v>145</v>
      </c>
    </row>
    <row r="125" spans="4:6" x14ac:dyDescent="0.25">
      <c r="D125" s="10" t="s">
        <v>326</v>
      </c>
      <c r="E125" s="10" t="s">
        <v>327</v>
      </c>
      <c r="F125" s="21" t="s">
        <v>145</v>
      </c>
    </row>
    <row r="126" spans="4:6" x14ac:dyDescent="0.25">
      <c r="D126" s="10" t="s">
        <v>328</v>
      </c>
      <c r="E126" s="10" t="s">
        <v>329</v>
      </c>
      <c r="F126" s="21" t="s">
        <v>145</v>
      </c>
    </row>
    <row r="127" spans="4:6" x14ac:dyDescent="0.25">
      <c r="D127" s="10" t="s">
        <v>330</v>
      </c>
      <c r="E127" s="10" t="s">
        <v>331</v>
      </c>
      <c r="F127" s="21" t="s">
        <v>145</v>
      </c>
    </row>
    <row r="128" spans="4:6" x14ac:dyDescent="0.25">
      <c r="D128" s="10" t="s">
        <v>332</v>
      </c>
      <c r="E128" s="10" t="s">
        <v>333</v>
      </c>
      <c r="F128" s="21" t="s">
        <v>145</v>
      </c>
    </row>
    <row r="129" spans="4:6" x14ac:dyDescent="0.25">
      <c r="D129" s="10" t="s">
        <v>334</v>
      </c>
      <c r="E129" s="10" t="s">
        <v>335</v>
      </c>
      <c r="F129" s="21" t="s">
        <v>145</v>
      </c>
    </row>
    <row r="130" spans="4:6" x14ac:dyDescent="0.25">
      <c r="D130" s="10" t="s">
        <v>336</v>
      </c>
      <c r="E130" s="10" t="s">
        <v>337</v>
      </c>
      <c r="F130" s="21" t="s">
        <v>145</v>
      </c>
    </row>
    <row r="131" spans="4:6" x14ac:dyDescent="0.25">
      <c r="D131" s="10" t="s">
        <v>338</v>
      </c>
      <c r="E131" s="10" t="s">
        <v>339</v>
      </c>
      <c r="F131" s="21" t="s">
        <v>145</v>
      </c>
    </row>
    <row r="132" spans="4:6" x14ac:dyDescent="0.25">
      <c r="D132" s="10" t="s">
        <v>340</v>
      </c>
      <c r="E132" s="10" t="s">
        <v>341</v>
      </c>
      <c r="F132" s="21" t="s">
        <v>145</v>
      </c>
    </row>
    <row r="133" spans="4:6" x14ac:dyDescent="0.25">
      <c r="D133" s="10" t="s">
        <v>342</v>
      </c>
      <c r="E133" s="10" t="s">
        <v>343</v>
      </c>
      <c r="F133" s="21" t="s">
        <v>145</v>
      </c>
    </row>
    <row r="134" spans="4:6" x14ac:dyDescent="0.25">
      <c r="D134" s="10" t="s">
        <v>344</v>
      </c>
      <c r="E134" s="10" t="s">
        <v>345</v>
      </c>
      <c r="F134" s="21" t="s">
        <v>145</v>
      </c>
    </row>
    <row r="135" spans="4:6" x14ac:dyDescent="0.25">
      <c r="D135" s="10" t="s">
        <v>346</v>
      </c>
      <c r="E135" s="10" t="s">
        <v>347</v>
      </c>
      <c r="F135" s="21" t="s">
        <v>145</v>
      </c>
    </row>
    <row r="136" spans="4:6" x14ac:dyDescent="0.25">
      <c r="D136" s="10" t="s">
        <v>348</v>
      </c>
      <c r="E136" s="10" t="s">
        <v>349</v>
      </c>
      <c r="F136" s="21" t="s">
        <v>145</v>
      </c>
    </row>
    <row r="137" spans="4:6" x14ac:dyDescent="0.25">
      <c r="D137" s="10" t="s">
        <v>350</v>
      </c>
      <c r="E137" s="10" t="s">
        <v>351</v>
      </c>
      <c r="F137" s="21" t="s">
        <v>145</v>
      </c>
    </row>
    <row r="138" spans="4:6" x14ac:dyDescent="0.25">
      <c r="D138" s="10" t="s">
        <v>352</v>
      </c>
      <c r="E138" s="10" t="s">
        <v>353</v>
      </c>
      <c r="F138" s="21" t="s">
        <v>145</v>
      </c>
    </row>
    <row r="139" spans="4:6" x14ac:dyDescent="0.25">
      <c r="D139" s="10" t="s">
        <v>354</v>
      </c>
      <c r="E139" s="10" t="s">
        <v>355</v>
      </c>
      <c r="F139" s="21" t="s">
        <v>145</v>
      </c>
    </row>
    <row r="140" spans="4:6" x14ac:dyDescent="0.25">
      <c r="D140" s="10" t="s">
        <v>356</v>
      </c>
      <c r="E140" s="10" t="s">
        <v>357</v>
      </c>
      <c r="F140" s="21" t="s">
        <v>145</v>
      </c>
    </row>
    <row r="141" spans="4:6" x14ac:dyDescent="0.25">
      <c r="D141" s="10" t="s">
        <v>358</v>
      </c>
      <c r="E141" s="10" t="s">
        <v>359</v>
      </c>
      <c r="F141" s="21" t="s">
        <v>145</v>
      </c>
    </row>
    <row r="142" spans="4:6" x14ac:dyDescent="0.25">
      <c r="D142" s="10" t="s">
        <v>360</v>
      </c>
      <c r="E142" s="10" t="s">
        <v>361</v>
      </c>
      <c r="F142" s="21" t="s">
        <v>145</v>
      </c>
    </row>
    <row r="143" spans="4:6" x14ac:dyDescent="0.25">
      <c r="D143" s="10" t="s">
        <v>358</v>
      </c>
      <c r="E143" s="10" t="s">
        <v>362</v>
      </c>
      <c r="F143" s="21" t="s">
        <v>145</v>
      </c>
    </row>
    <row r="144" spans="4:6" x14ac:dyDescent="0.25">
      <c r="D144" s="10" t="s">
        <v>363</v>
      </c>
      <c r="E144" s="10" t="s">
        <v>364</v>
      </c>
      <c r="F144" s="21" t="s">
        <v>145</v>
      </c>
    </row>
    <row r="145" spans="4:6" x14ac:dyDescent="0.25">
      <c r="D145" s="10" t="s">
        <v>365</v>
      </c>
      <c r="E145" s="10" t="s">
        <v>366</v>
      </c>
      <c r="F145" s="21" t="s">
        <v>145</v>
      </c>
    </row>
    <row r="146" spans="4:6" x14ac:dyDescent="0.25">
      <c r="D146" s="10" t="s">
        <v>367</v>
      </c>
      <c r="E146" s="10" t="s">
        <v>368</v>
      </c>
      <c r="F146" s="21" t="s">
        <v>145</v>
      </c>
    </row>
    <row r="147" spans="4:6" x14ac:dyDescent="0.25">
      <c r="D147" s="10" t="s">
        <v>369</v>
      </c>
      <c r="E147" s="10" t="s">
        <v>370</v>
      </c>
      <c r="F147" s="21" t="s">
        <v>145</v>
      </c>
    </row>
    <row r="148" spans="4:6" x14ac:dyDescent="0.25">
      <c r="D148" s="10" t="s">
        <v>371</v>
      </c>
      <c r="E148" s="10" t="s">
        <v>372</v>
      </c>
      <c r="F148" s="21" t="s">
        <v>145</v>
      </c>
    </row>
    <row r="149" spans="4:6" x14ac:dyDescent="0.25">
      <c r="D149" s="10" t="s">
        <v>373</v>
      </c>
      <c r="E149" s="10" t="s">
        <v>374</v>
      </c>
      <c r="F149" s="21" t="s">
        <v>145</v>
      </c>
    </row>
    <row r="150" spans="4:6" x14ac:dyDescent="0.25">
      <c r="D150" s="10" t="s">
        <v>375</v>
      </c>
      <c r="E150" s="10" t="s">
        <v>376</v>
      </c>
      <c r="F150" s="21" t="s">
        <v>145</v>
      </c>
    </row>
    <row r="151" spans="4:6" x14ac:dyDescent="0.25">
      <c r="D151" s="10" t="s">
        <v>1449</v>
      </c>
      <c r="E151" s="10" t="s">
        <v>1450</v>
      </c>
      <c r="F151" s="21" t="s">
        <v>145</v>
      </c>
    </row>
    <row r="152" spans="4:6" x14ac:dyDescent="0.25">
      <c r="D152" s="10" t="s">
        <v>377</v>
      </c>
      <c r="E152" s="10" t="s">
        <v>378</v>
      </c>
      <c r="F152" s="21" t="s">
        <v>145</v>
      </c>
    </row>
    <row r="153" spans="4:6" x14ac:dyDescent="0.25">
      <c r="D153" s="10" t="s">
        <v>379</v>
      </c>
      <c r="E153" s="10" t="s">
        <v>380</v>
      </c>
      <c r="F153" s="21" t="s">
        <v>145</v>
      </c>
    </row>
    <row r="154" spans="4:6" x14ac:dyDescent="0.25">
      <c r="D154" s="10" t="s">
        <v>1451</v>
      </c>
      <c r="E154" s="10" t="s">
        <v>381</v>
      </c>
      <c r="F154" s="21" t="s">
        <v>145</v>
      </c>
    </row>
    <row r="155" spans="4:6" x14ac:dyDescent="0.25">
      <c r="D155" s="10" t="s">
        <v>382</v>
      </c>
      <c r="E155" s="10" t="s">
        <v>383</v>
      </c>
      <c r="F155" s="21" t="s">
        <v>145</v>
      </c>
    </row>
    <row r="156" spans="4:6" x14ac:dyDescent="0.25">
      <c r="D156" s="10" t="s">
        <v>384</v>
      </c>
      <c r="E156" s="10" t="s">
        <v>385</v>
      </c>
      <c r="F156" s="21" t="s">
        <v>145</v>
      </c>
    </row>
    <row r="157" spans="4:6" x14ac:dyDescent="0.25">
      <c r="D157" s="10" t="s">
        <v>386</v>
      </c>
      <c r="E157" s="10" t="s">
        <v>387</v>
      </c>
      <c r="F157" s="21" t="s">
        <v>145</v>
      </c>
    </row>
    <row r="158" spans="4:6" x14ac:dyDescent="0.25">
      <c r="D158" s="10" t="s">
        <v>388</v>
      </c>
      <c r="E158" s="10" t="s">
        <v>389</v>
      </c>
      <c r="F158" s="21" t="s">
        <v>145</v>
      </c>
    </row>
    <row r="159" spans="4:6" x14ac:dyDescent="0.25">
      <c r="D159" s="10" t="s">
        <v>390</v>
      </c>
      <c r="E159" s="10" t="s">
        <v>391</v>
      </c>
      <c r="F159" s="21" t="s">
        <v>145</v>
      </c>
    </row>
    <row r="160" spans="4:6" x14ac:dyDescent="0.25">
      <c r="D160" s="10" t="s">
        <v>392</v>
      </c>
      <c r="E160" s="10" t="s">
        <v>393</v>
      </c>
      <c r="F160" s="21" t="s">
        <v>145</v>
      </c>
    </row>
    <row r="161" spans="4:6" x14ac:dyDescent="0.25">
      <c r="D161" s="10" t="s">
        <v>394</v>
      </c>
      <c r="E161" s="10" t="s">
        <v>395</v>
      </c>
      <c r="F161" s="21" t="s">
        <v>145</v>
      </c>
    </row>
    <row r="162" spans="4:6" x14ac:dyDescent="0.25">
      <c r="D162" s="10" t="s">
        <v>396</v>
      </c>
      <c r="E162" s="10" t="s">
        <v>397</v>
      </c>
      <c r="F162" s="21" t="s">
        <v>145</v>
      </c>
    </row>
    <row r="163" spans="4:6" x14ac:dyDescent="0.25">
      <c r="D163" s="10" t="s">
        <v>398</v>
      </c>
      <c r="E163" s="10" t="s">
        <v>399</v>
      </c>
      <c r="F163" s="21" t="s">
        <v>145</v>
      </c>
    </row>
    <row r="164" spans="4:6" x14ac:dyDescent="0.25">
      <c r="D164" s="10" t="s">
        <v>400</v>
      </c>
      <c r="E164" s="10" t="s">
        <v>401</v>
      </c>
      <c r="F164" s="21" t="s">
        <v>145</v>
      </c>
    </row>
    <row r="165" spans="4:6" x14ac:dyDescent="0.25">
      <c r="D165" s="10" t="s">
        <v>402</v>
      </c>
      <c r="E165" s="10" t="s">
        <v>403</v>
      </c>
      <c r="F165" s="21" t="s">
        <v>145</v>
      </c>
    </row>
    <row r="166" spans="4:6" x14ac:dyDescent="0.25">
      <c r="D166" s="10" t="s">
        <v>404</v>
      </c>
      <c r="E166" s="10" t="s">
        <v>405</v>
      </c>
      <c r="F166" s="21" t="s">
        <v>145</v>
      </c>
    </row>
    <row r="167" spans="4:6" x14ac:dyDescent="0.25">
      <c r="D167" s="10" t="s">
        <v>406</v>
      </c>
      <c r="E167" s="10" t="s">
        <v>407</v>
      </c>
      <c r="F167" s="21" t="s">
        <v>145</v>
      </c>
    </row>
    <row r="168" spans="4:6" x14ac:dyDescent="0.25">
      <c r="D168" s="10" t="s">
        <v>408</v>
      </c>
      <c r="E168" s="10" t="s">
        <v>409</v>
      </c>
      <c r="F168" s="21" t="s">
        <v>145</v>
      </c>
    </row>
    <row r="169" spans="4:6" x14ac:dyDescent="0.25">
      <c r="D169" s="10" t="s">
        <v>410</v>
      </c>
      <c r="E169" s="10" t="s">
        <v>411</v>
      </c>
      <c r="F169" s="21" t="s">
        <v>145</v>
      </c>
    </row>
    <row r="170" spans="4:6" x14ac:dyDescent="0.25">
      <c r="D170" s="10" t="s">
        <v>412</v>
      </c>
      <c r="E170" s="10" t="s">
        <v>413</v>
      </c>
      <c r="F170" s="21" t="s">
        <v>145</v>
      </c>
    </row>
    <row r="171" spans="4:6" x14ac:dyDescent="0.25">
      <c r="D171" s="10" t="s">
        <v>414</v>
      </c>
      <c r="E171" s="10" t="s">
        <v>415</v>
      </c>
      <c r="F171" s="21" t="s">
        <v>145</v>
      </c>
    </row>
    <row r="172" spans="4:6" x14ac:dyDescent="0.25">
      <c r="D172" s="10" t="s">
        <v>416</v>
      </c>
      <c r="E172" s="10" t="s">
        <v>417</v>
      </c>
      <c r="F172" s="21" t="s">
        <v>145</v>
      </c>
    </row>
    <row r="173" spans="4:6" x14ac:dyDescent="0.25">
      <c r="D173" s="10" t="s">
        <v>418</v>
      </c>
      <c r="E173" s="10" t="s">
        <v>419</v>
      </c>
      <c r="F173" s="21" t="s">
        <v>145</v>
      </c>
    </row>
    <row r="174" spans="4:6" x14ac:dyDescent="0.25">
      <c r="D174" s="10" t="s">
        <v>420</v>
      </c>
      <c r="E174" s="10" t="s">
        <v>421</v>
      </c>
      <c r="F174" s="21" t="s">
        <v>145</v>
      </c>
    </row>
    <row r="175" spans="4:6" x14ac:dyDescent="0.25">
      <c r="D175" s="10" t="s">
        <v>418</v>
      </c>
      <c r="E175" s="10" t="s">
        <v>422</v>
      </c>
      <c r="F175" s="21" t="s">
        <v>145</v>
      </c>
    </row>
    <row r="176" spans="4:6" x14ac:dyDescent="0.25">
      <c r="D176" s="10" t="s">
        <v>423</v>
      </c>
      <c r="E176" s="10" t="s">
        <v>424</v>
      </c>
      <c r="F176" s="21" t="s">
        <v>145</v>
      </c>
    </row>
    <row r="177" spans="4:6" x14ac:dyDescent="0.25">
      <c r="D177" s="10" t="s">
        <v>425</v>
      </c>
      <c r="E177" s="10" t="s">
        <v>426</v>
      </c>
      <c r="F177" s="21" t="s">
        <v>145</v>
      </c>
    </row>
    <row r="178" spans="4:6" x14ac:dyDescent="0.25">
      <c r="D178" s="10" t="s">
        <v>427</v>
      </c>
      <c r="E178" s="10" t="s">
        <v>428</v>
      </c>
      <c r="F178" s="21" t="s">
        <v>145</v>
      </c>
    </row>
    <row r="179" spans="4:6" x14ac:dyDescent="0.25">
      <c r="D179" s="10" t="s">
        <v>429</v>
      </c>
      <c r="E179" s="10" t="s">
        <v>430</v>
      </c>
      <c r="F179" s="21" t="s">
        <v>145</v>
      </c>
    </row>
    <row r="180" spans="4:6" x14ac:dyDescent="0.25">
      <c r="D180" s="10" t="s">
        <v>431</v>
      </c>
      <c r="E180" s="10" t="s">
        <v>432</v>
      </c>
      <c r="F180" s="21" t="s">
        <v>145</v>
      </c>
    </row>
    <row r="181" spans="4:6" x14ac:dyDescent="0.25">
      <c r="D181" s="10" t="s">
        <v>433</v>
      </c>
      <c r="E181" s="10" t="s">
        <v>434</v>
      </c>
      <c r="F181" s="21" t="s">
        <v>145</v>
      </c>
    </row>
    <row r="182" spans="4:6" x14ac:dyDescent="0.25">
      <c r="D182" s="10" t="s">
        <v>435</v>
      </c>
      <c r="E182" s="10" t="s">
        <v>436</v>
      </c>
      <c r="F182" s="21" t="s">
        <v>145</v>
      </c>
    </row>
    <row r="183" spans="4:6" x14ac:dyDescent="0.25">
      <c r="D183" s="10" t="s">
        <v>1452</v>
      </c>
      <c r="E183" s="10" t="s">
        <v>1453</v>
      </c>
      <c r="F183" s="21" t="s">
        <v>145</v>
      </c>
    </row>
    <row r="184" spans="4:6" x14ac:dyDescent="0.25">
      <c r="D184" s="10" t="s">
        <v>437</v>
      </c>
      <c r="E184" s="10" t="s">
        <v>438</v>
      </c>
      <c r="F184" s="21" t="s">
        <v>145</v>
      </c>
    </row>
    <row r="185" spans="4:6" x14ac:dyDescent="0.25">
      <c r="D185" s="10" t="s">
        <v>439</v>
      </c>
      <c r="E185" s="10" t="s">
        <v>440</v>
      </c>
      <c r="F185" s="21" t="s">
        <v>145</v>
      </c>
    </row>
    <row r="186" spans="4:6" x14ac:dyDescent="0.25">
      <c r="D186" s="10" t="s">
        <v>1454</v>
      </c>
      <c r="E186" s="10" t="s">
        <v>441</v>
      </c>
      <c r="F186" s="21" t="s">
        <v>145</v>
      </c>
    </row>
    <row r="187" spans="4:6" x14ac:dyDescent="0.25">
      <c r="D187" s="10" t="s">
        <v>442</v>
      </c>
      <c r="E187" s="10" t="s">
        <v>443</v>
      </c>
      <c r="F187" s="21" t="s">
        <v>145</v>
      </c>
    </row>
    <row r="188" spans="4:6" x14ac:dyDescent="0.25">
      <c r="D188" s="10" t="s">
        <v>444</v>
      </c>
      <c r="E188" s="10" t="s">
        <v>445</v>
      </c>
      <c r="F188" s="21" t="s">
        <v>145</v>
      </c>
    </row>
    <row r="189" spans="4:6" x14ac:dyDescent="0.25">
      <c r="D189" s="10" t="s">
        <v>446</v>
      </c>
      <c r="E189" s="10" t="s">
        <v>447</v>
      </c>
      <c r="F189" s="21" t="s">
        <v>145</v>
      </c>
    </row>
    <row r="190" spans="4:6" x14ac:dyDescent="0.25">
      <c r="D190" s="10" t="s">
        <v>448</v>
      </c>
      <c r="E190" s="10" t="s">
        <v>449</v>
      </c>
      <c r="F190" s="21" t="s">
        <v>145</v>
      </c>
    </row>
    <row r="191" spans="4:6" x14ac:dyDescent="0.25">
      <c r="D191" s="10" t="s">
        <v>450</v>
      </c>
      <c r="E191" s="10" t="s">
        <v>451</v>
      </c>
      <c r="F191" s="21" t="s">
        <v>145</v>
      </c>
    </row>
    <row r="192" spans="4:6" x14ac:dyDescent="0.25">
      <c r="D192" s="10" t="s">
        <v>452</v>
      </c>
      <c r="E192" s="10" t="s">
        <v>453</v>
      </c>
      <c r="F192" s="21" t="s">
        <v>145</v>
      </c>
    </row>
    <row r="193" spans="4:6" x14ac:dyDescent="0.25">
      <c r="D193" s="10" t="s">
        <v>454</v>
      </c>
      <c r="E193" s="10" t="s">
        <v>455</v>
      </c>
      <c r="F193" s="21" t="s">
        <v>145</v>
      </c>
    </row>
    <row r="194" spans="4:6" x14ac:dyDescent="0.25">
      <c r="D194" s="10" t="s">
        <v>456</v>
      </c>
      <c r="E194" s="10" t="s">
        <v>457</v>
      </c>
      <c r="F194" s="21" t="s">
        <v>145</v>
      </c>
    </row>
    <row r="195" spans="4:6" x14ac:dyDescent="0.25">
      <c r="D195" s="10" t="s">
        <v>458</v>
      </c>
      <c r="E195" s="10" t="s">
        <v>459</v>
      </c>
      <c r="F195" s="21" t="s">
        <v>145</v>
      </c>
    </row>
    <row r="196" spans="4:6" x14ac:dyDescent="0.25">
      <c r="D196" s="10" t="s">
        <v>460</v>
      </c>
      <c r="E196" s="10" t="s">
        <v>461</v>
      </c>
      <c r="F196" s="21" t="s">
        <v>145</v>
      </c>
    </row>
    <row r="197" spans="4:6" x14ac:dyDescent="0.25">
      <c r="D197" s="10" t="s">
        <v>462</v>
      </c>
      <c r="E197" s="10" t="s">
        <v>463</v>
      </c>
      <c r="F197" s="21" t="s">
        <v>145</v>
      </c>
    </row>
    <row r="198" spans="4:6" x14ac:dyDescent="0.25">
      <c r="D198" s="10" t="s">
        <v>464</v>
      </c>
      <c r="E198" s="10" t="s">
        <v>465</v>
      </c>
      <c r="F198" s="21" t="s">
        <v>145</v>
      </c>
    </row>
    <row r="199" spans="4:6" x14ac:dyDescent="0.25">
      <c r="D199" s="10" t="s">
        <v>466</v>
      </c>
      <c r="E199" s="10" t="s">
        <v>467</v>
      </c>
      <c r="F199" s="21" t="s">
        <v>145</v>
      </c>
    </row>
    <row r="200" spans="4:6" x14ac:dyDescent="0.25">
      <c r="D200" s="10" t="s">
        <v>468</v>
      </c>
      <c r="E200" s="10" t="s">
        <v>469</v>
      </c>
      <c r="F200" s="21" t="s">
        <v>145</v>
      </c>
    </row>
    <row r="201" spans="4:6" x14ac:dyDescent="0.25">
      <c r="D201" s="10" t="s">
        <v>470</v>
      </c>
      <c r="E201" s="10" t="s">
        <v>471</v>
      </c>
      <c r="F201" s="21" t="s">
        <v>145</v>
      </c>
    </row>
    <row r="202" spans="4:6" x14ac:dyDescent="0.25">
      <c r="D202" s="10" t="s">
        <v>472</v>
      </c>
      <c r="E202" s="10" t="s">
        <v>473</v>
      </c>
      <c r="F202" s="21" t="s">
        <v>145</v>
      </c>
    </row>
    <row r="203" spans="4:6" x14ac:dyDescent="0.25">
      <c r="D203" s="10" t="s">
        <v>474</v>
      </c>
      <c r="E203" s="10" t="s">
        <v>475</v>
      </c>
      <c r="F203" s="21" t="s">
        <v>145</v>
      </c>
    </row>
    <row r="204" spans="4:6" x14ac:dyDescent="0.25">
      <c r="D204" s="10" t="s">
        <v>476</v>
      </c>
      <c r="E204" s="10" t="s">
        <v>477</v>
      </c>
      <c r="F204" s="21" t="s">
        <v>145</v>
      </c>
    </row>
    <row r="205" spans="4:6" x14ac:dyDescent="0.25">
      <c r="D205" s="10" t="s">
        <v>478</v>
      </c>
      <c r="E205" s="10" t="s">
        <v>479</v>
      </c>
      <c r="F205" s="21" t="s">
        <v>145</v>
      </c>
    </row>
    <row r="206" spans="4:6" x14ac:dyDescent="0.25">
      <c r="D206" s="10" t="s">
        <v>480</v>
      </c>
      <c r="E206" s="10" t="s">
        <v>481</v>
      </c>
      <c r="F206" s="21" t="s">
        <v>145</v>
      </c>
    </row>
    <row r="207" spans="4:6" x14ac:dyDescent="0.25">
      <c r="D207" s="10" t="s">
        <v>478</v>
      </c>
      <c r="E207" s="10" t="s">
        <v>482</v>
      </c>
      <c r="F207" s="21" t="s">
        <v>145</v>
      </c>
    </row>
    <row r="208" spans="4:6" x14ac:dyDescent="0.25">
      <c r="D208" s="10" t="s">
        <v>483</v>
      </c>
      <c r="E208" s="10" t="s">
        <v>484</v>
      </c>
      <c r="F208" s="21" t="s">
        <v>145</v>
      </c>
    </row>
    <row r="209" spans="4:6" x14ac:dyDescent="0.25">
      <c r="D209" s="10" t="s">
        <v>485</v>
      </c>
      <c r="E209" s="10" t="s">
        <v>486</v>
      </c>
      <c r="F209" s="21" t="s">
        <v>145</v>
      </c>
    </row>
    <row r="210" spans="4:6" x14ac:dyDescent="0.25">
      <c r="D210" s="10" t="s">
        <v>487</v>
      </c>
      <c r="E210" s="10" t="s">
        <v>488</v>
      </c>
      <c r="F210" s="21" t="s">
        <v>145</v>
      </c>
    </row>
    <row r="211" spans="4:6" x14ac:dyDescent="0.25">
      <c r="D211" s="10" t="s">
        <v>489</v>
      </c>
      <c r="E211" s="10" t="s">
        <v>490</v>
      </c>
      <c r="F211" s="21" t="s">
        <v>145</v>
      </c>
    </row>
    <row r="212" spans="4:6" x14ac:dyDescent="0.25">
      <c r="D212" s="10" t="s">
        <v>491</v>
      </c>
      <c r="E212" s="10" t="s">
        <v>492</v>
      </c>
      <c r="F212" s="21" t="s">
        <v>145</v>
      </c>
    </row>
    <row r="213" spans="4:6" x14ac:dyDescent="0.25">
      <c r="D213" s="10" t="s">
        <v>493</v>
      </c>
      <c r="E213" s="10" t="s">
        <v>494</v>
      </c>
      <c r="F213" s="21" t="s">
        <v>145</v>
      </c>
    </row>
    <row r="214" spans="4:6" x14ac:dyDescent="0.25">
      <c r="D214" s="10" t="s">
        <v>495</v>
      </c>
      <c r="E214" s="10" t="s">
        <v>496</v>
      </c>
      <c r="F214" s="21" t="s">
        <v>145</v>
      </c>
    </row>
    <row r="215" spans="4:6" x14ac:dyDescent="0.25">
      <c r="D215" s="10" t="s">
        <v>1455</v>
      </c>
      <c r="E215" s="10" t="s">
        <v>1456</v>
      </c>
      <c r="F215" s="21" t="s">
        <v>145</v>
      </c>
    </row>
    <row r="216" spans="4:6" x14ac:dyDescent="0.25">
      <c r="D216" s="10" t="s">
        <v>497</v>
      </c>
      <c r="E216" s="10" t="s">
        <v>498</v>
      </c>
      <c r="F216" s="21" t="s">
        <v>145</v>
      </c>
    </row>
    <row r="217" spans="4:6" x14ac:dyDescent="0.25">
      <c r="D217" s="10" t="s">
        <v>499</v>
      </c>
      <c r="E217" s="10" t="s">
        <v>500</v>
      </c>
      <c r="F217" s="21" t="s">
        <v>145</v>
      </c>
    </row>
    <row r="218" spans="4:6" x14ac:dyDescent="0.25">
      <c r="D218" s="10" t="s">
        <v>1457</v>
      </c>
      <c r="E218" s="10" t="s">
        <v>501</v>
      </c>
      <c r="F218" s="21" t="s">
        <v>145</v>
      </c>
    </row>
    <row r="219" spans="4:6" x14ac:dyDescent="0.25">
      <c r="D219" s="10" t="s">
        <v>502</v>
      </c>
      <c r="E219" s="10" t="s">
        <v>503</v>
      </c>
      <c r="F219" s="21" t="s">
        <v>145</v>
      </c>
    </row>
    <row r="220" spans="4:6" x14ac:dyDescent="0.25">
      <c r="D220" s="10" t="s">
        <v>504</v>
      </c>
      <c r="E220" s="10" t="s">
        <v>505</v>
      </c>
      <c r="F220" s="21" t="s">
        <v>145</v>
      </c>
    </row>
    <row r="221" spans="4:6" x14ac:dyDescent="0.25">
      <c r="D221" s="10" t="s">
        <v>506</v>
      </c>
      <c r="E221" s="10" t="s">
        <v>507</v>
      </c>
      <c r="F221" s="21" t="s">
        <v>145</v>
      </c>
    </row>
    <row r="222" spans="4:6" x14ac:dyDescent="0.25">
      <c r="D222" s="10" t="s">
        <v>508</v>
      </c>
      <c r="E222" s="10" t="s">
        <v>509</v>
      </c>
      <c r="F222" s="21" t="s">
        <v>145</v>
      </c>
    </row>
    <row r="223" spans="4:6" x14ac:dyDescent="0.25">
      <c r="D223" s="10" t="s">
        <v>510</v>
      </c>
      <c r="E223" s="10" t="s">
        <v>511</v>
      </c>
      <c r="F223" s="21" t="s">
        <v>145</v>
      </c>
    </row>
    <row r="224" spans="4:6" x14ac:dyDescent="0.25">
      <c r="D224" s="10" t="s">
        <v>512</v>
      </c>
      <c r="E224" s="10" t="s">
        <v>513</v>
      </c>
      <c r="F224" s="21" t="s">
        <v>145</v>
      </c>
    </row>
    <row r="225" spans="4:6" x14ac:dyDescent="0.25">
      <c r="D225" s="10" t="s">
        <v>514</v>
      </c>
      <c r="E225" s="10" t="s">
        <v>515</v>
      </c>
      <c r="F225" s="21" t="s">
        <v>145</v>
      </c>
    </row>
    <row r="226" spans="4:6" x14ac:dyDescent="0.25">
      <c r="D226" s="10" t="s">
        <v>516</v>
      </c>
      <c r="E226" s="10" t="s">
        <v>517</v>
      </c>
      <c r="F226" s="21" t="s">
        <v>145</v>
      </c>
    </row>
    <row r="227" spans="4:6" x14ac:dyDescent="0.25">
      <c r="D227" s="10" t="s">
        <v>518</v>
      </c>
      <c r="E227" s="10" t="s">
        <v>519</v>
      </c>
      <c r="F227" s="21" t="s">
        <v>145</v>
      </c>
    </row>
    <row r="228" spans="4:6" x14ac:dyDescent="0.25">
      <c r="D228" s="10" t="s">
        <v>520</v>
      </c>
      <c r="E228" s="10" t="s">
        <v>521</v>
      </c>
      <c r="F228" s="21" t="s">
        <v>145</v>
      </c>
    </row>
    <row r="229" spans="4:6" x14ac:dyDescent="0.25">
      <c r="D229" s="10" t="s">
        <v>522</v>
      </c>
      <c r="E229" s="10" t="s">
        <v>523</v>
      </c>
      <c r="F229" s="21" t="s">
        <v>145</v>
      </c>
    </row>
    <row r="230" spans="4:6" x14ac:dyDescent="0.25">
      <c r="D230" s="10" t="s">
        <v>524</v>
      </c>
      <c r="E230" s="10" t="s">
        <v>525</v>
      </c>
      <c r="F230" s="21" t="s">
        <v>145</v>
      </c>
    </row>
    <row r="231" spans="4:6" x14ac:dyDescent="0.25">
      <c r="D231" s="10" t="s">
        <v>526</v>
      </c>
      <c r="E231" s="10" t="s">
        <v>527</v>
      </c>
      <c r="F231" s="21" t="s">
        <v>145</v>
      </c>
    </row>
    <row r="232" spans="4:6" x14ac:dyDescent="0.25">
      <c r="D232" s="10" t="s">
        <v>528</v>
      </c>
      <c r="E232" s="10" t="s">
        <v>529</v>
      </c>
      <c r="F232" s="21" t="s">
        <v>145</v>
      </c>
    </row>
    <row r="233" spans="4:6" x14ac:dyDescent="0.25">
      <c r="D233" s="10" t="s">
        <v>530</v>
      </c>
      <c r="E233" s="10" t="s">
        <v>531</v>
      </c>
      <c r="F233" s="21" t="s">
        <v>145</v>
      </c>
    </row>
    <row r="234" spans="4:6" x14ac:dyDescent="0.25">
      <c r="D234" s="10" t="s">
        <v>532</v>
      </c>
      <c r="E234" s="10" t="s">
        <v>533</v>
      </c>
      <c r="F234" s="21" t="s">
        <v>145</v>
      </c>
    </row>
    <row r="235" spans="4:6" x14ac:dyDescent="0.25">
      <c r="D235" s="10" t="s">
        <v>534</v>
      </c>
      <c r="E235" s="10" t="s">
        <v>535</v>
      </c>
      <c r="F235" s="21" t="s">
        <v>145</v>
      </c>
    </row>
    <row r="236" spans="4:6" x14ac:dyDescent="0.25">
      <c r="D236" s="10" t="s">
        <v>536</v>
      </c>
      <c r="E236" s="10" t="s">
        <v>537</v>
      </c>
      <c r="F236" s="21" t="s">
        <v>145</v>
      </c>
    </row>
    <row r="237" spans="4:6" x14ac:dyDescent="0.25">
      <c r="D237" s="10" t="s">
        <v>538</v>
      </c>
      <c r="E237" s="10" t="s">
        <v>539</v>
      </c>
      <c r="F237" s="21" t="s">
        <v>145</v>
      </c>
    </row>
    <row r="238" spans="4:6" x14ac:dyDescent="0.25">
      <c r="D238" s="10" t="s">
        <v>540</v>
      </c>
      <c r="E238" s="10" t="s">
        <v>541</v>
      </c>
      <c r="F238" s="21" t="s">
        <v>145</v>
      </c>
    </row>
    <row r="239" spans="4:6" x14ac:dyDescent="0.25">
      <c r="D239" s="10" t="s">
        <v>538</v>
      </c>
      <c r="E239" s="10" t="s">
        <v>542</v>
      </c>
      <c r="F239" s="21" t="s">
        <v>145</v>
      </c>
    </row>
    <row r="240" spans="4:6" x14ac:dyDescent="0.25">
      <c r="D240" s="10" t="s">
        <v>543</v>
      </c>
      <c r="E240" s="10" t="s">
        <v>544</v>
      </c>
      <c r="F240" s="21" t="s">
        <v>145</v>
      </c>
    </row>
    <row r="241" spans="4:6" x14ac:dyDescent="0.25">
      <c r="D241" s="10" t="s">
        <v>545</v>
      </c>
      <c r="E241" s="10" t="s">
        <v>546</v>
      </c>
      <c r="F241" s="21" t="s">
        <v>145</v>
      </c>
    </row>
    <row r="242" spans="4:6" x14ac:dyDescent="0.25">
      <c r="D242" s="10" t="s">
        <v>547</v>
      </c>
      <c r="E242" s="10" t="s">
        <v>548</v>
      </c>
      <c r="F242" s="21" t="s">
        <v>145</v>
      </c>
    </row>
    <row r="243" spans="4:6" x14ac:dyDescent="0.25">
      <c r="D243" s="10" t="s">
        <v>549</v>
      </c>
      <c r="E243" s="10" t="s">
        <v>550</v>
      </c>
      <c r="F243" s="21" t="s">
        <v>145</v>
      </c>
    </row>
    <row r="244" spans="4:6" x14ac:dyDescent="0.25">
      <c r="D244" s="10" t="s">
        <v>551</v>
      </c>
      <c r="E244" s="10" t="s">
        <v>552</v>
      </c>
      <c r="F244" s="21" t="s">
        <v>145</v>
      </c>
    </row>
    <row r="245" spans="4:6" x14ac:dyDescent="0.25">
      <c r="D245" s="10" t="s">
        <v>553</v>
      </c>
      <c r="E245" s="10" t="s">
        <v>554</v>
      </c>
      <c r="F245" s="21" t="s">
        <v>145</v>
      </c>
    </row>
    <row r="246" spans="4:6" x14ac:dyDescent="0.25">
      <c r="D246" s="10" t="s">
        <v>555</v>
      </c>
      <c r="E246" s="10" t="s">
        <v>556</v>
      </c>
      <c r="F246" s="21" t="s">
        <v>145</v>
      </c>
    </row>
    <row r="247" spans="4:6" x14ac:dyDescent="0.25">
      <c r="D247" s="10" t="s">
        <v>557</v>
      </c>
      <c r="E247" s="10" t="s">
        <v>558</v>
      </c>
      <c r="F247" s="21" t="s">
        <v>145</v>
      </c>
    </row>
    <row r="248" spans="4:6" x14ac:dyDescent="0.25">
      <c r="D248" s="10" t="s">
        <v>559</v>
      </c>
      <c r="E248" s="10" t="s">
        <v>560</v>
      </c>
      <c r="F248" s="21" t="s">
        <v>145</v>
      </c>
    </row>
    <row r="249" spans="4:6" x14ac:dyDescent="0.25">
      <c r="D249" s="10" t="s">
        <v>561</v>
      </c>
      <c r="E249" s="10" t="s">
        <v>562</v>
      </c>
      <c r="F249" s="21" t="s">
        <v>145</v>
      </c>
    </row>
    <row r="250" spans="4:6" x14ac:dyDescent="0.25">
      <c r="D250" s="10" t="s">
        <v>563</v>
      </c>
      <c r="E250" s="10" t="s">
        <v>564</v>
      </c>
      <c r="F250" s="21" t="s">
        <v>145</v>
      </c>
    </row>
    <row r="251" spans="4:6" x14ac:dyDescent="0.25">
      <c r="D251" s="10" t="s">
        <v>565</v>
      </c>
      <c r="E251" s="10" t="s">
        <v>566</v>
      </c>
      <c r="F251" s="21" t="s">
        <v>145</v>
      </c>
    </row>
    <row r="252" spans="4:6" x14ac:dyDescent="0.25">
      <c r="D252" s="10" t="s">
        <v>567</v>
      </c>
      <c r="E252" s="10" t="s">
        <v>568</v>
      </c>
      <c r="F252" s="21" t="s">
        <v>145</v>
      </c>
    </row>
    <row r="253" spans="4:6" x14ac:dyDescent="0.25">
      <c r="D253" s="10" t="s">
        <v>569</v>
      </c>
      <c r="E253" s="10" t="s">
        <v>570</v>
      </c>
      <c r="F253" s="21" t="s">
        <v>145</v>
      </c>
    </row>
    <row r="254" spans="4:6" x14ac:dyDescent="0.25">
      <c r="D254" s="10" t="s">
        <v>571</v>
      </c>
      <c r="E254" s="10" t="s">
        <v>572</v>
      </c>
      <c r="F254" s="21" t="s">
        <v>145</v>
      </c>
    </row>
    <row r="255" spans="4:6" x14ac:dyDescent="0.25">
      <c r="D255" s="10" t="s">
        <v>573</v>
      </c>
      <c r="E255" s="10" t="s">
        <v>574</v>
      </c>
      <c r="F255" s="21" t="s">
        <v>145</v>
      </c>
    </row>
    <row r="256" spans="4:6" x14ac:dyDescent="0.25">
      <c r="D256" s="10" t="s">
        <v>575</v>
      </c>
      <c r="E256" s="10" t="s">
        <v>576</v>
      </c>
      <c r="F256" s="21" t="s">
        <v>145</v>
      </c>
    </row>
    <row r="257" spans="4:6" x14ac:dyDescent="0.25">
      <c r="D257" s="10" t="s">
        <v>577</v>
      </c>
      <c r="E257" s="10" t="s">
        <v>578</v>
      </c>
      <c r="F257" s="21" t="s">
        <v>145</v>
      </c>
    </row>
    <row r="258" spans="4:6" x14ac:dyDescent="0.25">
      <c r="D258" s="10" t="s">
        <v>579</v>
      </c>
      <c r="E258" s="10" t="s">
        <v>580</v>
      </c>
      <c r="F258" s="21" t="s">
        <v>145</v>
      </c>
    </row>
    <row r="259" spans="4:6" x14ac:dyDescent="0.25">
      <c r="D259" s="10" t="s">
        <v>577</v>
      </c>
      <c r="E259" s="10" t="s">
        <v>581</v>
      </c>
      <c r="F259" s="21" t="s">
        <v>145</v>
      </c>
    </row>
    <row r="260" spans="4:6" x14ac:dyDescent="0.25">
      <c r="D260" s="10" t="s">
        <v>582</v>
      </c>
      <c r="E260" s="10" t="s">
        <v>583</v>
      </c>
      <c r="F260" s="21" t="s">
        <v>145</v>
      </c>
    </row>
    <row r="261" spans="4:6" x14ac:dyDescent="0.25">
      <c r="D261" s="10" t="s">
        <v>1458</v>
      </c>
      <c r="E261" s="10" t="s">
        <v>1459</v>
      </c>
      <c r="F261" s="21" t="s">
        <v>145</v>
      </c>
    </row>
    <row r="262" spans="4:6" x14ac:dyDescent="0.25">
      <c r="D262" s="10" t="s">
        <v>584</v>
      </c>
      <c r="E262" s="10" t="s">
        <v>585</v>
      </c>
      <c r="F262" s="21" t="s">
        <v>145</v>
      </c>
    </row>
    <row r="263" spans="4:6" x14ac:dyDescent="0.25">
      <c r="D263" s="10" t="s">
        <v>586</v>
      </c>
      <c r="E263" s="10" t="s">
        <v>587</v>
      </c>
      <c r="F263" s="21" t="s">
        <v>145</v>
      </c>
    </row>
    <row r="264" spans="4:6" x14ac:dyDescent="0.25">
      <c r="D264" s="10" t="s">
        <v>1460</v>
      </c>
      <c r="E264" s="10" t="s">
        <v>588</v>
      </c>
      <c r="F264" s="21" t="s">
        <v>145</v>
      </c>
    </row>
    <row r="265" spans="4:6" x14ac:dyDescent="0.25">
      <c r="D265" s="10" t="s">
        <v>589</v>
      </c>
      <c r="E265" s="10" t="s">
        <v>590</v>
      </c>
      <c r="F265" s="21" t="s">
        <v>145</v>
      </c>
    </row>
    <row r="266" spans="4:6" x14ac:dyDescent="0.25">
      <c r="D266" s="10" t="s">
        <v>591</v>
      </c>
      <c r="E266" s="10" t="s">
        <v>592</v>
      </c>
      <c r="F266" s="21" t="s">
        <v>145</v>
      </c>
    </row>
    <row r="267" spans="4:6" x14ac:dyDescent="0.25">
      <c r="D267" s="10" t="s">
        <v>593</v>
      </c>
      <c r="E267" s="10" t="s">
        <v>594</v>
      </c>
      <c r="F267" s="21" t="s">
        <v>145</v>
      </c>
    </row>
    <row r="268" spans="4:6" x14ac:dyDescent="0.25">
      <c r="D268" s="10" t="s">
        <v>595</v>
      </c>
      <c r="E268" s="10" t="s">
        <v>596</v>
      </c>
      <c r="F268" s="21" t="s">
        <v>145</v>
      </c>
    </row>
    <row r="269" spans="4:6" x14ac:dyDescent="0.25">
      <c r="D269" s="10" t="s">
        <v>597</v>
      </c>
      <c r="E269" s="10" t="s">
        <v>598</v>
      </c>
      <c r="F269" s="21" t="s">
        <v>145</v>
      </c>
    </row>
    <row r="270" spans="4:6" x14ac:dyDescent="0.25">
      <c r="D270" s="10" t="s">
        <v>599</v>
      </c>
      <c r="E270" s="10" t="s">
        <v>600</v>
      </c>
      <c r="F270" s="21" t="s">
        <v>145</v>
      </c>
    </row>
    <row r="271" spans="4:6" x14ac:dyDescent="0.25">
      <c r="D271" s="10" t="s">
        <v>601</v>
      </c>
      <c r="E271" s="10" t="s">
        <v>602</v>
      </c>
      <c r="F271" s="21" t="s">
        <v>145</v>
      </c>
    </row>
    <row r="272" spans="4:6" x14ac:dyDescent="0.25">
      <c r="D272" s="10" t="s">
        <v>603</v>
      </c>
      <c r="E272" s="10" t="s">
        <v>604</v>
      </c>
      <c r="F272" s="21" t="s">
        <v>145</v>
      </c>
    </row>
    <row r="273" spans="4:6" x14ac:dyDescent="0.25">
      <c r="D273" s="10" t="s">
        <v>605</v>
      </c>
      <c r="E273" s="10" t="s">
        <v>606</v>
      </c>
      <c r="F273" s="21" t="s">
        <v>145</v>
      </c>
    </row>
    <row r="274" spans="4:6" x14ac:dyDescent="0.25">
      <c r="D274" s="10" t="s">
        <v>607</v>
      </c>
      <c r="E274" s="10" t="s">
        <v>608</v>
      </c>
      <c r="F274" s="21" t="s">
        <v>145</v>
      </c>
    </row>
    <row r="275" spans="4:6" x14ac:dyDescent="0.25">
      <c r="D275" s="10" t="s">
        <v>609</v>
      </c>
      <c r="E275" s="10" t="s">
        <v>610</v>
      </c>
      <c r="F275" s="21" t="s">
        <v>145</v>
      </c>
    </row>
    <row r="276" spans="4:6" x14ac:dyDescent="0.25">
      <c r="D276" s="10" t="s">
        <v>611</v>
      </c>
      <c r="E276" s="10" t="s">
        <v>612</v>
      </c>
      <c r="F276" s="21" t="s">
        <v>145</v>
      </c>
    </row>
    <row r="277" spans="4:6" x14ac:dyDescent="0.25">
      <c r="D277" s="10" t="s">
        <v>613</v>
      </c>
      <c r="E277" s="10" t="s">
        <v>614</v>
      </c>
      <c r="F277" s="21" t="s">
        <v>145</v>
      </c>
    </row>
    <row r="278" spans="4:6" x14ac:dyDescent="0.25">
      <c r="D278" s="10" t="s">
        <v>615</v>
      </c>
      <c r="E278" s="10" t="s">
        <v>616</v>
      </c>
      <c r="F278" s="21" t="s">
        <v>145</v>
      </c>
    </row>
    <row r="279" spans="4:6" x14ac:dyDescent="0.25">
      <c r="D279" s="10" t="s">
        <v>617</v>
      </c>
      <c r="E279" s="10" t="s">
        <v>618</v>
      </c>
      <c r="F279" s="21" t="s">
        <v>145</v>
      </c>
    </row>
    <row r="280" spans="4:6" x14ac:dyDescent="0.25">
      <c r="D280" s="10" t="s">
        <v>619</v>
      </c>
      <c r="E280" s="10" t="s">
        <v>620</v>
      </c>
      <c r="F280" s="21" t="s">
        <v>145</v>
      </c>
    </row>
    <row r="281" spans="4:6" x14ac:dyDescent="0.25">
      <c r="D281" s="10" t="s">
        <v>621</v>
      </c>
      <c r="E281" s="10" t="s">
        <v>622</v>
      </c>
      <c r="F281" s="21" t="s">
        <v>145</v>
      </c>
    </row>
    <row r="282" spans="4:6" x14ac:dyDescent="0.25">
      <c r="D282" s="10" t="s">
        <v>623</v>
      </c>
      <c r="E282" s="10" t="s">
        <v>624</v>
      </c>
      <c r="F282" s="21" t="s">
        <v>145</v>
      </c>
    </row>
    <row r="283" spans="4:6" x14ac:dyDescent="0.25">
      <c r="D283" s="10" t="s">
        <v>625</v>
      </c>
      <c r="E283" s="10" t="s">
        <v>626</v>
      </c>
      <c r="F283" s="21" t="s">
        <v>145</v>
      </c>
    </row>
    <row r="284" spans="4:6" x14ac:dyDescent="0.25">
      <c r="D284" s="10" t="s">
        <v>627</v>
      </c>
      <c r="E284" s="10" t="s">
        <v>628</v>
      </c>
      <c r="F284" s="21" t="s">
        <v>145</v>
      </c>
    </row>
    <row r="285" spans="4:6" x14ac:dyDescent="0.25">
      <c r="D285" s="10" t="s">
        <v>629</v>
      </c>
      <c r="E285" s="10" t="s">
        <v>630</v>
      </c>
      <c r="F285" s="21" t="s">
        <v>145</v>
      </c>
    </row>
    <row r="286" spans="4:6" x14ac:dyDescent="0.25">
      <c r="D286" s="10" t="s">
        <v>631</v>
      </c>
      <c r="E286" s="10" t="s">
        <v>632</v>
      </c>
      <c r="F286" s="21" t="s">
        <v>145</v>
      </c>
    </row>
    <row r="287" spans="4:6" x14ac:dyDescent="0.25">
      <c r="D287" s="10" t="s">
        <v>633</v>
      </c>
      <c r="E287" s="10" t="s">
        <v>634</v>
      </c>
      <c r="F287" s="21" t="s">
        <v>145</v>
      </c>
    </row>
    <row r="288" spans="4:6" x14ac:dyDescent="0.25">
      <c r="D288" s="10" t="s">
        <v>635</v>
      </c>
      <c r="E288" s="10" t="s">
        <v>636</v>
      </c>
      <c r="F288" s="21" t="s">
        <v>145</v>
      </c>
    </row>
    <row r="289" spans="4:6" x14ac:dyDescent="0.25">
      <c r="D289" s="10" t="s">
        <v>637</v>
      </c>
      <c r="E289" s="10" t="s">
        <v>638</v>
      </c>
      <c r="F289" s="21" t="s">
        <v>145</v>
      </c>
    </row>
    <row r="290" spans="4:6" x14ac:dyDescent="0.25">
      <c r="D290" s="10" t="s">
        <v>635</v>
      </c>
      <c r="E290" s="10" t="s">
        <v>639</v>
      </c>
      <c r="F290" s="21" t="s">
        <v>145</v>
      </c>
    </row>
    <row r="291" spans="4:6" x14ac:dyDescent="0.25">
      <c r="D291" s="10" t="s">
        <v>640</v>
      </c>
      <c r="E291" s="10" t="s">
        <v>641</v>
      </c>
      <c r="F291" s="21" t="s">
        <v>145</v>
      </c>
    </row>
    <row r="292" spans="4:6" x14ac:dyDescent="0.25">
      <c r="D292" s="10" t="s">
        <v>642</v>
      </c>
      <c r="E292" s="10" t="s">
        <v>643</v>
      </c>
      <c r="F292" s="21" t="s">
        <v>145</v>
      </c>
    </row>
    <row r="293" spans="4:6" x14ac:dyDescent="0.25">
      <c r="D293" s="10" t="s">
        <v>644</v>
      </c>
      <c r="E293" s="10" t="s">
        <v>645</v>
      </c>
      <c r="F293" s="21" t="s">
        <v>145</v>
      </c>
    </row>
    <row r="294" spans="4:6" x14ac:dyDescent="0.25">
      <c r="D294" s="10" t="s">
        <v>646</v>
      </c>
      <c r="E294" s="10" t="s">
        <v>647</v>
      </c>
      <c r="F294" s="21" t="s">
        <v>145</v>
      </c>
    </row>
    <row r="295" spans="4:6" x14ac:dyDescent="0.25">
      <c r="D295" s="10" t="s">
        <v>648</v>
      </c>
      <c r="E295" s="10" t="s">
        <v>649</v>
      </c>
      <c r="F295" s="21" t="s">
        <v>145</v>
      </c>
    </row>
    <row r="296" spans="4:6" x14ac:dyDescent="0.25">
      <c r="D296" s="10" t="s">
        <v>650</v>
      </c>
      <c r="E296" s="10" t="s">
        <v>651</v>
      </c>
      <c r="F296" s="21" t="s">
        <v>145</v>
      </c>
    </row>
    <row r="297" spans="4:6" x14ac:dyDescent="0.25">
      <c r="D297" s="10" t="s">
        <v>652</v>
      </c>
      <c r="E297" s="10" t="s">
        <v>653</v>
      </c>
      <c r="F297" s="21" t="s">
        <v>145</v>
      </c>
    </row>
    <row r="298" spans="4:6" x14ac:dyDescent="0.25">
      <c r="D298" s="10" t="s">
        <v>1461</v>
      </c>
      <c r="E298" s="10" t="s">
        <v>1462</v>
      </c>
      <c r="F298" s="21" t="s">
        <v>145</v>
      </c>
    </row>
    <row r="299" spans="4:6" x14ac:dyDescent="0.25">
      <c r="D299" s="10" t="s">
        <v>654</v>
      </c>
      <c r="E299" s="10" t="s">
        <v>655</v>
      </c>
      <c r="F299" s="21" t="s">
        <v>145</v>
      </c>
    </row>
    <row r="300" spans="4:6" x14ac:dyDescent="0.25">
      <c r="D300" s="10" t="s">
        <v>656</v>
      </c>
      <c r="E300" s="10" t="s">
        <v>657</v>
      </c>
      <c r="F300" s="21" t="s">
        <v>145</v>
      </c>
    </row>
    <row r="301" spans="4:6" x14ac:dyDescent="0.25">
      <c r="D301" s="10" t="s">
        <v>1463</v>
      </c>
      <c r="E301" s="10" t="s">
        <v>658</v>
      </c>
      <c r="F301" s="21" t="s">
        <v>145</v>
      </c>
    </row>
    <row r="302" spans="4:6" x14ac:dyDescent="0.25">
      <c r="D302" s="10" t="s">
        <v>659</v>
      </c>
      <c r="E302" s="10" t="s">
        <v>660</v>
      </c>
      <c r="F302" s="21" t="s">
        <v>145</v>
      </c>
    </row>
    <row r="303" spans="4:6" x14ac:dyDescent="0.25">
      <c r="D303" s="10" t="s">
        <v>661</v>
      </c>
      <c r="E303" s="10" t="s">
        <v>662</v>
      </c>
      <c r="F303" s="21" t="s">
        <v>145</v>
      </c>
    </row>
    <row r="304" spans="4:6" x14ac:dyDescent="0.25">
      <c r="D304" s="10" t="s">
        <v>663</v>
      </c>
      <c r="E304" s="10" t="s">
        <v>664</v>
      </c>
      <c r="F304" s="21" t="s">
        <v>145</v>
      </c>
    </row>
    <row r="305" spans="4:6" x14ac:dyDescent="0.25">
      <c r="D305" s="10" t="s">
        <v>665</v>
      </c>
      <c r="E305" s="10" t="s">
        <v>666</v>
      </c>
      <c r="F305" s="21" t="s">
        <v>145</v>
      </c>
    </row>
    <row r="306" spans="4:6" x14ac:dyDescent="0.25">
      <c r="D306" s="10" t="s">
        <v>667</v>
      </c>
      <c r="E306" s="10" t="s">
        <v>668</v>
      </c>
      <c r="F306" s="21" t="s">
        <v>145</v>
      </c>
    </row>
    <row r="307" spans="4:6" x14ac:dyDescent="0.25">
      <c r="D307" s="10" t="s">
        <v>669</v>
      </c>
      <c r="E307" s="10" t="s">
        <v>670</v>
      </c>
      <c r="F307" s="21" t="s">
        <v>145</v>
      </c>
    </row>
    <row r="308" spans="4:6" x14ac:dyDescent="0.25">
      <c r="D308" s="10" t="s">
        <v>671</v>
      </c>
      <c r="E308" s="10" t="s">
        <v>672</v>
      </c>
      <c r="F308" s="21" t="s">
        <v>145</v>
      </c>
    </row>
    <row r="309" spans="4:6" x14ac:dyDescent="0.25">
      <c r="D309" s="10" t="s">
        <v>673</v>
      </c>
      <c r="E309" s="10" t="s">
        <v>674</v>
      </c>
      <c r="F309" s="21" t="s">
        <v>145</v>
      </c>
    </row>
    <row r="310" spans="4:6" x14ac:dyDescent="0.25">
      <c r="D310" s="10" t="s">
        <v>675</v>
      </c>
      <c r="E310" s="10" t="s">
        <v>676</v>
      </c>
      <c r="F310" s="21" t="s">
        <v>145</v>
      </c>
    </row>
    <row r="311" spans="4:6" x14ac:dyDescent="0.25">
      <c r="D311" s="10" t="s">
        <v>677</v>
      </c>
      <c r="E311" s="10" t="s">
        <v>678</v>
      </c>
      <c r="F311" s="21" t="s">
        <v>145</v>
      </c>
    </row>
    <row r="312" spans="4:6" x14ac:dyDescent="0.25">
      <c r="D312" s="10" t="s">
        <v>679</v>
      </c>
      <c r="E312" s="10" t="s">
        <v>680</v>
      </c>
      <c r="F312" s="21" t="s">
        <v>145</v>
      </c>
    </row>
    <row r="313" spans="4:6" x14ac:dyDescent="0.25">
      <c r="D313" s="10" t="s">
        <v>681</v>
      </c>
      <c r="E313" s="10" t="s">
        <v>682</v>
      </c>
      <c r="F313" s="21" t="s">
        <v>145</v>
      </c>
    </row>
    <row r="314" spans="4:6" x14ac:dyDescent="0.25">
      <c r="D314" s="10" t="s">
        <v>683</v>
      </c>
      <c r="E314" s="10" t="s">
        <v>684</v>
      </c>
      <c r="F314" s="21" t="s">
        <v>145</v>
      </c>
    </row>
    <row r="315" spans="4:6" x14ac:dyDescent="0.25">
      <c r="D315" s="10" t="s">
        <v>685</v>
      </c>
      <c r="E315" s="10" t="s">
        <v>686</v>
      </c>
      <c r="F315" s="21" t="s">
        <v>145</v>
      </c>
    </row>
    <row r="316" spans="4:6" x14ac:dyDescent="0.25">
      <c r="D316" s="10" t="s">
        <v>687</v>
      </c>
      <c r="E316" s="10" t="s">
        <v>688</v>
      </c>
      <c r="F316" s="21" t="s">
        <v>145</v>
      </c>
    </row>
    <row r="317" spans="4:6" x14ac:dyDescent="0.25">
      <c r="D317" s="10" t="s">
        <v>689</v>
      </c>
      <c r="E317" s="10" t="s">
        <v>690</v>
      </c>
      <c r="F317" s="21" t="s">
        <v>145</v>
      </c>
    </row>
    <row r="318" spans="4:6" x14ac:dyDescent="0.25">
      <c r="D318" s="10" t="s">
        <v>691</v>
      </c>
      <c r="E318" s="10" t="s">
        <v>692</v>
      </c>
      <c r="F318" s="21" t="s">
        <v>145</v>
      </c>
    </row>
    <row r="319" spans="4:6" x14ac:dyDescent="0.25">
      <c r="D319" s="10" t="s">
        <v>693</v>
      </c>
      <c r="E319" s="10" t="s">
        <v>694</v>
      </c>
      <c r="F319" s="21" t="s">
        <v>145</v>
      </c>
    </row>
    <row r="320" spans="4:6" x14ac:dyDescent="0.25">
      <c r="D320" s="10" t="s">
        <v>695</v>
      </c>
      <c r="E320" s="10" t="s">
        <v>696</v>
      </c>
      <c r="F320" s="21" t="s">
        <v>145</v>
      </c>
    </row>
    <row r="321" spans="4:6" x14ac:dyDescent="0.25">
      <c r="D321" s="10" t="s">
        <v>697</v>
      </c>
      <c r="E321" s="10" t="s">
        <v>698</v>
      </c>
      <c r="F321" s="21" t="s">
        <v>145</v>
      </c>
    </row>
    <row r="322" spans="4:6" x14ac:dyDescent="0.25">
      <c r="D322" s="10" t="s">
        <v>699</v>
      </c>
      <c r="E322" s="10" t="s">
        <v>700</v>
      </c>
      <c r="F322" s="21" t="s">
        <v>145</v>
      </c>
    </row>
    <row r="323" spans="4:6" x14ac:dyDescent="0.25">
      <c r="D323" s="10" t="s">
        <v>701</v>
      </c>
      <c r="E323" s="10" t="s">
        <v>702</v>
      </c>
      <c r="F323" s="21" t="s">
        <v>145</v>
      </c>
    </row>
    <row r="324" spans="4:6" x14ac:dyDescent="0.25">
      <c r="D324" s="10" t="s">
        <v>703</v>
      </c>
      <c r="E324" s="10" t="s">
        <v>704</v>
      </c>
      <c r="F324" s="21" t="s">
        <v>145</v>
      </c>
    </row>
    <row r="325" spans="4:6" x14ac:dyDescent="0.25">
      <c r="D325" s="10" t="s">
        <v>705</v>
      </c>
      <c r="E325" s="10" t="s">
        <v>706</v>
      </c>
      <c r="F325" s="21" t="s">
        <v>145</v>
      </c>
    </row>
    <row r="326" spans="4:6" x14ac:dyDescent="0.25">
      <c r="D326" s="10" t="s">
        <v>707</v>
      </c>
      <c r="E326" s="10" t="s">
        <v>708</v>
      </c>
      <c r="F326" s="21" t="s">
        <v>145</v>
      </c>
    </row>
    <row r="327" spans="4:6" x14ac:dyDescent="0.25">
      <c r="D327" s="10" t="s">
        <v>705</v>
      </c>
      <c r="E327" s="10" t="s">
        <v>709</v>
      </c>
      <c r="F327" s="21" t="s">
        <v>145</v>
      </c>
    </row>
    <row r="328" spans="4:6" x14ac:dyDescent="0.25">
      <c r="D328" s="10" t="s">
        <v>710</v>
      </c>
      <c r="E328" s="10" t="s">
        <v>711</v>
      </c>
      <c r="F328" s="21" t="s">
        <v>145</v>
      </c>
    </row>
    <row r="329" spans="4:6" x14ac:dyDescent="0.25">
      <c r="D329" s="10" t="s">
        <v>712</v>
      </c>
      <c r="E329" s="10" t="s">
        <v>713</v>
      </c>
      <c r="F329" s="21" t="s">
        <v>145</v>
      </c>
    </row>
    <row r="330" spans="4:6" x14ac:dyDescent="0.25">
      <c r="D330" s="23" t="s">
        <v>743</v>
      </c>
      <c r="E330" s="23" t="s">
        <v>744</v>
      </c>
      <c r="F330" s="24" t="s">
        <v>145</v>
      </c>
    </row>
    <row r="331" spans="4:6" x14ac:dyDescent="0.25">
      <c r="D331" s="10" t="s">
        <v>714</v>
      </c>
      <c r="E331" s="10" t="s">
        <v>715</v>
      </c>
      <c r="F331" s="21" t="s">
        <v>145</v>
      </c>
    </row>
    <row r="332" spans="4:6" x14ac:dyDescent="0.25">
      <c r="D332" s="10" t="s">
        <v>716</v>
      </c>
      <c r="E332" s="10" t="s">
        <v>717</v>
      </c>
      <c r="F332" s="21" t="s">
        <v>145</v>
      </c>
    </row>
    <row r="333" spans="4:6" x14ac:dyDescent="0.25">
      <c r="D333" s="10" t="s">
        <v>718</v>
      </c>
      <c r="E333" s="10" t="s">
        <v>719</v>
      </c>
      <c r="F333" s="21" t="s">
        <v>145</v>
      </c>
    </row>
    <row r="334" spans="4:6" x14ac:dyDescent="0.25">
      <c r="D334" s="10" t="s">
        <v>720</v>
      </c>
      <c r="E334" s="10" t="s">
        <v>721</v>
      </c>
      <c r="F334" s="21" t="s">
        <v>145</v>
      </c>
    </row>
    <row r="335" spans="4:6" x14ac:dyDescent="0.25">
      <c r="D335" s="10" t="s">
        <v>722</v>
      </c>
      <c r="E335" s="10" t="s">
        <v>724</v>
      </c>
      <c r="F335" s="21" t="s">
        <v>145</v>
      </c>
    </row>
    <row r="336" spans="4:6" x14ac:dyDescent="0.25">
      <c r="D336" s="10" t="s">
        <v>725</v>
      </c>
      <c r="E336" s="10" t="s">
        <v>726</v>
      </c>
      <c r="F336" s="21" t="s">
        <v>145</v>
      </c>
    </row>
    <row r="337" spans="2:11" x14ac:dyDescent="0.25">
      <c r="D337" s="10" t="s">
        <v>727</v>
      </c>
      <c r="E337" s="10" t="s">
        <v>728</v>
      </c>
      <c r="F337" s="21" t="s">
        <v>145</v>
      </c>
    </row>
    <row r="338" spans="2:11" x14ac:dyDescent="0.25">
      <c r="D338" s="10" t="s">
        <v>729</v>
      </c>
      <c r="E338" s="10" t="s">
        <v>730</v>
      </c>
      <c r="F338" s="21" t="s">
        <v>145</v>
      </c>
    </row>
    <row r="339" spans="2:11" x14ac:dyDescent="0.25">
      <c r="D339" s="10" t="s">
        <v>731</v>
      </c>
      <c r="E339" s="10" t="s">
        <v>732</v>
      </c>
      <c r="F339" s="21" t="s">
        <v>145</v>
      </c>
    </row>
    <row r="340" spans="2:11" x14ac:dyDescent="0.25">
      <c r="D340" s="10" t="s">
        <v>733</v>
      </c>
      <c r="E340" s="10" t="s">
        <v>734</v>
      </c>
      <c r="F340" s="21" t="s">
        <v>145</v>
      </c>
    </row>
    <row r="341" spans="2:11" x14ac:dyDescent="0.25">
      <c r="D341" s="10" t="s">
        <v>735</v>
      </c>
      <c r="E341" s="10" t="s">
        <v>736</v>
      </c>
      <c r="F341" s="21" t="s">
        <v>145</v>
      </c>
    </row>
    <row r="342" spans="2:11" x14ac:dyDescent="0.25">
      <c r="D342" s="10" t="s">
        <v>737</v>
      </c>
      <c r="E342" s="10" t="s">
        <v>738</v>
      </c>
      <c r="F342" s="21" t="s">
        <v>145</v>
      </c>
    </row>
    <row r="343" spans="2:11" x14ac:dyDescent="0.25">
      <c r="D343" s="10" t="s">
        <v>739</v>
      </c>
      <c r="E343" s="10" t="s">
        <v>740</v>
      </c>
      <c r="F343" s="21" t="s">
        <v>145</v>
      </c>
    </row>
    <row r="344" spans="2:11" x14ac:dyDescent="0.25">
      <c r="D344" s="10" t="s">
        <v>741</v>
      </c>
      <c r="E344" s="10" t="s">
        <v>742</v>
      </c>
      <c r="F344" s="21" t="s">
        <v>145</v>
      </c>
    </row>
    <row r="345" spans="2:11" x14ac:dyDescent="0.25">
      <c r="D345" s="10" t="s">
        <v>743</v>
      </c>
      <c r="E345" s="10" t="s">
        <v>744</v>
      </c>
      <c r="F345" s="21" t="s">
        <v>145</v>
      </c>
    </row>
    <row r="346" spans="2:11" x14ac:dyDescent="0.25">
      <c r="D346" s="10" t="s">
        <v>745</v>
      </c>
      <c r="E346" s="10" t="s">
        <v>746</v>
      </c>
      <c r="F346" s="10" t="s">
        <v>145</v>
      </c>
    </row>
    <row r="347" spans="2:11" x14ac:dyDescent="0.25">
      <c r="D347" s="10" t="s">
        <v>747</v>
      </c>
      <c r="E347" s="10" t="s">
        <v>748</v>
      </c>
      <c r="F347" s="21" t="s">
        <v>145</v>
      </c>
    </row>
    <row r="348" spans="2:11" x14ac:dyDescent="0.25">
      <c r="D348" s="10" t="s">
        <v>1464</v>
      </c>
      <c r="E348" s="10" t="s">
        <v>748</v>
      </c>
      <c r="F348" s="21" t="s">
        <v>145</v>
      </c>
    </row>
    <row r="349" spans="2:11" x14ac:dyDescent="0.25">
      <c r="B349" s="11"/>
      <c r="C349" s="11"/>
      <c r="D349" s="11" t="s">
        <v>1465</v>
      </c>
      <c r="E349" s="11" t="s">
        <v>1466</v>
      </c>
      <c r="F349" s="25" t="s">
        <v>145</v>
      </c>
      <c r="G349" s="11"/>
      <c r="H349" s="11"/>
      <c r="I349" s="11"/>
      <c r="J349" s="11"/>
    </row>
    <row r="350" spans="2:11" x14ac:dyDescent="0.25">
      <c r="B350" s="26"/>
      <c r="C350" s="26"/>
      <c r="D350" s="26" t="s">
        <v>1468</v>
      </c>
      <c r="E350" s="26" t="s">
        <v>1469</v>
      </c>
      <c r="F350" s="26" t="s">
        <v>145</v>
      </c>
      <c r="G350" s="26"/>
      <c r="H350" s="26" t="s">
        <v>847</v>
      </c>
      <c r="I350" s="26"/>
      <c r="J350" s="26"/>
      <c r="K350" s="26"/>
    </row>
    <row r="351" spans="2:11" x14ac:dyDescent="0.25">
      <c r="D351" s="10" t="s">
        <v>1470</v>
      </c>
      <c r="E351" s="10" t="s">
        <v>1471</v>
      </c>
      <c r="F351" s="10" t="s">
        <v>145</v>
      </c>
      <c r="H351" s="10" t="s">
        <v>847</v>
      </c>
    </row>
    <row r="352" spans="2:11" x14ac:dyDescent="0.25">
      <c r="D352" s="10" t="s">
        <v>1472</v>
      </c>
      <c r="E352" s="10" t="s">
        <v>1473</v>
      </c>
      <c r="F352" s="10" t="s">
        <v>145</v>
      </c>
      <c r="H352" s="10" t="s">
        <v>847</v>
      </c>
    </row>
    <row r="353" spans="2:10" x14ac:dyDescent="0.25">
      <c r="B353" s="11"/>
      <c r="C353" s="11"/>
      <c r="D353" s="11" t="s">
        <v>1474</v>
      </c>
      <c r="E353" s="11" t="s">
        <v>1475</v>
      </c>
      <c r="F353" s="11" t="s">
        <v>145</v>
      </c>
      <c r="G353" s="11"/>
      <c r="H353" s="11" t="s">
        <v>847</v>
      </c>
      <c r="I353" s="11"/>
      <c r="J353" s="1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7"/>
  <sheetViews>
    <sheetView zoomScale="85" zoomScaleNormal="85" workbookViewId="0">
      <selection activeCell="H78" activeCellId="1" sqref="H105 H78"/>
    </sheetView>
  </sheetViews>
  <sheetFormatPr defaultColWidth="9.109375" defaultRowHeight="13.5" customHeight="1" x14ac:dyDescent="0.25"/>
  <cols>
    <col min="1" max="1" width="27.109375" style="6" bestFit="1" customWidth="1"/>
    <col min="2" max="2" width="36.44140625" style="6" bestFit="1" customWidth="1"/>
    <col min="3" max="3" width="17.33203125" style="6" bestFit="1" customWidth="1"/>
    <col min="4" max="4" width="12.5546875" style="6" bestFit="1" customWidth="1"/>
    <col min="5" max="5" width="10.88671875" style="6" bestFit="1" customWidth="1"/>
    <col min="6" max="16384" width="9.109375" style="6"/>
  </cols>
  <sheetData>
    <row r="1" spans="1:6" ht="13.5" customHeight="1" x14ac:dyDescent="0.3">
      <c r="A1" s="4" t="s">
        <v>750</v>
      </c>
      <c r="B1" s="5"/>
      <c r="E1" s="1" t="s">
        <v>751</v>
      </c>
      <c r="F1" s="9">
        <v>2017</v>
      </c>
    </row>
    <row r="2" spans="1:6" ht="13.5" customHeight="1" x14ac:dyDescent="0.3">
      <c r="A2" s="1" t="s">
        <v>752</v>
      </c>
      <c r="B2" s="2" t="s">
        <v>145</v>
      </c>
      <c r="E2" s="1" t="s">
        <v>753</v>
      </c>
      <c r="F2" s="1">
        <v>2050</v>
      </c>
    </row>
    <row r="3" spans="1:6" ht="13.5" customHeight="1" x14ac:dyDescent="0.3">
      <c r="A3" s="1" t="s">
        <v>754</v>
      </c>
      <c r="B3" s="2" t="s">
        <v>1430</v>
      </c>
    </row>
    <row r="4" spans="1:6" ht="13.5" customHeight="1" x14ac:dyDescent="0.3">
      <c r="A4" s="1" t="s">
        <v>755</v>
      </c>
      <c r="B4" s="2" t="s">
        <v>756</v>
      </c>
    </row>
    <row r="5" spans="1:6" ht="13.5" customHeight="1" x14ac:dyDescent="0.3">
      <c r="A5" s="1" t="s">
        <v>757</v>
      </c>
      <c r="B5" s="2" t="s">
        <v>758</v>
      </c>
    </row>
    <row r="8" spans="1:6" ht="13.5" customHeight="1" x14ac:dyDescent="0.3">
      <c r="A8" s="7" t="s">
        <v>759</v>
      </c>
      <c r="B8" s="7"/>
    </row>
    <row r="10" spans="1:6" ht="13.5" customHeight="1" x14ac:dyDescent="0.3">
      <c r="A10" s="4" t="s">
        <v>760</v>
      </c>
      <c r="B10" s="4" t="s">
        <v>761</v>
      </c>
      <c r="C10" s="4" t="s">
        <v>762</v>
      </c>
      <c r="D10" s="4" t="s">
        <v>763</v>
      </c>
      <c r="E10" s="4" t="s">
        <v>764</v>
      </c>
    </row>
    <row r="11" spans="1:6" ht="13.5" customHeight="1" x14ac:dyDescent="0.3">
      <c r="A11" s="8" t="s">
        <v>765</v>
      </c>
      <c r="B11" s="1" t="s">
        <v>766</v>
      </c>
      <c r="C11" s="1" t="s">
        <v>767</v>
      </c>
      <c r="D11" s="3" t="s">
        <v>768</v>
      </c>
      <c r="E11" s="3"/>
    </row>
    <row r="12" spans="1:6" ht="13.5" customHeight="1" x14ac:dyDescent="0.3">
      <c r="A12" s="8" t="s">
        <v>769</v>
      </c>
      <c r="B12" s="1" t="s">
        <v>770</v>
      </c>
      <c r="C12" s="1"/>
      <c r="D12" s="3" t="s">
        <v>1431</v>
      </c>
      <c r="E12" s="3" t="str">
        <f>B3&amp;"/"&amp;B2</f>
        <v>M$/PJ</v>
      </c>
    </row>
    <row r="13" spans="1:6" ht="13.5" customHeight="1" x14ac:dyDescent="0.3">
      <c r="A13" s="8" t="s">
        <v>771</v>
      </c>
      <c r="B13" s="1" t="s">
        <v>772</v>
      </c>
      <c r="C13" s="1" t="s">
        <v>767</v>
      </c>
      <c r="D13" s="3" t="str">
        <f>B2&amp;"/year"</f>
        <v>PJ/year</v>
      </c>
      <c r="E13" s="3"/>
    </row>
    <row r="14" spans="1:6" ht="13.5" customHeight="1" x14ac:dyDescent="0.3">
      <c r="A14" s="8" t="s">
        <v>5</v>
      </c>
      <c r="B14" s="1" t="s">
        <v>37</v>
      </c>
      <c r="C14" s="1" t="s">
        <v>767</v>
      </c>
      <c r="D14" s="3" t="s">
        <v>1432</v>
      </c>
      <c r="E14" s="3" t="str">
        <f>B3&amp;"/"&amp;B2&amp;"/a"</f>
        <v>M$/PJ/a</v>
      </c>
    </row>
    <row r="15" spans="1:6" ht="13.5" customHeight="1" x14ac:dyDescent="0.3">
      <c r="A15" s="8" t="s">
        <v>34</v>
      </c>
      <c r="B15" s="1" t="s">
        <v>38</v>
      </c>
      <c r="C15" s="1" t="s">
        <v>767</v>
      </c>
      <c r="D15" s="3" t="s">
        <v>1431</v>
      </c>
      <c r="E15" s="3" t="str">
        <f>B3&amp;"/"&amp;B2</f>
        <v>M$/PJ</v>
      </c>
    </row>
    <row r="16" spans="1:6" ht="13.5" customHeight="1" x14ac:dyDescent="0.3">
      <c r="A16" s="8" t="s">
        <v>773</v>
      </c>
      <c r="B16" s="1" t="s">
        <v>774</v>
      </c>
      <c r="C16" s="1" t="s">
        <v>767</v>
      </c>
      <c r="D16" s="3" t="s">
        <v>775</v>
      </c>
      <c r="E16" s="3" t="str">
        <f>B2&amp;"/"&amp;B5</f>
        <v>PJ/GW</v>
      </c>
    </row>
    <row r="17" spans="1:5" ht="13.5" customHeight="1" x14ac:dyDescent="0.3">
      <c r="A17" s="8" t="s">
        <v>765</v>
      </c>
      <c r="B17" s="1" t="s">
        <v>766</v>
      </c>
      <c r="C17" s="1" t="s">
        <v>767</v>
      </c>
      <c r="D17" s="3" t="s">
        <v>768</v>
      </c>
      <c r="E17" s="3"/>
    </row>
    <row r="18" spans="1:5" ht="13.5" customHeight="1" x14ac:dyDescent="0.3">
      <c r="A18" s="8" t="s">
        <v>776</v>
      </c>
      <c r="B18" s="1" t="s">
        <v>777</v>
      </c>
      <c r="C18" s="1"/>
      <c r="D18" s="3" t="s">
        <v>838</v>
      </c>
      <c r="E18" s="3" t="s">
        <v>778</v>
      </c>
    </row>
    <row r="19" spans="1:5" ht="13.5" customHeight="1" x14ac:dyDescent="0.3">
      <c r="A19" s="8" t="s">
        <v>773</v>
      </c>
      <c r="B19" s="1" t="s">
        <v>779</v>
      </c>
      <c r="C19" s="1"/>
      <c r="D19" s="3" t="str">
        <f>IF(B2="PJ","TJ/unit","GJ/unit")</f>
        <v>TJ/unit</v>
      </c>
      <c r="E19" s="3"/>
    </row>
    <row r="20" spans="1:5" ht="13.5" customHeight="1" x14ac:dyDescent="0.3">
      <c r="A20" s="8"/>
      <c r="B20" s="1"/>
      <c r="C20" s="1"/>
      <c r="D20" s="3" t="s">
        <v>836</v>
      </c>
      <c r="E20" s="3"/>
    </row>
    <row r="21" spans="1:5" ht="13.5" customHeight="1" x14ac:dyDescent="0.3">
      <c r="A21" s="8" t="s">
        <v>780</v>
      </c>
      <c r="B21" s="1" t="s">
        <v>781</v>
      </c>
      <c r="C21" s="1" t="s">
        <v>767</v>
      </c>
      <c r="D21" s="3" t="s">
        <v>782</v>
      </c>
      <c r="E21" s="3"/>
    </row>
    <row r="22" spans="1:5" ht="13.5" customHeight="1" x14ac:dyDescent="0.3">
      <c r="A22" s="8" t="s">
        <v>776</v>
      </c>
      <c r="B22" s="1" t="s">
        <v>777</v>
      </c>
      <c r="C22" s="1" t="s">
        <v>783</v>
      </c>
      <c r="D22" s="3" t="str">
        <f>B2&amp;"/year"</f>
        <v>PJ/year</v>
      </c>
      <c r="E22" s="3"/>
    </row>
    <row r="23" spans="1:5" ht="13.5" customHeight="1" x14ac:dyDescent="0.3">
      <c r="A23" s="8" t="s">
        <v>18</v>
      </c>
      <c r="B23" s="1" t="s">
        <v>29</v>
      </c>
      <c r="C23" s="1" t="s">
        <v>784</v>
      </c>
      <c r="D23" s="3" t="s">
        <v>785</v>
      </c>
      <c r="E23" s="3"/>
    </row>
    <row r="24" spans="1:5" ht="13.5" customHeight="1" x14ac:dyDescent="0.3">
      <c r="A24" s="8" t="s">
        <v>19</v>
      </c>
      <c r="B24" s="1" t="s">
        <v>786</v>
      </c>
      <c r="C24" s="1" t="s">
        <v>784</v>
      </c>
      <c r="D24" s="3" t="s">
        <v>785</v>
      </c>
      <c r="E24" s="3"/>
    </row>
    <row r="25" spans="1:5" ht="13.5" customHeight="1" x14ac:dyDescent="0.3">
      <c r="A25" s="8" t="s">
        <v>823</v>
      </c>
      <c r="B25" s="1"/>
      <c r="C25" s="1"/>
      <c r="D25" s="3" t="s">
        <v>1432</v>
      </c>
    </row>
    <row r="26" spans="1:5" ht="13.5" customHeight="1" x14ac:dyDescent="0.3">
      <c r="A26" s="8"/>
      <c r="B26" s="1"/>
      <c r="C26" s="1"/>
      <c r="D26" s="3" t="s">
        <v>1433</v>
      </c>
    </row>
    <row r="27" spans="1:5" ht="13.5" customHeight="1" x14ac:dyDescent="0.3">
      <c r="D27" s="3" t="s">
        <v>1434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RSD_NewBuildings</vt:lpstr>
      <vt:lpstr>RSD_SpHeat</vt:lpstr>
      <vt:lpstr>RSD_SpCool</vt:lpstr>
      <vt:lpstr>RSD_WaterHeat</vt:lpstr>
      <vt:lpstr>RSD_Cook</vt:lpstr>
      <vt:lpstr>RSD_ElcAppliances</vt:lpstr>
      <vt:lpstr>RSD_Retrofits</vt:lpstr>
      <vt:lpstr>Commodities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708516955375671</vt:r8>
  </property>
</Properties>
</file>