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bRES_TMPL\"/>
    </mc:Choice>
  </mc:AlternateContent>
  <xr:revisionPtr revIDLastSave="0" documentId="13_ncr:1_{C5E5C5E0-1872-484B-B1D4-E72094C3A7E2}" xr6:coauthVersionLast="47" xr6:coauthVersionMax="47" xr10:uidLastSave="{00000000-0000-0000-0000-000000000000}"/>
  <bookViews>
    <workbookView xWindow="372" yWindow="0" windowWidth="22668" windowHeight="12240" xr2:uid="{00000000-000D-0000-FFFF-FFFF00000000}"/>
  </bookViews>
  <sheets>
    <sheet name="SUP_Hydrogen" sheetId="7" r:id="rId1"/>
    <sheet name="SUP_Biomass" sheetId="4" r:id="rId2"/>
    <sheet name="SUP_Biofuels" sheetId="10" r:id="rId3"/>
    <sheet name="SUP_NUC" sheetId="20" r:id="rId4"/>
    <sheet name="SUP_WTR" sheetId="21" r:id="rId5"/>
    <sheet name="SUP_OilGas" sheetId="17" r:id="rId6"/>
    <sheet name="ELC_IMP" sheetId="18" r:id="rId7"/>
    <sheet name="SUP_CCS" sheetId="19" r:id="rId8"/>
    <sheet name="Commodities" sheetId="9" r:id="rId9"/>
    <sheet name="SUP" sheetId="16" r:id="rId10"/>
    <sheet name="General" sheetId="14" state="hidden" r:id="rId11"/>
  </sheets>
  <externalReferences>
    <externalReference r:id="rId12"/>
  </externalReferences>
  <definedNames>
    <definedName name="BASE_YEAR" localSheetId="7">[1]General!$F$1</definedName>
    <definedName name="BASE_YEAR">General!$F$1</definedName>
    <definedName name="END_YEAR" localSheetId="7">[1]General!$F$2</definedName>
    <definedName name="END_YEAR">General!$F$2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7" l="1"/>
  <c r="F99" i="10"/>
  <c r="F98" i="10"/>
  <c r="E45" i="7" l="1"/>
  <c r="E40" i="7"/>
  <c r="W16" i="7" l="1"/>
  <c r="J52" i="7"/>
  <c r="I52" i="7"/>
  <c r="G52" i="7"/>
  <c r="F52" i="7"/>
  <c r="D52" i="7"/>
  <c r="C52" i="7"/>
  <c r="B52" i="7"/>
  <c r="X38" i="7"/>
  <c r="W38" i="7"/>
  <c r="M51" i="7"/>
  <c r="Q9" i="19" l="1"/>
  <c r="B9" i="19" s="1"/>
  <c r="C13" i="19"/>
  <c r="B13" i="19"/>
  <c r="V9" i="19"/>
  <c r="G9" i="19"/>
  <c r="G10" i="19" s="1"/>
  <c r="G11" i="19" s="1"/>
  <c r="G12" i="19" s="1"/>
  <c r="E9" i="19"/>
  <c r="E13" i="19" s="1"/>
  <c r="C9" i="19"/>
  <c r="F51" i="7"/>
  <c r="D51" i="7"/>
  <c r="C51" i="7"/>
  <c r="B51" i="7"/>
  <c r="X37" i="7"/>
  <c r="W37" i="7"/>
  <c r="D13" i="7"/>
  <c r="D50" i="7"/>
  <c r="L49" i="7" l="1"/>
  <c r="F49" i="7"/>
  <c r="F50" i="7" s="1"/>
  <c r="E49" i="7"/>
  <c r="D49" i="7"/>
  <c r="C49" i="7"/>
  <c r="B49" i="7"/>
  <c r="X36" i="7"/>
  <c r="W36" i="7"/>
  <c r="U36" i="7"/>
  <c r="W15" i="7"/>
  <c r="K53" i="10" l="1"/>
  <c r="K49" i="10"/>
  <c r="K57" i="10"/>
  <c r="E57" i="10"/>
  <c r="E53" i="10"/>
  <c r="E49" i="10"/>
  <c r="L23" i="7" l="1"/>
  <c r="L17" i="7"/>
  <c r="D17" i="7" l="1"/>
  <c r="L43" i="7" l="1"/>
  <c r="M37" i="7"/>
  <c r="E47" i="7" l="1"/>
  <c r="C47" i="7"/>
  <c r="W14" i="7"/>
  <c r="U35" i="7"/>
  <c r="B47" i="7" s="1"/>
  <c r="X35" i="7"/>
  <c r="W35" i="7"/>
  <c r="F48" i="7"/>
  <c r="L47" i="7"/>
  <c r="F47" i="7"/>
  <c r="C9" i="18" l="1"/>
  <c r="B9" i="18"/>
  <c r="L22" i="17" l="1"/>
  <c r="L19" i="17"/>
  <c r="S14" i="17" l="1"/>
  <c r="R14" i="17"/>
  <c r="T29" i="4" l="1"/>
  <c r="T28" i="4"/>
  <c r="T27" i="4"/>
  <c r="T26" i="4"/>
  <c r="T25" i="4"/>
  <c r="T23" i="4"/>
  <c r="T24" i="4"/>
  <c r="G35" i="17" l="1"/>
  <c r="G36" i="17"/>
  <c r="G34" i="17"/>
  <c r="G33" i="17"/>
  <c r="L8" i="17"/>
  <c r="P49" i="10"/>
  <c r="P25" i="10"/>
  <c r="P30" i="10"/>
  <c r="P35" i="10"/>
  <c r="N38" i="10"/>
  <c r="N35" i="10"/>
  <c r="N30" i="10"/>
  <c r="N25" i="10"/>
  <c r="N15" i="10"/>
  <c r="N12" i="10"/>
  <c r="N9" i="10"/>
  <c r="L15" i="10"/>
  <c r="L12" i="10"/>
  <c r="L9" i="10"/>
  <c r="P53" i="10"/>
  <c r="P57" i="10"/>
  <c r="N57" i="10"/>
  <c r="N53" i="10"/>
  <c r="N49" i="10"/>
  <c r="L13" i="4"/>
  <c r="L9" i="4"/>
  <c r="L45" i="7"/>
  <c r="L40" i="7"/>
  <c r="L38" i="7"/>
  <c r="L28" i="7"/>
  <c r="M28" i="7" s="1"/>
  <c r="M25" i="7"/>
  <c r="L25" i="7"/>
  <c r="N23" i="7"/>
  <c r="M23" i="7"/>
  <c r="N22" i="7"/>
  <c r="M22" i="7"/>
  <c r="L22" i="7"/>
  <c r="M20" i="7"/>
  <c r="L20" i="7"/>
  <c r="M19" i="7"/>
  <c r="L19" i="7"/>
  <c r="N17" i="7"/>
  <c r="M17" i="7"/>
  <c r="N16" i="7"/>
  <c r="M16" i="7"/>
  <c r="L16" i="7"/>
  <c r="M13" i="7"/>
  <c r="L13" i="7"/>
  <c r="M11" i="7"/>
  <c r="L11" i="7"/>
  <c r="M10" i="7"/>
  <c r="L10" i="7"/>
  <c r="B37" i="10" l="1"/>
  <c r="B36" i="10"/>
  <c r="B23" i="17" l="1"/>
  <c r="B20" i="17"/>
  <c r="E34" i="17" l="1"/>
  <c r="B34" i="17"/>
  <c r="C34" i="17"/>
  <c r="M15" i="10" l="1"/>
  <c r="M12" i="10"/>
  <c r="C36" i="17" l="1"/>
  <c r="B36" i="17"/>
  <c r="E35" i="17"/>
  <c r="D36" i="17" s="1"/>
  <c r="C35" i="17"/>
  <c r="B35" i="17"/>
  <c r="E36" i="17"/>
  <c r="S20" i="17"/>
  <c r="F8" i="18" l="1"/>
  <c r="F7" i="18"/>
  <c r="B8" i="18" l="1"/>
  <c r="C8" i="18"/>
  <c r="C7" i="18" l="1"/>
  <c r="B7" i="18"/>
  <c r="C33" i="17" l="1"/>
  <c r="B33" i="17"/>
  <c r="M9" i="10" l="1"/>
  <c r="L10" i="10" l="1"/>
  <c r="H28" i="7" l="1"/>
  <c r="F28" i="7"/>
  <c r="C28" i="7"/>
  <c r="B28" i="7"/>
  <c r="X30" i="7"/>
  <c r="W30" i="7"/>
  <c r="G54" i="4" l="1"/>
  <c r="C54" i="4"/>
  <c r="B54" i="4"/>
  <c r="V29" i="4"/>
  <c r="W29" i="4"/>
  <c r="I50" i="4" l="1"/>
  <c r="I47" i="4"/>
  <c r="I44" i="4"/>
  <c r="W72" i="10" l="1"/>
  <c r="C108" i="10" l="1"/>
  <c r="AA35" i="10"/>
  <c r="Z35" i="10"/>
  <c r="B108" i="10"/>
  <c r="N28" i="10"/>
  <c r="N29" i="10" s="1"/>
  <c r="C57" i="10" l="1"/>
  <c r="B57" i="10"/>
  <c r="AA33" i="10"/>
  <c r="Z33" i="10"/>
  <c r="G57" i="10"/>
  <c r="G58" i="10" s="1"/>
  <c r="G59" i="10" s="1"/>
  <c r="G60" i="10" s="1"/>
  <c r="C112" i="10"/>
  <c r="B112" i="10"/>
  <c r="AA39" i="10"/>
  <c r="Z39" i="10"/>
  <c r="L16" i="10" l="1"/>
  <c r="L17" i="10" s="1"/>
  <c r="L13" i="10"/>
  <c r="L14" i="10" s="1"/>
  <c r="L11" i="10"/>
  <c r="C22" i="17" l="1"/>
  <c r="C19" i="17"/>
  <c r="B22" i="17"/>
  <c r="B19" i="17"/>
  <c r="C8" i="17"/>
  <c r="B8" i="17"/>
  <c r="H22" i="17" l="1"/>
  <c r="G22" i="17" s="1"/>
  <c r="H19" i="17"/>
  <c r="G19" i="17" s="1"/>
  <c r="H8" i="17"/>
  <c r="G8" i="17" s="1"/>
  <c r="G20" i="17" l="1"/>
  <c r="G21" i="17"/>
  <c r="G9" i="17"/>
  <c r="G11" i="17"/>
  <c r="G10" i="17"/>
  <c r="G24" i="17"/>
  <c r="G23" i="17"/>
  <c r="C48" i="4" l="1"/>
  <c r="G48" i="4"/>
  <c r="G49" i="4" s="1"/>
  <c r="G50" i="4" s="1"/>
  <c r="C45" i="4"/>
  <c r="G45" i="4"/>
  <c r="G46" i="4" s="1"/>
  <c r="G47" i="4" s="1"/>
  <c r="C42" i="4"/>
  <c r="G42" i="4"/>
  <c r="G43" i="4" s="1"/>
  <c r="G44" i="4" s="1"/>
  <c r="W28" i="4"/>
  <c r="V28" i="4"/>
  <c r="W27" i="4"/>
  <c r="V27" i="4"/>
  <c r="W26" i="4"/>
  <c r="V26" i="4"/>
  <c r="B48" i="4"/>
  <c r="B45" i="4"/>
  <c r="B42" i="4"/>
  <c r="B51" i="4"/>
  <c r="C9" i="4" l="1"/>
  <c r="Q6" i="16" l="1"/>
  <c r="Q7" i="16" s="1"/>
  <c r="Q8" i="16" s="1"/>
  <c r="Q9" i="16" s="1"/>
  <c r="B30" i="16" l="1"/>
  <c r="B17" i="16"/>
  <c r="I6" i="16" s="1"/>
  <c r="J6" i="16" s="1"/>
  <c r="B4" i="16"/>
  <c r="I5" i="16" s="1"/>
  <c r="J5" i="16" s="1"/>
  <c r="J4" i="16"/>
  <c r="I7" i="16"/>
  <c r="J7" i="16" s="1"/>
  <c r="A38" i="16" l="1"/>
  <c r="A32" i="16"/>
  <c r="A33" i="16"/>
  <c r="A34" i="16"/>
  <c r="A35" i="16"/>
  <c r="A36" i="16"/>
  <c r="A37" i="16"/>
  <c r="A31" i="16"/>
  <c r="A19" i="16"/>
  <c r="A20" i="16"/>
  <c r="A21" i="16"/>
  <c r="A22" i="16"/>
  <c r="A23" i="16"/>
  <c r="A24" i="16"/>
  <c r="A25" i="16"/>
  <c r="A18" i="16"/>
  <c r="A6" i="16"/>
  <c r="B6" i="16" s="1"/>
  <c r="A7" i="16"/>
  <c r="B7" i="16" s="1"/>
  <c r="A8" i="16"/>
  <c r="B8" i="16" s="1"/>
  <c r="A9" i="16"/>
  <c r="B9" i="16" s="1"/>
  <c r="A10" i="16"/>
  <c r="B10" i="16" s="1"/>
  <c r="A11" i="16"/>
  <c r="B11" i="16" s="1"/>
  <c r="A12" i="16"/>
  <c r="B12" i="16" s="1"/>
  <c r="A5" i="16"/>
  <c r="B5" i="16" s="1"/>
  <c r="E24" i="7" l="1"/>
  <c r="E21" i="7"/>
  <c r="W25" i="4" l="1"/>
  <c r="W24" i="4"/>
  <c r="W23" i="4"/>
  <c r="X34" i="7"/>
  <c r="X33" i="7"/>
  <c r="X32" i="7"/>
  <c r="X31" i="7"/>
  <c r="X29" i="7"/>
  <c r="X28" i="7"/>
  <c r="X27" i="7"/>
  <c r="X26" i="7"/>
  <c r="X25" i="7"/>
  <c r="X24" i="7"/>
  <c r="C89" i="10" l="1"/>
  <c r="C88" i="10"/>
  <c r="C82" i="10"/>
  <c r="C72" i="10"/>
  <c r="C111" i="10"/>
  <c r="C109" i="10"/>
  <c r="C53" i="10"/>
  <c r="C35" i="10"/>
  <c r="C30" i="10"/>
  <c r="C25" i="10"/>
  <c r="C12" i="10"/>
  <c r="C40" i="10"/>
  <c r="C39" i="10"/>
  <c r="C51" i="4"/>
  <c r="C13" i="4"/>
  <c r="C45" i="7"/>
  <c r="C22" i="7"/>
  <c r="C16" i="7"/>
  <c r="C13" i="7"/>
  <c r="C10" i="7"/>
  <c r="C38" i="7"/>
  <c r="E106" i="10"/>
  <c r="F97" i="10"/>
  <c r="G9" i="4"/>
  <c r="F9" i="4" s="1"/>
  <c r="F10" i="4" s="1"/>
  <c r="F11" i="4" s="1"/>
  <c r="F12" i="4" s="1"/>
  <c r="AA32" i="10"/>
  <c r="AA31" i="10"/>
  <c r="AA30" i="10"/>
  <c r="AA29" i="10"/>
  <c r="AA28" i="10"/>
  <c r="AA27" i="10"/>
  <c r="AA26" i="10"/>
  <c r="AA25" i="10"/>
  <c r="AA24" i="10"/>
  <c r="AA50" i="10"/>
  <c r="AA49" i="10"/>
  <c r="AA48" i="10"/>
  <c r="AA47" i="10"/>
  <c r="AA46" i="10"/>
  <c r="AA45" i="10"/>
  <c r="AA44" i="10"/>
  <c r="AA43" i="10"/>
  <c r="AA42" i="10"/>
  <c r="AA41" i="10"/>
  <c r="AA40" i="10"/>
  <c r="AA38" i="10"/>
  <c r="AA37" i="10"/>
  <c r="AA36" i="10"/>
  <c r="AA34" i="10"/>
  <c r="Z50" i="10"/>
  <c r="Z49" i="10"/>
  <c r="Z48" i="10"/>
  <c r="Z47" i="10"/>
  <c r="Z46" i="10"/>
  <c r="Z45" i="10"/>
  <c r="Z44" i="10"/>
  <c r="Z43" i="10"/>
  <c r="Z42" i="10"/>
  <c r="Z41" i="10"/>
  <c r="Z40" i="10"/>
  <c r="Z38" i="10"/>
  <c r="Z37" i="10"/>
  <c r="Z36" i="10"/>
  <c r="Z34" i="10"/>
  <c r="Z32" i="10"/>
  <c r="Z31" i="10"/>
  <c r="Z30" i="10"/>
  <c r="Z29" i="10"/>
  <c r="Z28" i="10"/>
  <c r="Z27" i="10"/>
  <c r="Z26" i="10"/>
  <c r="Z25" i="10"/>
  <c r="Z24" i="10"/>
  <c r="Z18" i="10"/>
  <c r="Z17" i="10"/>
  <c r="Z16" i="10"/>
  <c r="Z15" i="10"/>
  <c r="Z14" i="10"/>
  <c r="Z13" i="10"/>
  <c r="Z12" i="10"/>
  <c r="Z11" i="10"/>
  <c r="Z10" i="10"/>
  <c r="Z9" i="10"/>
  <c r="Z8" i="10"/>
  <c r="F106" i="10"/>
  <c r="G97" i="10"/>
  <c r="Q48" i="10"/>
  <c r="P48" i="10"/>
  <c r="O48" i="10"/>
  <c r="N48" i="10"/>
  <c r="M48" i="10"/>
  <c r="Q24" i="10"/>
  <c r="P24" i="10"/>
  <c r="O24" i="10"/>
  <c r="N24" i="10"/>
  <c r="M24" i="10"/>
  <c r="O8" i="10"/>
  <c r="M8" i="10"/>
  <c r="L8" i="10"/>
  <c r="N8" i="10"/>
  <c r="K8" i="10"/>
  <c r="V25" i="4"/>
  <c r="V24" i="4"/>
  <c r="V23" i="4"/>
  <c r="N8" i="4"/>
  <c r="M8" i="4"/>
  <c r="L8" i="4"/>
  <c r="K8" i="4"/>
  <c r="L37" i="7"/>
  <c r="K37" i="7"/>
  <c r="W34" i="7"/>
  <c r="W33" i="7"/>
  <c r="W32" i="7"/>
  <c r="W31" i="7"/>
  <c r="W29" i="7"/>
  <c r="W28" i="7"/>
  <c r="W27" i="7"/>
  <c r="W26" i="7"/>
  <c r="W25" i="7"/>
  <c r="W24" i="7"/>
  <c r="W13" i="7"/>
  <c r="W12" i="7"/>
  <c r="W11" i="7"/>
  <c r="W10" i="7"/>
  <c r="W9" i="7"/>
  <c r="N9" i="7"/>
  <c r="M9" i="7"/>
  <c r="L9" i="7"/>
  <c r="K9" i="7"/>
  <c r="C77" i="10"/>
  <c r="B89" i="10"/>
  <c r="C85" i="10"/>
  <c r="B85" i="10"/>
  <c r="B88" i="10"/>
  <c r="B82" i="10"/>
  <c r="B77" i="10"/>
  <c r="B72" i="10"/>
  <c r="C68" i="10"/>
  <c r="B68" i="10"/>
  <c r="X75" i="10"/>
  <c r="X70" i="10"/>
  <c r="X65" i="10"/>
  <c r="X60" i="10"/>
  <c r="W71" i="10"/>
  <c r="AC28" i="10"/>
  <c r="W66" i="10"/>
  <c r="B40" i="10"/>
  <c r="B39" i="10"/>
  <c r="G39" i="10"/>
  <c r="H40" i="10"/>
  <c r="G53" i="10"/>
  <c r="G54" i="10" s="1"/>
  <c r="G55" i="10" s="1"/>
  <c r="G56" i="10" s="1"/>
  <c r="B53" i="10"/>
  <c r="C49" i="10"/>
  <c r="B49" i="10"/>
  <c r="B9" i="10"/>
  <c r="B12" i="10"/>
  <c r="B15" i="10"/>
  <c r="G49" i="10"/>
  <c r="G50" i="10" s="1"/>
  <c r="G51" i="10" s="1"/>
  <c r="G52" i="10" s="1"/>
  <c r="G38" i="10"/>
  <c r="B38" i="10"/>
  <c r="C38" i="10"/>
  <c r="B107" i="10"/>
  <c r="F104" i="10"/>
  <c r="B35" i="10"/>
  <c r="B30" i="10"/>
  <c r="AC27" i="10"/>
  <c r="B25" i="10"/>
  <c r="G35" i="10"/>
  <c r="G36" i="10" s="1"/>
  <c r="G37" i="10" s="1"/>
  <c r="G30" i="10"/>
  <c r="G32" i="10" s="1"/>
  <c r="G33" i="10" s="1"/>
  <c r="G34" i="10" s="1"/>
  <c r="G25" i="10"/>
  <c r="G28" i="10" s="1"/>
  <c r="G29" i="10" s="1"/>
  <c r="F9" i="10"/>
  <c r="F10" i="10" s="1"/>
  <c r="F12" i="10"/>
  <c r="F15" i="10"/>
  <c r="F16" i="10" s="1"/>
  <c r="F17" i="10" s="1"/>
  <c r="C9" i="10"/>
  <c r="C15" i="10"/>
  <c r="G51" i="4"/>
  <c r="G52" i="4" s="1"/>
  <c r="G53" i="4" s="1"/>
  <c r="Y25" i="4"/>
  <c r="F45" i="7"/>
  <c r="F46" i="7" s="1"/>
  <c r="F43" i="7"/>
  <c r="F44" i="7" s="1"/>
  <c r="F40" i="7"/>
  <c r="F41" i="7" s="1"/>
  <c r="F42" i="7" s="1"/>
  <c r="F38" i="7"/>
  <c r="F39" i="7" s="1"/>
  <c r="F25" i="7"/>
  <c r="F22" i="7"/>
  <c r="F19" i="7"/>
  <c r="F16" i="7"/>
  <c r="F13" i="7"/>
  <c r="F10" i="7"/>
  <c r="B13" i="4"/>
  <c r="B9" i="4"/>
  <c r="U34" i="7"/>
  <c r="B45" i="7" s="1"/>
  <c r="U33" i="7"/>
  <c r="B43" i="7" s="1"/>
  <c r="U32" i="7"/>
  <c r="B40" i="7" s="1"/>
  <c r="E43" i="7"/>
  <c r="C43" i="7"/>
  <c r="C40" i="7"/>
  <c r="E38" i="7"/>
  <c r="U31" i="7"/>
  <c r="B38" i="7" s="1"/>
  <c r="E27" i="7"/>
  <c r="U29" i="7"/>
  <c r="B25" i="7" s="1"/>
  <c r="C25" i="7"/>
  <c r="U27" i="7"/>
  <c r="B19" i="7" s="1"/>
  <c r="C19" i="7"/>
  <c r="U28" i="7"/>
  <c r="B22" i="7" s="1"/>
  <c r="U25" i="7"/>
  <c r="B13" i="7" s="1"/>
  <c r="E18" i="7"/>
  <c r="E15" i="7"/>
  <c r="E12" i="7"/>
  <c r="U26" i="7"/>
  <c r="B16" i="7" s="1"/>
  <c r="U24" i="7"/>
  <c r="B10" i="7" s="1"/>
  <c r="C98" i="10"/>
  <c r="C107" i="10"/>
  <c r="C110" i="10"/>
  <c r="F13" i="10" l="1"/>
  <c r="F14" i="10" s="1"/>
  <c r="F11" i="10"/>
  <c r="AC33" i="10"/>
  <c r="AC32" i="10"/>
  <c r="G40" i="10"/>
  <c r="G31" i="10"/>
  <c r="W61" i="10"/>
  <c r="B111" i="10"/>
  <c r="W67" i="10"/>
  <c r="G26" i="10"/>
  <c r="AC31" i="10"/>
  <c r="G27" i="10"/>
  <c r="W76" i="10"/>
  <c r="W62" i="10"/>
  <c r="B98" i="10"/>
  <c r="B99" i="10"/>
  <c r="B110" i="10"/>
  <c r="B109" i="10"/>
  <c r="G13" i="4"/>
  <c r="F13" i="4" s="1"/>
  <c r="F14" i="4" s="1"/>
  <c r="F15" i="4" s="1"/>
  <c r="F16" i="4" s="1"/>
  <c r="C9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T7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7" authorId="1" shapeId="0" xr:uid="{00000000-0006-0000-01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Y7" authorId="1" shapeId="0" xr:uid="{00000000-0006-0000-01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7" authorId="1" shapeId="0" xr:uid="{00000000-0006-0000-01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22" authorId="1" shapeId="0" xr:uid="{00000000-0006-0000-01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22" authorId="1" shapeId="0" xr:uid="{00000000-0006-0000-01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23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S6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W6" authorId="1" shapeId="0" xr:uid="{00000000-0006-0000-02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X6" authorId="1" shapeId="0" xr:uid="{00000000-0006-0000-02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6" authorId="1" shapeId="0" xr:uid="{00000000-0006-0000-02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Z6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X21" authorId="1" shapeId="0" xr:uid="{00000000-0006-0000-02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21" authorId="1" shapeId="0" xr:uid="{00000000-0006-0000-02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22" authorId="1" shapeId="0" xr:uid="{00000000-0006-0000-02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  <author>Corporate Edition</author>
  </authors>
  <commentList>
    <comment ref="W6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A6" authorId="1" shapeId="0" xr:uid="{00000000-0006-0000-03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AB6" authorId="1" shapeId="0" xr:uid="{00000000-0006-0000-03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6" authorId="1" shapeId="0" xr:uid="{00000000-0006-0000-03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D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B22" authorId="1" shapeId="0" xr:uid="{00000000-0006-0000-03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22" authorId="1" shapeId="0" xr:uid="{00000000-0006-0000-03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W23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95" authorId="1" shapeId="0" xr:uid="{00000000-0006-0000-0300-00000B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04" authorId="1" shapeId="0" xr:uid="{00000000-0006-0000-0300-00000C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F104" authorId="1" shapeId="0" xr:uid="{00000000-0006-0000-0300-00000D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E105" authorId="2" shapeId="0" xr:uid="{00000000-0006-0000-0300-00000E000000}">
      <text>
        <r>
          <rPr>
            <sz val="9"/>
            <color indexed="81"/>
            <rFont val="Tahoma"/>
            <family val="2"/>
          </rPr>
          <t>Non-energy extraction cost (including exploration and development, if needed, and production)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Gary Goldstein</author>
  </authors>
  <commentList>
    <comment ref="C5" authorId="0" shapeId="0" xr:uid="{71CF2C8C-7237-4F71-9D0C-CD24843D39C8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V5" authorId="0" shapeId="0" xr:uid="{B629816E-C3A6-4CC6-A83B-8BA2649B11C1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5" authorId="1" shapeId="0" xr:uid="{D464290F-EA55-4A3F-AD08-FC243DF6A8A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5" authorId="0" shapeId="0" xr:uid="{AD869E58-F8CA-4318-A0E0-845C81F8BF38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6" authorId="0" shapeId="0" xr:uid="{95B219E4-35D9-4DB1-B524-4E689088C313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16" authorId="0" shapeId="0" xr:uid="{29CFDEB9-E443-4FE9-B412-463B8F087A8C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P18" authorId="2" shapeId="0" xr:uid="{654EF8C2-5B3C-474C-BA62-462844E5E19C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18" authorId="0" shapeId="0" xr:uid="{5EE05431-C546-4707-B6A2-A75425076CAD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U18" authorId="0" shapeId="0" xr:uid="{F1C3E4E9-CE95-4750-AA03-3F275FD1BEDA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8" authorId="0" shapeId="0" xr:uid="{4D4AE673-5161-4CFA-852D-3E39F593E9FC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18" authorId="0" shapeId="0" xr:uid="{99507F02-1016-4A76-8408-0F2C2A46ECBA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C30" authorId="0" shapeId="0" xr:uid="{AF2D85FA-6AA8-40C1-AC16-0D7B4CA8B1A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22E87EA0-EB02-47B4-90AB-FC99AD8B6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R5" authorId="0" shapeId="0" xr:uid="{94A51662-B937-419F-B67B-110FB7BC1D5F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5" authorId="1" shapeId="0" xr:uid="{825605E0-9E53-40CC-961A-40684EBAAE2B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5" authorId="0" shapeId="0" xr:uid="{E0201285-0B34-49FC-BC87-95E8B6DBF66C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6" authorId="0" shapeId="0" xr:uid="{C514EA15-132C-4DA4-94F0-B62F57737AD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 De Miglio</author>
    <author>Maurizio Gargiulo</author>
    <author>Amit Kanudia</author>
    <author>Gary Goldstein</author>
  </authors>
  <commentList>
    <comment ref="N7" authorId="0" shapeId="0" xr:uid="{B5391582-FFD3-4B25-8D41-66128D75D7CD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to get negative values (FOR reporting purposes ONLY)</t>
        </r>
      </text>
    </comment>
    <comment ref="U7" authorId="1" shapeId="0" xr:uid="{24B00412-DBD4-438D-99DA-C73DB66B472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7" authorId="2" shapeId="0" xr:uid="{A1EC339F-A897-404E-97BC-178AA90C215C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7" authorId="1" shapeId="0" xr:uid="{1B48416D-7706-434D-8754-FAF3549D4EDE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Z7" authorId="3" shapeId="0" xr:uid="{F9D73571-C821-4B68-B37E-9F8BD885534E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D7" authorId="1" shapeId="0" xr:uid="{C20B95E0-6119-4306-9544-04F70AD4DF9C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AE7" authorId="1" shapeId="0" xr:uid="{83E1F9C6-C043-4C90-82C5-741C2C74B1CB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7" authorId="1" shapeId="0" xr:uid="{FAB0357D-DA00-4C7D-998D-842626B1F7EC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G7" authorId="1" shapeId="0" xr:uid="{05D2239D-EB42-4A7D-9F02-33DBC1B5AFEA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8" authorId="1" shapeId="0" xr:uid="{6E6B24E9-026B-4102-B835-78A1C5B5333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F12" authorId="0" shapeId="0" xr:uid="{58AA0769-3889-47ED-9D23-10AEB95BD363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to group with IND (bound)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3" authorId="0" shapeId="0" xr:uid="{D796EDA3-5817-4C14-ADE3-A8475D30073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3" authorId="1" shapeId="0" xr:uid="{00000000-0006-0000-06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4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4" authorId="1" shapeId="0" xr:uid="{00000000-0006-0000-04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4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4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4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<sst xmlns="http://schemas.openxmlformats.org/spreadsheetml/2006/main" count="2238" uniqueCount="1076">
  <si>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</si>
  <si>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</si>
  <si>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</si>
  <si>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</si>
  <si>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</si>
  <si>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</si>
  <si>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</si>
  <si>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</si>
  <si>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</si>
  <si>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</si>
  <si>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</si>
  <si>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</si>
  <si>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</si>
  <si>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</si>
  <si>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</si>
  <si>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</si>
  <si>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</si>
  <si>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</si>
  <si>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</si>
  <si>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</si>
  <si>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</si>
  <si>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</si>
  <si>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</si>
  <si>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</si>
  <si>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</si>
  <si>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</si>
  <si>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</si>
  <si>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</si>
  <si>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</si>
  <si>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</si>
  <si>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</si>
  <si>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</si>
  <si>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</si>
  <si>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</si>
  <si>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</si>
  <si>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</si>
  <si>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</si>
  <si>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</si>
  <si>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</si>
  <si>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</si>
  <si>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</si>
  <si>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AFA</t>
  </si>
  <si>
    <t>VAROM</t>
  </si>
  <si>
    <t>Fuel input level</t>
  </si>
  <si>
    <t>Fuel Output level</t>
  </si>
  <si>
    <t>Annual Availability Factor</t>
  </si>
  <si>
    <t>Starting Year</t>
  </si>
  <si>
    <t>INVCOST</t>
  </si>
  <si>
    <t>Investment Cost</t>
  </si>
  <si>
    <t>Fixed O&amp;M Cost</t>
  </si>
  <si>
    <t>Variable O&amp;M Cost</t>
  </si>
  <si>
    <t>Hydrogen Production Chain</t>
  </si>
  <si>
    <t>Source</t>
  </si>
  <si>
    <t>INPUT</t>
  </si>
  <si>
    <t>OUTPUT</t>
  </si>
  <si>
    <t>SUPELC</t>
  </si>
  <si>
    <t>Cascade-Mints D1.1 Fuel cell technologies and Hydrogen produstion/Distribution options, DLR, September 2005</t>
  </si>
  <si>
    <t>GASNAT</t>
  </si>
  <si>
    <t>NRG</t>
  </si>
  <si>
    <t>SYNH2LQ</t>
  </si>
  <si>
    <t>PRE</t>
  </si>
  <si>
    <t>*TechDesc</t>
  </si>
  <si>
    <t>YEAR</t>
  </si>
  <si>
    <t>SYNH2GC</t>
  </si>
  <si>
    <t>SYNH2GD</t>
  </si>
  <si>
    <t>ELEH2G</t>
  </si>
  <si>
    <t xml:space="preserve">Sectoral Fuel Technologies </t>
  </si>
  <si>
    <t>TRAH2G</t>
  </si>
  <si>
    <t>SUPOILDSL</t>
  </si>
  <si>
    <t xml:space="preserve">IEA </t>
  </si>
  <si>
    <t>CUM</t>
  </si>
  <si>
    <t>*Units</t>
  </si>
  <si>
    <t>Input per unit output</t>
  </si>
  <si>
    <t>Years</t>
  </si>
  <si>
    <t>COST</t>
  </si>
  <si>
    <t>ELCHIGG</t>
  </si>
  <si>
    <t>Processes</t>
  </si>
  <si>
    <t>N</t>
  </si>
  <si>
    <t>Region</t>
  </si>
  <si>
    <t>*Commodity Set Membership</t>
  </si>
  <si>
    <t>Region Name</t>
  </si>
  <si>
    <t>Sense of the Balance EQN.</t>
  </si>
  <si>
    <t>Timeslice Level</t>
  </si>
  <si>
    <t>COACCL</t>
  </si>
  <si>
    <t>Coking coal</t>
  </si>
  <si>
    <t>COABIC</t>
  </si>
  <si>
    <t>Other bituminous coal</t>
  </si>
  <si>
    <t xml:space="preserve">Lignite/Brown Coal </t>
  </si>
  <si>
    <t>COACOC</t>
  </si>
  <si>
    <t>Coke oven coke</t>
  </si>
  <si>
    <t>COACTA</t>
  </si>
  <si>
    <t>Coal tar</t>
  </si>
  <si>
    <t>COABKB</t>
  </si>
  <si>
    <t>BKB (brown coal briquettes)</t>
  </si>
  <si>
    <t>OILCRD</t>
  </si>
  <si>
    <t>Crude Oil</t>
  </si>
  <si>
    <t>OILNGL</t>
  </si>
  <si>
    <t>Natural gas liquids</t>
  </si>
  <si>
    <t>OILFDS</t>
  </si>
  <si>
    <t>Feedstocks</t>
  </si>
  <si>
    <t>OILRFG</t>
  </si>
  <si>
    <t>Refinery gas</t>
  </si>
  <si>
    <t>OILDSL</t>
  </si>
  <si>
    <t>Diesel</t>
  </si>
  <si>
    <t>OILGSL</t>
  </si>
  <si>
    <t>Gasoline</t>
  </si>
  <si>
    <t>OILGSA</t>
  </si>
  <si>
    <t>Aviation Gasoline</t>
  </si>
  <si>
    <t>OILLPG</t>
  </si>
  <si>
    <t>Liquified petroleum gas</t>
  </si>
  <si>
    <t>OILHFO1</t>
  </si>
  <si>
    <t>Low Sulphur Fuel Oil</t>
  </si>
  <si>
    <t>OILHFO2</t>
  </si>
  <si>
    <t>High Sulphur Fuel Oil</t>
  </si>
  <si>
    <t>OILKER</t>
  </si>
  <si>
    <t>Kerosene</t>
  </si>
  <si>
    <t>OILNAP</t>
  </si>
  <si>
    <t>Naphtha</t>
  </si>
  <si>
    <t>OILPCK</t>
  </si>
  <si>
    <t>Petroleum Coke</t>
  </si>
  <si>
    <t>OILBIT</t>
  </si>
  <si>
    <t>Bitumen</t>
  </si>
  <si>
    <t>OILLUB</t>
  </si>
  <si>
    <t>Lubricants</t>
  </si>
  <si>
    <t>OILOTH</t>
  </si>
  <si>
    <t>Other petroleum products</t>
  </si>
  <si>
    <t>OILOIS</t>
  </si>
  <si>
    <t>Oil Shale</t>
  </si>
  <si>
    <t>OILSHO</t>
  </si>
  <si>
    <t>Shale Oil</t>
  </si>
  <si>
    <t>Natural Gas</t>
  </si>
  <si>
    <t>GASBFG</t>
  </si>
  <si>
    <t>Blast Furnace Gas</t>
  </si>
  <si>
    <t>BIOLOG</t>
  </si>
  <si>
    <t>Wood</t>
  </si>
  <si>
    <t>BIOLOGA</t>
  </si>
  <si>
    <t>Agricultural residues</t>
  </si>
  <si>
    <t>BIOLOGF</t>
  </si>
  <si>
    <t>Forrest residues</t>
  </si>
  <si>
    <t>BIOWMU</t>
  </si>
  <si>
    <t>Municipal waste</t>
  </si>
  <si>
    <t>BIOWID</t>
  </si>
  <si>
    <t>Industrial Waste</t>
  </si>
  <si>
    <t>BIOWAN</t>
  </si>
  <si>
    <t>Animal waste</t>
  </si>
  <si>
    <t>BIOBST</t>
  </si>
  <si>
    <t>BIOBGC</t>
  </si>
  <si>
    <t>BIOBOS</t>
  </si>
  <si>
    <t>Oilseed Crops</t>
  </si>
  <si>
    <t>BIOETH</t>
  </si>
  <si>
    <t>Pure Bioethanol</t>
  </si>
  <si>
    <t>BIORME</t>
  </si>
  <si>
    <t>RME</t>
  </si>
  <si>
    <t>BIOHVO</t>
  </si>
  <si>
    <t>HVO</t>
  </si>
  <si>
    <t>BIODME</t>
  </si>
  <si>
    <t>DME</t>
  </si>
  <si>
    <t>BIODSL</t>
  </si>
  <si>
    <t>Biodiesel</t>
  </si>
  <si>
    <t>Bioethanol</t>
  </si>
  <si>
    <t>BIOBGS</t>
  </si>
  <si>
    <t>Biogas</t>
  </si>
  <si>
    <t>BIOPLT</t>
  </si>
  <si>
    <t>Pellet</t>
  </si>
  <si>
    <t>BIOCHR</t>
  </si>
  <si>
    <t>Charcoal</t>
  </si>
  <si>
    <t>BIORPS</t>
  </si>
  <si>
    <t>RESHYD</t>
  </si>
  <si>
    <t>Hydro Energy</t>
  </si>
  <si>
    <t>RESSOL</t>
  </si>
  <si>
    <t>Solar Energy</t>
  </si>
  <si>
    <t>RESWIN</t>
  </si>
  <si>
    <t>Wind Energy</t>
  </si>
  <si>
    <t>RESGEO</t>
  </si>
  <si>
    <t>Geothermal Energy</t>
  </si>
  <si>
    <t>NUCLFL</t>
  </si>
  <si>
    <t>Nuclear Fuel</t>
  </si>
  <si>
    <t>RSVCOABIC</t>
  </si>
  <si>
    <t>Other bituminous coal (RSV)</t>
  </si>
  <si>
    <t>Lignite/Brown Coal (RSV)</t>
  </si>
  <si>
    <t>PIPOILCRD</t>
  </si>
  <si>
    <t>Crude oil in Pipeline  (PIP)</t>
  </si>
  <si>
    <t>RSVOILCRD</t>
  </si>
  <si>
    <t>Crude oil reserves (RSV)</t>
  </si>
  <si>
    <t>PITGASNAT</t>
  </si>
  <si>
    <t>N. Gas Tansportation (PIT)</t>
  </si>
  <si>
    <t>PIDGASNAT</t>
  </si>
  <si>
    <t>N. Gas Distribution (PID)</t>
  </si>
  <si>
    <t>RSVGASNAT</t>
  </si>
  <si>
    <t>N. Gas (RSV)</t>
  </si>
  <si>
    <t>Lignite/Brown Coal (STG)</t>
  </si>
  <si>
    <t>STGOILCRD</t>
  </si>
  <si>
    <t>Crude Oil (STG)</t>
  </si>
  <si>
    <t>STGGASNAT</t>
  </si>
  <si>
    <t>N. Gas (STG)</t>
  </si>
  <si>
    <t>SUPCOACCL</t>
  </si>
  <si>
    <t>Coking coal (SUP)</t>
  </si>
  <si>
    <t>SUPCOABIC</t>
  </si>
  <si>
    <t>Other bituminous coal (SUP)</t>
  </si>
  <si>
    <t>Lignite/Brown Coal  (SUP)</t>
  </si>
  <si>
    <t>SUPCOACOC</t>
  </si>
  <si>
    <t>Coke oven coke (SUP)</t>
  </si>
  <si>
    <t>SUPCOACTA</t>
  </si>
  <si>
    <t>Coal tar (SUP)</t>
  </si>
  <si>
    <t>SUPCOABKB</t>
  </si>
  <si>
    <t>BKB (brown coal briquettes) (SUP)</t>
  </si>
  <si>
    <t>SUPOILCRD</t>
  </si>
  <si>
    <t>Crude Oil (SUP)</t>
  </si>
  <si>
    <t>SUPOILNGL</t>
  </si>
  <si>
    <t>Natural gas liquids (SUP)</t>
  </si>
  <si>
    <t>SUPOILFDS</t>
  </si>
  <si>
    <t>Feedstocks (SUP)</t>
  </si>
  <si>
    <t>SUPOILRFG</t>
  </si>
  <si>
    <t>Refinery gas (SUP)</t>
  </si>
  <si>
    <t>Diesel (SUP)</t>
  </si>
  <si>
    <t>SUPOILGSL</t>
  </si>
  <si>
    <t>Gasoline (SUP)</t>
  </si>
  <si>
    <t>SUPOILLPG</t>
  </si>
  <si>
    <t>Liquified petroleum gas (SUP)</t>
  </si>
  <si>
    <t>SUPOILHFO1</t>
  </si>
  <si>
    <t>Low Sulphur Fuel Oil (SUP)</t>
  </si>
  <si>
    <t>SUPOILHFO2</t>
  </si>
  <si>
    <t>High Sulphur Fuel Oil (SUP)</t>
  </si>
  <si>
    <t>SUPOILKER</t>
  </si>
  <si>
    <t>Kerosene (SUP)</t>
  </si>
  <si>
    <t>SUPOILNAP</t>
  </si>
  <si>
    <t>Naphtha (SUP)</t>
  </si>
  <si>
    <t>SUPOILPCK</t>
  </si>
  <si>
    <t>Petroleum Coke (SUP)</t>
  </si>
  <si>
    <t>SUPOILOTH</t>
  </si>
  <si>
    <t>Other petroleum products (SUP)</t>
  </si>
  <si>
    <t>SUPOILOIS</t>
  </si>
  <si>
    <t>Oil Shale (SUP)</t>
  </si>
  <si>
    <t>SUPOILSHO</t>
  </si>
  <si>
    <t>Shale Oil (SUP)</t>
  </si>
  <si>
    <t>SUPGASNAT</t>
  </si>
  <si>
    <t>Natural Gas (SUP)</t>
  </si>
  <si>
    <t>SUPGASBFG</t>
  </si>
  <si>
    <t>Blast Furnace Gas (SUP)</t>
  </si>
  <si>
    <t>SUPBIOLOG</t>
  </si>
  <si>
    <t>Wood (SUP)</t>
  </si>
  <si>
    <t>SUPBIOLOGA</t>
  </si>
  <si>
    <t>Agricultural residues (SUP)</t>
  </si>
  <si>
    <t>SUPBIOLOGF</t>
  </si>
  <si>
    <t>Forrest residues (SUP)</t>
  </si>
  <si>
    <t>SUPBIOWMU</t>
  </si>
  <si>
    <t>Municipal waste (SUP)</t>
  </si>
  <si>
    <t>SUPBIOWID</t>
  </si>
  <si>
    <t>Industrial Waste (SUP)</t>
  </si>
  <si>
    <t>SUPBIOWAN</t>
  </si>
  <si>
    <t>Animal waste (SUP)</t>
  </si>
  <si>
    <t>SUPBIOWCO</t>
  </si>
  <si>
    <t>Waste cooking oils (SUP)</t>
  </si>
  <si>
    <t>SUPBIOETH</t>
  </si>
  <si>
    <t>Pure Bioethanol (SUP)</t>
  </si>
  <si>
    <t>SUPBIORME</t>
  </si>
  <si>
    <t>RME (SUP)</t>
  </si>
  <si>
    <t>SUPBIOHVO</t>
  </si>
  <si>
    <t>HVO (SUP)</t>
  </si>
  <si>
    <t>SUPBIODME</t>
  </si>
  <si>
    <t>DME (SUP)</t>
  </si>
  <si>
    <t>SUPBIODSL</t>
  </si>
  <si>
    <t>Biodiesel (SUP)</t>
  </si>
  <si>
    <t>Bioethanol (SUP)</t>
  </si>
  <si>
    <t>SUPBIOBGS</t>
  </si>
  <si>
    <t>Biogas (SUP)</t>
  </si>
  <si>
    <t>SUPBIOPLT</t>
  </si>
  <si>
    <t>Pellet (SUP)</t>
  </si>
  <si>
    <t>SUPBIOCHR</t>
  </si>
  <si>
    <t>Charcoal (SUP)</t>
  </si>
  <si>
    <t>SUPBIORPS</t>
  </si>
  <si>
    <t>Rape seed oil (SUP)</t>
  </si>
  <si>
    <t>SUPRESHYD</t>
  </si>
  <si>
    <t>Hydro Energy (SUP)</t>
  </si>
  <si>
    <t>SUPRESSOL</t>
  </si>
  <si>
    <t>Solar Energy (SUP)</t>
  </si>
  <si>
    <t>SUPRESWIN</t>
  </si>
  <si>
    <t>Wind Energy (SUP)</t>
  </si>
  <si>
    <t>SUPRESGEO</t>
  </si>
  <si>
    <t>Geothermal Energy (SUP)</t>
  </si>
  <si>
    <t>INDCOACCL</t>
  </si>
  <si>
    <t>Coking coal (IND)</t>
  </si>
  <si>
    <t>INDCOABIC</t>
  </si>
  <si>
    <t>Other bituminous coal (IND)</t>
  </si>
  <si>
    <t>Lignite/Brown Coal  (IND)</t>
  </si>
  <si>
    <t>INDCOACOC</t>
  </si>
  <si>
    <t>Coke oven coke (IND)</t>
  </si>
  <si>
    <t>INDCOACTA</t>
  </si>
  <si>
    <t>Coal tar (IND)</t>
  </si>
  <si>
    <t>INDCOABKB</t>
  </si>
  <si>
    <t>BKB (brown coal briquettes) (IND)</t>
  </si>
  <si>
    <t>INDOILRFG</t>
  </si>
  <si>
    <t>Refinery gas (IND)</t>
  </si>
  <si>
    <t>INDOILDSL</t>
  </si>
  <si>
    <t>Diesel (IND)</t>
  </si>
  <si>
    <t>INDOILGSL</t>
  </si>
  <si>
    <t>Gasoline (IND)</t>
  </si>
  <si>
    <t>INDOILLPG</t>
  </si>
  <si>
    <t>Liquified petroleum gas (IND)</t>
  </si>
  <si>
    <t>INDOILHFO1</t>
  </si>
  <si>
    <t>Low Sulphur Fuel Oil (IND)</t>
  </si>
  <si>
    <t>INDOILHFO2</t>
  </si>
  <si>
    <t>High Sulphur Fuel Oil (IND)</t>
  </si>
  <si>
    <t>INDOILKER</t>
  </si>
  <si>
    <t>Kerosene (IND)</t>
  </si>
  <si>
    <t>INDOILNAP</t>
  </si>
  <si>
    <t>Naphtha (IND)</t>
  </si>
  <si>
    <t>INDOILPCK</t>
  </si>
  <si>
    <t>Petroleum Coke (IND)</t>
  </si>
  <si>
    <t>INDOILOTH</t>
  </si>
  <si>
    <t>Other petroleum products (IND)</t>
  </si>
  <si>
    <t>INDGASNAT</t>
  </si>
  <si>
    <t>Natural Gas (IND)</t>
  </si>
  <si>
    <t>INDGASBFG</t>
  </si>
  <si>
    <t>Blast Furnace Gas (IND)</t>
  </si>
  <si>
    <t>INDBIOLOG</t>
  </si>
  <si>
    <t>Wood (IND)</t>
  </si>
  <si>
    <t>INDBIOLOGA</t>
  </si>
  <si>
    <t>Agricultural residues (IND)</t>
  </si>
  <si>
    <t>INDBIOLOGF</t>
  </si>
  <si>
    <t>Forrest residues (IND)</t>
  </si>
  <si>
    <t>INDBIOWMU</t>
  </si>
  <si>
    <t>Municipal waste (IND)</t>
  </si>
  <si>
    <t>INDBIOWID</t>
  </si>
  <si>
    <t>Industrial Waste (IND)</t>
  </si>
  <si>
    <t>INDBIOWAN</t>
  </si>
  <si>
    <t>Animal waste (IND)</t>
  </si>
  <si>
    <t>INDBIOWCO</t>
  </si>
  <si>
    <t>Waste cooking oils (IND)</t>
  </si>
  <si>
    <t>INDBIOETH</t>
  </si>
  <si>
    <t>Pure Bioethanol (IND)</t>
  </si>
  <si>
    <t>INDBIODSL</t>
  </si>
  <si>
    <t>Biodiesel (IND)</t>
  </si>
  <si>
    <t>Bioethanol (IND)</t>
  </si>
  <si>
    <t>INDBIOBGS</t>
  </si>
  <si>
    <t>Biogas (IND)</t>
  </si>
  <si>
    <t>INDBIOPLT</t>
  </si>
  <si>
    <t>Pellet (IND)</t>
  </si>
  <si>
    <t>INDBIOCHR</t>
  </si>
  <si>
    <t>Charcoal (IND)</t>
  </si>
  <si>
    <t>INDRESHYD</t>
  </si>
  <si>
    <t>Hydro Energy (IND)</t>
  </si>
  <si>
    <t>INDRESSOL</t>
  </si>
  <si>
    <t>Solar Energy (IND)</t>
  </si>
  <si>
    <t>INDRESWIN</t>
  </si>
  <si>
    <t>Wind Energy (IND)</t>
  </si>
  <si>
    <t>INDRESGEO</t>
  </si>
  <si>
    <t>Geothermal Energy (IND)</t>
  </si>
  <si>
    <t>RSDCOACCL</t>
  </si>
  <si>
    <t>Coking coal (RSD)</t>
  </si>
  <si>
    <t>RSDCOABIC</t>
  </si>
  <si>
    <t>Other bituminous coal (RSD)</t>
  </si>
  <si>
    <t>Lignite/Brown Coal  (RSD)</t>
  </si>
  <si>
    <t>RSDCOACOC</t>
  </si>
  <si>
    <t>Coke oven coke (RSD)</t>
  </si>
  <si>
    <t>RSDCOACTA</t>
  </si>
  <si>
    <t>Coal tar (RSD)</t>
  </si>
  <si>
    <t>RSDCOABKB</t>
  </si>
  <si>
    <t>BKB (brown coal briquettes) (RSD)</t>
  </si>
  <si>
    <t>RSDOILRFG</t>
  </si>
  <si>
    <t>Refinery gas (RSD)</t>
  </si>
  <si>
    <t>RSDOILDSL</t>
  </si>
  <si>
    <t>Diesel (RSD)</t>
  </si>
  <si>
    <t>RSDOILGSL</t>
  </si>
  <si>
    <t>Gasoline (RSD)</t>
  </si>
  <si>
    <t>RSDOILLPG</t>
  </si>
  <si>
    <t>Liquified petroleum gas (RSD)</t>
  </si>
  <si>
    <t>RSDOILHFO1</t>
  </si>
  <si>
    <t>Low Sulphur Fuel Oil (RSD)</t>
  </si>
  <si>
    <t>RSDOILHFO2</t>
  </si>
  <si>
    <t>High Sulphur Fuel Oil (RSD)</t>
  </si>
  <si>
    <t>RSDOILKER</t>
  </si>
  <si>
    <t>Kerosene (RSD)</t>
  </si>
  <si>
    <t>RSDOILOTH</t>
  </si>
  <si>
    <t>Other petroleum products (RSD)</t>
  </si>
  <si>
    <t>RSDGASNAT</t>
  </si>
  <si>
    <t>Natural Gas (RSD)</t>
  </si>
  <si>
    <t>RSDBIOLOG</t>
  </si>
  <si>
    <t>Wood (RSD)</t>
  </si>
  <si>
    <t>RSDBIOLOGA</t>
  </si>
  <si>
    <t>Agricultural residues (RSD)</t>
  </si>
  <si>
    <t>RSDBIOLOGF</t>
  </si>
  <si>
    <t>Forrest residues (RSD)</t>
  </si>
  <si>
    <t>RSDBIOWMU</t>
  </si>
  <si>
    <t>Municipal waste (RSD)</t>
  </si>
  <si>
    <t>RSDBIOWAN</t>
  </si>
  <si>
    <t>Animal waste (RSD)</t>
  </si>
  <si>
    <t>RSDBIOWCO</t>
  </si>
  <si>
    <t>Waste cooking oils (RSD)</t>
  </si>
  <si>
    <t>RSDBIOETH</t>
  </si>
  <si>
    <t>Pure Bioethanol (RSD)</t>
  </si>
  <si>
    <t>RSDBIODSL</t>
  </si>
  <si>
    <t>Biodiesel (RSD)</t>
  </si>
  <si>
    <t>Bioethanol (RSD)</t>
  </si>
  <si>
    <t>RSDBIOBGS</t>
  </si>
  <si>
    <t>Biogas (RSD)</t>
  </si>
  <si>
    <t>RSDBIOPLT</t>
  </si>
  <si>
    <t>Pellet (RSD)</t>
  </si>
  <si>
    <t>RSDBIOCHR</t>
  </si>
  <si>
    <t>Charcoal (RSD)</t>
  </si>
  <si>
    <t>RSDRESHYD</t>
  </si>
  <si>
    <t>Hydro Energy (RSD)</t>
  </si>
  <si>
    <t>RSDRESSOL</t>
  </si>
  <si>
    <t>Solar Energy (RSD)</t>
  </si>
  <si>
    <t>RSDRESWIN</t>
  </si>
  <si>
    <t>Wind Energy (RSD)</t>
  </si>
  <si>
    <t>RSDRESGEO</t>
  </si>
  <si>
    <t>Geothermal Energy (RSD)</t>
  </si>
  <si>
    <t>COMCOACCL</t>
  </si>
  <si>
    <t>Coking coal (COM)</t>
  </si>
  <si>
    <t>COMCOABIC</t>
  </si>
  <si>
    <t>Other bituminous coal (COM)</t>
  </si>
  <si>
    <t>Lignite/Brown Coal  (COM)</t>
  </si>
  <si>
    <t>COMCOACOC</t>
  </si>
  <si>
    <t>Coke oven coke (COM)</t>
  </si>
  <si>
    <t>COMCOACTA</t>
  </si>
  <si>
    <t>Coal tar (COM)</t>
  </si>
  <si>
    <t>COMCOABKB</t>
  </si>
  <si>
    <t>BKB (brown coal briquettes) (COM)</t>
  </si>
  <si>
    <t>COMOILRFG</t>
  </si>
  <si>
    <t>Refinery gas (COM)</t>
  </si>
  <si>
    <t>COMOILDSL</t>
  </si>
  <si>
    <t>Diesel (COM)</t>
  </si>
  <si>
    <t>COMOILGSL</t>
  </si>
  <si>
    <t>Gasoline (COM)</t>
  </si>
  <si>
    <t>COMOILLPG</t>
  </si>
  <si>
    <t>Liquified petroleum gas (COM)</t>
  </si>
  <si>
    <t>COMOILHFO1</t>
  </si>
  <si>
    <t>Low Sulphur Fuel Oil (COM)</t>
  </si>
  <si>
    <t>COMOILHFO2</t>
  </si>
  <si>
    <t>High Sulphur Fuel Oil (COM)</t>
  </si>
  <si>
    <t>COMOILKER</t>
  </si>
  <si>
    <t>Kerosene (COM)</t>
  </si>
  <si>
    <t>COMOILOTH</t>
  </si>
  <si>
    <t>Other petroleum products (COM)</t>
  </si>
  <si>
    <t>COMGASNAT</t>
  </si>
  <si>
    <t>Natural Gas (COM)</t>
  </si>
  <si>
    <t>COMBIOLOG</t>
  </si>
  <si>
    <t>Wood (COM)</t>
  </si>
  <si>
    <t>COMBIOLOGA</t>
  </si>
  <si>
    <t>Agricultural residues (COM)</t>
  </si>
  <si>
    <t>COMBIOLOGF</t>
  </si>
  <si>
    <t>Forrest residues (COM)</t>
  </si>
  <si>
    <t>COMBIOWMU</t>
  </si>
  <si>
    <t>Municipal waste (COM)</t>
  </si>
  <si>
    <t>COMBIOWAN</t>
  </si>
  <si>
    <t>Animal waste (COM)</t>
  </si>
  <si>
    <t>COMBIOWCO</t>
  </si>
  <si>
    <t>Waste cooking oils (COM)</t>
  </si>
  <si>
    <t>COMBIOETH</t>
  </si>
  <si>
    <t>Pure Bioethanol (COM)</t>
  </si>
  <si>
    <t>COMBIODSL</t>
  </si>
  <si>
    <t>Biodiesel (COM)</t>
  </si>
  <si>
    <t>Bioethanol (COM)</t>
  </si>
  <si>
    <t>COMBIOBGS</t>
  </si>
  <si>
    <t>Biogas (COM)</t>
  </si>
  <si>
    <t>COMBIOPLT</t>
  </si>
  <si>
    <t>Pellet (COM)</t>
  </si>
  <si>
    <t>COMBIOCHR</t>
  </si>
  <si>
    <t>Charcoal (COM)</t>
  </si>
  <si>
    <t>COMRESHYD</t>
  </si>
  <si>
    <t>Hydro Energy (COM)</t>
  </si>
  <si>
    <t>COMRESSOL</t>
  </si>
  <si>
    <t>Solar Energy (COM)</t>
  </si>
  <si>
    <t>COMRESWIN</t>
  </si>
  <si>
    <t>Wind Energy (COM)</t>
  </si>
  <si>
    <t>COMRESGEO</t>
  </si>
  <si>
    <t>Geothermal Energy (COM)</t>
  </si>
  <si>
    <t>AGRCOACCL</t>
  </si>
  <si>
    <t>Coking coal (AGR)</t>
  </si>
  <si>
    <t>AGRCOABIC</t>
  </si>
  <si>
    <t>Other bituminous coal (AGR)</t>
  </si>
  <si>
    <t>Lignite/Brown Coal  (AGR)</t>
  </si>
  <si>
    <t>AGRCOACOC</t>
  </si>
  <si>
    <t>Coke oven coke (AGR)</t>
  </si>
  <si>
    <t>AGRCOACTA</t>
  </si>
  <si>
    <t>Coal tar (AGR)</t>
  </si>
  <si>
    <t>AGRCOABKB</t>
  </si>
  <si>
    <t>BKB (brown coal briquettes) (AGR)</t>
  </si>
  <si>
    <t>AGROILRFG</t>
  </si>
  <si>
    <t>Refinery gas (AGR)</t>
  </si>
  <si>
    <t>AGROILDSL</t>
  </si>
  <si>
    <t>Diesel (AGR)</t>
  </si>
  <si>
    <t>AGROILGSL</t>
  </si>
  <si>
    <t>Gasoline (AGR)</t>
  </si>
  <si>
    <t>AGROILLPG</t>
  </si>
  <si>
    <t>Liquified petroleum gas (AGR)</t>
  </si>
  <si>
    <t>AGROILHFO1</t>
  </si>
  <si>
    <t>Low Sulphur Fuel Oil (AGR)</t>
  </si>
  <si>
    <t>AGROILHFO2</t>
  </si>
  <si>
    <t>High Sulphur Fuel Oil (AGR)</t>
  </si>
  <si>
    <t>AGROILKER</t>
  </si>
  <si>
    <t>Kerosene (AGR)</t>
  </si>
  <si>
    <t>AGROILOTH</t>
  </si>
  <si>
    <t>Other petroleum products (AGR)</t>
  </si>
  <si>
    <t>AGRGASNAT</t>
  </si>
  <si>
    <t>Natural Gas (AGR)</t>
  </si>
  <si>
    <t>AGRBIOLOG</t>
  </si>
  <si>
    <t>Wood (AGR)</t>
  </si>
  <si>
    <t>AGRBIOLOGA</t>
  </si>
  <si>
    <t>Agricultural residues (AGR)</t>
  </si>
  <si>
    <t>AGRBIOLOGF</t>
  </si>
  <si>
    <t>Forrest residues (AGR)</t>
  </si>
  <si>
    <t>AGRBIOWMU</t>
  </si>
  <si>
    <t>Municipal waste (AGR)</t>
  </si>
  <si>
    <t>AGRBIOWAN</t>
  </si>
  <si>
    <t>Animal waste (AGR)</t>
  </si>
  <si>
    <t>AGRBIOWCO</t>
  </si>
  <si>
    <t>Waste cooking oils (AGR)</t>
  </si>
  <si>
    <t>AGRBIOETH</t>
  </si>
  <si>
    <t>Pure Bioethanol (AGR)</t>
  </si>
  <si>
    <t>AGRBIODSL</t>
  </si>
  <si>
    <t>Biodiesel (AGR)</t>
  </si>
  <si>
    <t>Bioethanol (AGR)</t>
  </si>
  <si>
    <t>AGRBIOBGS</t>
  </si>
  <si>
    <t>Biogas (AGR)</t>
  </si>
  <si>
    <t>AGRBIOPLT</t>
  </si>
  <si>
    <t>Pellet (AGR)</t>
  </si>
  <si>
    <t>AGRBIOCHR</t>
  </si>
  <si>
    <t>Charcoal (AGR)</t>
  </si>
  <si>
    <t>AGRRESHYD</t>
  </si>
  <si>
    <t>Hydro Energy (AGR)</t>
  </si>
  <si>
    <t>AGRRESSOL</t>
  </si>
  <si>
    <t>Solar Energy (AGR)</t>
  </si>
  <si>
    <t>AGRRESWIN</t>
  </si>
  <si>
    <t>Wind Energy (AGR)</t>
  </si>
  <si>
    <t>AGRRESGEO</t>
  </si>
  <si>
    <t>Geothermal Energy (AGR)</t>
  </si>
  <si>
    <t>TRAOILDSL</t>
  </si>
  <si>
    <t>Diesel (TRA)</t>
  </si>
  <si>
    <t>TRAOILGSL</t>
  </si>
  <si>
    <t>Gasoline (TRA)</t>
  </si>
  <si>
    <t>TRAOILGSA</t>
  </si>
  <si>
    <t>Aviation Gasoline (TRA)</t>
  </si>
  <si>
    <t>TRAOILLPG</t>
  </si>
  <si>
    <t>Liquified petroleum gas (TRA)</t>
  </si>
  <si>
    <t>TRAOILHFO1</t>
  </si>
  <si>
    <t>Low Sulphur Fuel Oil (TRA)</t>
  </si>
  <si>
    <t>TRAOILHFO2</t>
  </si>
  <si>
    <t>High Sulphur Fuel Oil (TRA)</t>
  </si>
  <si>
    <t>TRAOILKER</t>
  </si>
  <si>
    <t>Kerosene (TRA)</t>
  </si>
  <si>
    <t>TRAOILNAP</t>
  </si>
  <si>
    <t>Naphtha (TRA)</t>
  </si>
  <si>
    <t>TRAOILOTH</t>
  </si>
  <si>
    <t>Other petroleum products (TRA)</t>
  </si>
  <si>
    <t>TRAGASNAT</t>
  </si>
  <si>
    <t>Natural Gas (TRA)</t>
  </si>
  <si>
    <t>TRABIOETH</t>
  </si>
  <si>
    <t>TRABIODSL</t>
  </si>
  <si>
    <t>Biodiesel (TRA)</t>
  </si>
  <si>
    <t>Bioethanol (TRA)</t>
  </si>
  <si>
    <t>TRABIOBGS</t>
  </si>
  <si>
    <t>Biogas (TRA)</t>
  </si>
  <si>
    <t>ELECOACCL</t>
  </si>
  <si>
    <t>Coking coal (ELE)</t>
  </si>
  <si>
    <t>ELECOABIC</t>
  </si>
  <si>
    <t>Other bituminous coal (ELE)</t>
  </si>
  <si>
    <t>Lignite/Brown Coal  (ELE)</t>
  </si>
  <si>
    <t>ELECOACOC</t>
  </si>
  <si>
    <t>Coke oven coke (ELE)</t>
  </si>
  <si>
    <t>ELECOACTA</t>
  </si>
  <si>
    <t>Coal tar (ELE)</t>
  </si>
  <si>
    <t>ELECOABKB</t>
  </si>
  <si>
    <t>BKB (brown coal briquettes) (ELE)</t>
  </si>
  <si>
    <t>ELEOILRFG</t>
  </si>
  <si>
    <t>Refinery gas (ELE)</t>
  </si>
  <si>
    <t>ELEOILDSL</t>
  </si>
  <si>
    <t>Diesel (ELE)</t>
  </si>
  <si>
    <t>ELEOILGSL</t>
  </si>
  <si>
    <t>Gasoline (ELE)</t>
  </si>
  <si>
    <t>ELEOILLPG</t>
  </si>
  <si>
    <t>Liquified petroleum gas (ELE)</t>
  </si>
  <si>
    <t>ELEOILHFO1</t>
  </si>
  <si>
    <t>Low Sulphur Fuel Oil (ELE)</t>
  </si>
  <si>
    <t>ELEOILHFO2</t>
  </si>
  <si>
    <t>High Sulphur Fuel Oil (ELE)</t>
  </si>
  <si>
    <t>ELEOILKER</t>
  </si>
  <si>
    <t>Kerosene (ELE)</t>
  </si>
  <si>
    <t>ELEOILNAP</t>
  </si>
  <si>
    <t>Naphtha (ELE)</t>
  </si>
  <si>
    <t>ELEOILPCK</t>
  </si>
  <si>
    <t>Petroleum Coke (ELE)</t>
  </si>
  <si>
    <t>ELEOILOTH</t>
  </si>
  <si>
    <t>Other petroleum products (ELE)</t>
  </si>
  <si>
    <t>ELEOILSHO</t>
  </si>
  <si>
    <t>Shale Oil (ELE)</t>
  </si>
  <si>
    <t>ELEGASNAT</t>
  </si>
  <si>
    <t>Natural Gas (ELE)</t>
  </si>
  <si>
    <t>ELEGASBFG</t>
  </si>
  <si>
    <t>Blast Furnace Gas (ELE)</t>
  </si>
  <si>
    <t>ELEBIOLOG</t>
  </si>
  <si>
    <t>Wood (ELE)</t>
  </si>
  <si>
    <t>ELEBIOLOGA</t>
  </si>
  <si>
    <t>Agricultural residues (ELE)</t>
  </si>
  <si>
    <t>ELEBIOLOGF</t>
  </si>
  <si>
    <t>Forrest residues (ELE)</t>
  </si>
  <si>
    <t>ELEBIOWMU</t>
  </si>
  <si>
    <t>Municipal waste (ELE)</t>
  </si>
  <si>
    <t>ELEBIOWID</t>
  </si>
  <si>
    <t>Industrial Waste (ELE)</t>
  </si>
  <si>
    <t>ELEBIOWAN</t>
  </si>
  <si>
    <t>Animal waste (ELE)</t>
  </si>
  <si>
    <t>ELEBIOWCO</t>
  </si>
  <si>
    <t>Waste cooking oils (ELE)</t>
  </si>
  <si>
    <t>ELEBIOETH</t>
  </si>
  <si>
    <t>Pure Bioethanol (ELE)</t>
  </si>
  <si>
    <t>ELEBIODSL</t>
  </si>
  <si>
    <t>Biodiesel (ELE)</t>
  </si>
  <si>
    <t>Bioethanol (ELE)</t>
  </si>
  <si>
    <t>ELEBIOBGS</t>
  </si>
  <si>
    <t>Biogas (ELE)</t>
  </si>
  <si>
    <t>ELEBIOPLT</t>
  </si>
  <si>
    <t>Pellet (ELE)</t>
  </si>
  <si>
    <t>ELERESHYD</t>
  </si>
  <si>
    <t>Hydro Energy (ELE)</t>
  </si>
  <si>
    <t>ELERESSOL</t>
  </si>
  <si>
    <t>Solar Energy (ELE)</t>
  </si>
  <si>
    <t>ELERESWIN</t>
  </si>
  <si>
    <t>Wind Energy (ELE)</t>
  </si>
  <si>
    <t>ELERESGEO</t>
  </si>
  <si>
    <t>Geothermal Energy (ELE)</t>
  </si>
  <si>
    <t>ELENUCLFL</t>
  </si>
  <si>
    <t>Nuclear Fuel (ELE)</t>
  </si>
  <si>
    <t>HETCOACCL</t>
  </si>
  <si>
    <t>Coking coal (HET)</t>
  </si>
  <si>
    <t>HETCOABIC</t>
  </si>
  <si>
    <t>Other bituminous coal (HET)</t>
  </si>
  <si>
    <t>Lignite/Brown Coal  (HET)</t>
  </si>
  <si>
    <t>HETCOACOC</t>
  </si>
  <si>
    <t>Coke oven coke (HET)</t>
  </si>
  <si>
    <t>HETCOACTA</t>
  </si>
  <si>
    <t>Coal tar (HET)</t>
  </si>
  <si>
    <t>HETCOABKB</t>
  </si>
  <si>
    <t>BKB (brown coal briquettes) (HET)</t>
  </si>
  <si>
    <t>HETOILRFG</t>
  </si>
  <si>
    <t>Refinery gas (HET)</t>
  </si>
  <si>
    <t>HETOILDSL</t>
  </si>
  <si>
    <t>Diesel (HET)</t>
  </si>
  <si>
    <t>HETOILGSL</t>
  </si>
  <si>
    <t>Gasoline (HET)</t>
  </si>
  <si>
    <t>HETOILLPG</t>
  </si>
  <si>
    <t>Liquified petroleum gas (HET)</t>
  </si>
  <si>
    <t>HETOILHFO1</t>
  </si>
  <si>
    <t>Low Sulphur Fuel Oil (HET)</t>
  </si>
  <si>
    <t>HETOILHFO2</t>
  </si>
  <si>
    <t>High Sulphur Fuel Oil (HET)</t>
  </si>
  <si>
    <t>HETOILKER</t>
  </si>
  <si>
    <t>Kerosene (HET)</t>
  </si>
  <si>
    <t>HETOILNAP</t>
  </si>
  <si>
    <t>Naphtha (HET)</t>
  </si>
  <si>
    <t>HETOILPCK</t>
  </si>
  <si>
    <t>Petroleum Coke (HET)</t>
  </si>
  <si>
    <t>HETOILOTH</t>
  </si>
  <si>
    <t>Other petroleum products (HET)</t>
  </si>
  <si>
    <t>HETOILSHO</t>
  </si>
  <si>
    <t>Shale Oil (HET)</t>
  </si>
  <si>
    <t>HETGASNAT</t>
  </si>
  <si>
    <t>Natural Gas (HET)</t>
  </si>
  <si>
    <t>HETGASBFG</t>
  </si>
  <si>
    <t>Blast Furnace Gas (HET)</t>
  </si>
  <si>
    <t>HETBIOLOG</t>
  </si>
  <si>
    <t>Wood (HET)</t>
  </si>
  <si>
    <t>HETBIOLOGA</t>
  </si>
  <si>
    <t>Agricultural residues (HET)</t>
  </si>
  <si>
    <t>HETBIOLOGF</t>
  </si>
  <si>
    <t>Forrest residues (HET)</t>
  </si>
  <si>
    <t>HETBIOWMU</t>
  </si>
  <si>
    <t>Municipal waste (HET)</t>
  </si>
  <si>
    <t>HETBIOWID</t>
  </si>
  <si>
    <t>Industrial Waste (HET)</t>
  </si>
  <si>
    <t>HETBIOWAN</t>
  </si>
  <si>
    <t>Animal waste (HET)</t>
  </si>
  <si>
    <t>HETBIOWCO</t>
  </si>
  <si>
    <t>Waste cooking oils (HET)</t>
  </si>
  <si>
    <t>HETBIOETH</t>
  </si>
  <si>
    <t>Pure Bioethanol (HET)</t>
  </si>
  <si>
    <t>HETBIODSL</t>
  </si>
  <si>
    <t>Biodiesel (HET)</t>
  </si>
  <si>
    <t>Bioethanol (HET)</t>
  </si>
  <si>
    <t>HETBIOBGS</t>
  </si>
  <si>
    <t>Biogas (HET)</t>
  </si>
  <si>
    <t>HETBIOPLT</t>
  </si>
  <si>
    <t>Pellet (HET)</t>
  </si>
  <si>
    <t>HETBIOCHR</t>
  </si>
  <si>
    <t>Charcoal (HET)</t>
  </si>
  <si>
    <t>HETRESHYD</t>
  </si>
  <si>
    <t>Hydro Energy (HET)</t>
  </si>
  <si>
    <t>HETRESSOL</t>
  </si>
  <si>
    <t>Solar Energy (HET)</t>
  </si>
  <si>
    <t>HETRESGEO</t>
  </si>
  <si>
    <t>Geothermal Energy (HET)</t>
  </si>
  <si>
    <t>ELCHIG</t>
  </si>
  <si>
    <t>DAYNITE</t>
  </si>
  <si>
    <t>High Voltage electricity after losses</t>
  </si>
  <si>
    <t>High Voltage electricity before Losses</t>
  </si>
  <si>
    <t>ELCMED</t>
  </si>
  <si>
    <t>Medium Voltage electricity</t>
  </si>
  <si>
    <t>ELCLOW</t>
  </si>
  <si>
    <t>Low Voltage electricity</t>
  </si>
  <si>
    <t>Electricity (SUP)</t>
  </si>
  <si>
    <t>INDELC</t>
  </si>
  <si>
    <t>Electricity (IND)</t>
  </si>
  <si>
    <t>RSDELC</t>
  </si>
  <si>
    <t>Electricity (RSD)</t>
  </si>
  <si>
    <t>COMELC</t>
  </si>
  <si>
    <t>Electricity (COM)</t>
  </si>
  <si>
    <t>AGRELC</t>
  </si>
  <si>
    <t>Electricity (AGR)</t>
  </si>
  <si>
    <t>TRAELC</t>
  </si>
  <si>
    <t>Electricity (TRA)</t>
  </si>
  <si>
    <t>HETELC</t>
  </si>
  <si>
    <t>Electricity (HET)</t>
  </si>
  <si>
    <t>ENV</t>
  </si>
  <si>
    <t>TOTCO2</t>
  </si>
  <si>
    <t>Gg</t>
  </si>
  <si>
    <t>CO2</t>
  </si>
  <si>
    <t>TOTCH4</t>
  </si>
  <si>
    <t>CH4</t>
  </si>
  <si>
    <t>TOTN2O</t>
  </si>
  <si>
    <t>N2O</t>
  </si>
  <si>
    <t>Input of fuel per unit output</t>
  </si>
  <si>
    <t>EFF</t>
  </si>
  <si>
    <t>Efficiency</t>
  </si>
  <si>
    <t>NCAP_TLIFE</t>
  </si>
  <si>
    <t>Technical Lifetime of Process</t>
  </si>
  <si>
    <t>New Pellet Production Technologies</t>
  </si>
  <si>
    <t>New H2 Production Processes</t>
  </si>
  <si>
    <t>Biomass products Chain</t>
  </si>
  <si>
    <t>SUPHTH</t>
  </si>
  <si>
    <t>Biofuels Production Chain</t>
  </si>
  <si>
    <t>GW</t>
  </si>
  <si>
    <t>BIOGLY</t>
  </si>
  <si>
    <t>BIOPLPOIL</t>
  </si>
  <si>
    <t>PRC_CAPACT</t>
  </si>
  <si>
    <t>Capacity to Activity</t>
  </si>
  <si>
    <t>List of Commodities for Consistency. These commodities have already been defined in the BY Templates</t>
  </si>
  <si>
    <t>Energy Commodities</t>
  </si>
  <si>
    <t>Emissions</t>
  </si>
  <si>
    <t>Biofuels Production Technologies from Woody Biomass</t>
  </si>
  <si>
    <t>Potential</t>
  </si>
  <si>
    <t>Commodity</t>
  </si>
  <si>
    <t>Extraction cost</t>
  </si>
  <si>
    <t>Annual  Bound</t>
  </si>
  <si>
    <t>PJ/year</t>
  </si>
  <si>
    <t>Biodiesel Production Technologies</t>
  </si>
  <si>
    <t>Bioethanol Production Technologies</t>
  </si>
  <si>
    <t xml:space="preserve">Blending Fuel Technologies </t>
  </si>
  <si>
    <t>ACT_BND</t>
  </si>
  <si>
    <t>*Technology Name</t>
  </si>
  <si>
    <t>Import Price</t>
  </si>
  <si>
    <t>Import Upper Bound</t>
  </si>
  <si>
    <t>Potential of waste cooking oils and crops for biofuels</t>
  </si>
  <si>
    <t>Imports of Biofuels</t>
  </si>
  <si>
    <t>IMP</t>
  </si>
  <si>
    <t>FLO_SHAR~UP</t>
  </si>
  <si>
    <t>Input share</t>
  </si>
  <si>
    <t>TRABIODSLG1</t>
  </si>
  <si>
    <t>TRABIODSLG2</t>
  </si>
  <si>
    <t>TRABIOETHG1</t>
  </si>
  <si>
    <t>TRABIOETHG2</t>
  </si>
  <si>
    <t>BIOFTD</t>
  </si>
  <si>
    <t>BIOETW</t>
  </si>
  <si>
    <t>BIOETF</t>
  </si>
  <si>
    <t>BIOETS</t>
  </si>
  <si>
    <t>~COMAGG_R1C2</t>
  </si>
  <si>
    <t>Aggregates for 1st Generation and 2nd Generation Biofuels</t>
  </si>
  <si>
    <t>TRABIOE85</t>
  </si>
  <si>
    <t>FLO_SHAR~LO</t>
  </si>
  <si>
    <t>ELCMLO</t>
  </si>
  <si>
    <t>Medium-Low Voltage electricity</t>
  </si>
  <si>
    <t>Default Units</t>
  </si>
  <si>
    <t>BASE_YEAR</t>
  </si>
  <si>
    <t>Energy</t>
  </si>
  <si>
    <t>END_YEAR</t>
  </si>
  <si>
    <t>Capacity</t>
  </si>
  <si>
    <t>Currency Unit</t>
  </si>
  <si>
    <t>Units by Attribute and Sector</t>
  </si>
  <si>
    <t>Attribute</t>
  </si>
  <si>
    <t>Meaning</t>
  </si>
  <si>
    <t>Sector</t>
  </si>
  <si>
    <t>Units</t>
  </si>
  <si>
    <t>Equivalent</t>
  </si>
  <si>
    <t>Transport</t>
  </si>
  <si>
    <t>Aviation</t>
  </si>
  <si>
    <t>Freight Transport</t>
  </si>
  <si>
    <t>Technical Lifetime</t>
  </si>
  <si>
    <t>Capacity to Activity Factor</t>
  </si>
  <si>
    <t>PJ/GW</t>
  </si>
  <si>
    <t>Demand</t>
  </si>
  <si>
    <t xml:space="preserve">Passenger Transport </t>
  </si>
  <si>
    <t>Mpg*km</t>
  </si>
  <si>
    <t>Mtn*km</t>
  </si>
  <si>
    <t>000s pas.</t>
  </si>
  <si>
    <t>000spas/year</t>
  </si>
  <si>
    <t>MVkms</t>
  </si>
  <si>
    <t>COMEMI</t>
  </si>
  <si>
    <t>Emission Coefficient</t>
  </si>
  <si>
    <t>All</t>
  </si>
  <si>
    <t>kg/GJ</t>
  </si>
  <si>
    <t>All for capacity in PJ/year</t>
  </si>
  <si>
    <t>Annual Bound</t>
  </si>
  <si>
    <t>All for capacity in GW</t>
  </si>
  <si>
    <t>Cumulative CO2 limit</t>
  </si>
  <si>
    <t>For CO2 emissions</t>
  </si>
  <si>
    <t>CCS cost</t>
  </si>
  <si>
    <t>Capacity for emissions</t>
  </si>
  <si>
    <t>PJ</t>
  </si>
  <si>
    <t>PJa</t>
  </si>
  <si>
    <t>kt</t>
  </si>
  <si>
    <t>kta</t>
  </si>
  <si>
    <t>GASNAT_HP</t>
  </si>
  <si>
    <t>GASNAT_MP</t>
  </si>
  <si>
    <t>GASNAT_LP</t>
  </si>
  <si>
    <t>[0 - 1]</t>
  </si>
  <si>
    <t>AGR</t>
  </si>
  <si>
    <t>RSD</t>
  </si>
  <si>
    <t>SUP</t>
  </si>
  <si>
    <t>IND</t>
  </si>
  <si>
    <t>ELE</t>
  </si>
  <si>
    <t>HET</t>
  </si>
  <si>
    <t>TRA</t>
  </si>
  <si>
    <t>Sectors</t>
  </si>
  <si>
    <t>GWP Coefficients</t>
  </si>
  <si>
    <t>TCO2eq</t>
  </si>
  <si>
    <t>CO2eq</t>
  </si>
  <si>
    <t>FLO_SHAR~FX</t>
  </si>
  <si>
    <t>Hydrogen Central Production (Gas)</t>
  </si>
  <si>
    <t>Hydrogen Decentralised Production (Gas)</t>
  </si>
  <si>
    <t>Hydrogen (Liquid)</t>
  </si>
  <si>
    <t xml:space="preserve">H2 Electrolyser Centralised </t>
  </si>
  <si>
    <t xml:space="preserve">H2 HT Steam Electrolyser Centralised </t>
  </si>
  <si>
    <t xml:space="preserve">H2 SMR Centralised </t>
  </si>
  <si>
    <t xml:space="preserve">H2 Electrolyser De-centralised </t>
  </si>
  <si>
    <t xml:space="preserve">H2 SMR De-centralised </t>
  </si>
  <si>
    <t xml:space="preserve">H2 Liquefaction </t>
  </si>
  <si>
    <t xml:space="preserve">Fuel Tech - Liquid H2 to Transportation </t>
  </si>
  <si>
    <t xml:space="preserve">Fuel Tech - Local H2 (G) to Transportation </t>
  </si>
  <si>
    <t>Hydrogen for Electricity (Gas)</t>
  </si>
  <si>
    <t>Hydrogen for Transport (Gas)</t>
  </si>
  <si>
    <t xml:space="preserve">Fuel Tech -Hydrogen for Electricity (Gas) </t>
  </si>
  <si>
    <t xml:space="preserve">Fuel Tech - Gas H2 to Transportation (through pipeline) </t>
  </si>
  <si>
    <t>Production of Pellet Improved New</t>
  </si>
  <si>
    <t>Production of Pellet Advanced New</t>
  </si>
  <si>
    <t>Gasification Wood Advanced New</t>
  </si>
  <si>
    <t>Fischer Tropps Biodiesel</t>
  </si>
  <si>
    <t xml:space="preserve">Bio-Glycerol </t>
  </si>
  <si>
    <t xml:space="preserve">Bio Oil Pulp </t>
  </si>
  <si>
    <t xml:space="preserve">Biodiesel 1st Gen. </t>
  </si>
  <si>
    <t xml:space="preserve">Biodiesel 2nd Gen. </t>
  </si>
  <si>
    <t xml:space="preserve">Bioethanol 1st Gen. </t>
  </si>
  <si>
    <t xml:space="preserve">Bioethanol 2nd Gen. </t>
  </si>
  <si>
    <t xml:space="preserve">Bioethanol E85 </t>
  </si>
  <si>
    <t xml:space="preserve">Ethanol from woody bio </t>
  </si>
  <si>
    <t xml:space="preserve">Ethanol from wheat crops  </t>
  </si>
  <si>
    <t>Production of DME from Woody Bio New</t>
  </si>
  <si>
    <t xml:space="preserve">Collection of Waste cooking oils </t>
  </si>
  <si>
    <t xml:space="preserve">Oilseed Crops Potential </t>
  </si>
  <si>
    <t xml:space="preserve">Fuel Tech - Pure Bioethanol </t>
  </si>
  <si>
    <t xml:space="preserve">Fuel Tech - Biodiesel </t>
  </si>
  <si>
    <t xml:space="preserve">Fuel Tech - Biofuel for Jet Fuel Blend </t>
  </si>
  <si>
    <t xml:space="preserve">Fuel Tech Biodiesel (TRA) Blend B20 </t>
  </si>
  <si>
    <t xml:space="preserve">Fuel Tech - Biodiesel (TRA) B100 </t>
  </si>
  <si>
    <t xml:space="preserve">Fuel Tech - Bioethanol (TRA) E85 </t>
  </si>
  <si>
    <t xml:space="preserve">Fuel Tech - Bioethanol (TRA)E100 </t>
  </si>
  <si>
    <t xml:space="preserve">Import Biodiesel </t>
  </si>
  <si>
    <t xml:space="preserve">Import Bioethanol </t>
  </si>
  <si>
    <t>Biogas production from Animal Waste</t>
  </si>
  <si>
    <t>Biogas production from Agro-food industrial waste</t>
  </si>
  <si>
    <t>Biogas production from MSW</t>
  </si>
  <si>
    <t>New Biogas Production Technologies</t>
  </si>
  <si>
    <t>Comm-IN-A</t>
  </si>
  <si>
    <t>VDA_FLOP</t>
  </si>
  <si>
    <t>* Technology Name</t>
  </si>
  <si>
    <t>Auxiliary commodity</t>
  </si>
  <si>
    <t>Gas Supply Chain</t>
  </si>
  <si>
    <t>* Definition of the Processes used in this worksheet</t>
  </si>
  <si>
    <t>*Process Set Membership</t>
  </si>
  <si>
    <t>TimeSlice level of Process Activity</t>
  </si>
  <si>
    <t>Primary Commodity Group</t>
  </si>
  <si>
    <t>SPRGASNAT_TRN_N01</t>
  </si>
  <si>
    <t>SPRGASNAT_MP_N01</t>
  </si>
  <si>
    <t>SPRGASNAT_LP_N01</t>
  </si>
  <si>
    <t>New transportation network of natural gas</t>
  </si>
  <si>
    <t>New MP Distribution network of natural gas</t>
  </si>
  <si>
    <t>New LP Distribution network of natural gas</t>
  </si>
  <si>
    <t>Transesterification of seed oil New</t>
  </si>
  <si>
    <t>Hydrotreating of seed oil New</t>
  </si>
  <si>
    <t xml:space="preserve">Grass/Straw Residues Potential </t>
  </si>
  <si>
    <t xml:space="preserve">Sugar beet Residues Potential </t>
  </si>
  <si>
    <t xml:space="preserve">Wine Residues Potential </t>
  </si>
  <si>
    <t>Production of Bioethanol from Sugar beets</t>
  </si>
  <si>
    <t>Production of Bioethanol from Wine Residues</t>
  </si>
  <si>
    <t>Dummy Utilisation of Bio-Glycerol</t>
  </si>
  <si>
    <t>Dummy Utilisation of Bio Oil Pulp</t>
  </si>
  <si>
    <t xml:space="preserve">Used cooking oils Potential </t>
  </si>
  <si>
    <t>DEA, "Technology data for advanced bioenergy fuels"</t>
  </si>
  <si>
    <t>Auxiliary Input</t>
  </si>
  <si>
    <t>Cereal Crops (wheat, corn) Potential</t>
  </si>
  <si>
    <t>Production of Bioethanol from straw/grass</t>
  </si>
  <si>
    <t>Extraction of  seed oil from Oil Seed Crops</t>
  </si>
  <si>
    <t>Production of FT-Biodiesel from Woody Biomass</t>
  </si>
  <si>
    <t>Production of Bioethanol from cereals</t>
  </si>
  <si>
    <t>DEA, "Technology data for renewable fuels", 2017</t>
  </si>
  <si>
    <t>Production of Heat from Biogas for production of BIOBGS</t>
  </si>
  <si>
    <t>SPRHTHSYNH2_ST01</t>
  </si>
  <si>
    <t>Gas burner for HTH production for hydrogen</t>
  </si>
  <si>
    <t xml:space="preserve">Ethanol from sugar/wine residues  </t>
  </si>
  <si>
    <t>New Natural gas transportation infrastructure</t>
  </si>
  <si>
    <t>New Natural gas distribution infrastructure</t>
  </si>
  <si>
    <t>New Natural gas Import Infrastructure</t>
  </si>
  <si>
    <t>SEASON</t>
  </si>
  <si>
    <t xml:space="preserve">New Electricity Interconnections </t>
  </si>
  <si>
    <t>NO</t>
  </si>
  <si>
    <t>[0-1]</t>
  </si>
  <si>
    <t>PITGASNAT-ST</t>
  </si>
  <si>
    <t>SPRGASNAT-ST_N01</t>
  </si>
  <si>
    <t>Peak</t>
  </si>
  <si>
    <t>TRABIOKER</t>
  </si>
  <si>
    <t>TRABIOB20</t>
  </si>
  <si>
    <t>TRAVCO2</t>
  </si>
  <si>
    <t>TRAVCH4</t>
  </si>
  <si>
    <t>TRAVN2O</t>
  </si>
  <si>
    <t>Aggregate GHG Emissions Excluding Aviation</t>
  </si>
  <si>
    <t>New Electricity Interconnection with Region1</t>
  </si>
  <si>
    <t>New Electricity Interconnection with Region2</t>
  </si>
  <si>
    <t>IMPGASNAT_R1_N01</t>
  </si>
  <si>
    <t>IMPGASNAT_R2_N01</t>
  </si>
  <si>
    <t>IMPGASNAT-ST_R1_N01</t>
  </si>
  <si>
    <t>Import of Natural Gas from the Storage in R1</t>
  </si>
  <si>
    <t>Import of Natural Gas from R1</t>
  </si>
  <si>
    <t>Import of Natural Gas from R2</t>
  </si>
  <si>
    <t>Natural Gas From Storage in R1</t>
  </si>
  <si>
    <t>Virtual process for N. Gas from Storage to the network</t>
  </si>
  <si>
    <t>M$</t>
  </si>
  <si>
    <t>M$/PJa</t>
  </si>
  <si>
    <t>M$/PJ</t>
  </si>
  <si>
    <t>M$/(PJ/year)</t>
  </si>
  <si>
    <t>M$/GW</t>
  </si>
  <si>
    <t>M$/ktCO2</t>
  </si>
  <si>
    <t>$/GJ</t>
  </si>
  <si>
    <t>M$/PJ/a</t>
  </si>
  <si>
    <t>ENV_ACT~SUPCH4</t>
  </si>
  <si>
    <t>COASUB</t>
  </si>
  <si>
    <t>Sub-bituminous</t>
  </si>
  <si>
    <t>COABCO</t>
  </si>
  <si>
    <t>BIOWCO</t>
  </si>
  <si>
    <t>Waste cooking oils</t>
  </si>
  <si>
    <t>Starch Crops</t>
  </si>
  <si>
    <t>Grass Crops (millet and Jerusalem artichoke)</t>
  </si>
  <si>
    <t>Rape seed oil</t>
  </si>
  <si>
    <t>RSVCOASUB</t>
  </si>
  <si>
    <t>Sub-bituminous (RSV)</t>
  </si>
  <si>
    <t>RSVCOABCO</t>
  </si>
  <si>
    <t>STGCOABCO</t>
  </si>
  <si>
    <t>SUPCOASUB</t>
  </si>
  <si>
    <t>Sub-bituminous (SUP)</t>
  </si>
  <si>
    <t>SUPCOABCO</t>
  </si>
  <si>
    <t>INDCOASUB</t>
  </si>
  <si>
    <t>Sub-bituminous (IND)</t>
  </si>
  <si>
    <t>INDCOABCO</t>
  </si>
  <si>
    <t>RSDCOASUB</t>
  </si>
  <si>
    <t>Sub-bituminous (RSD)</t>
  </si>
  <si>
    <t>RSDCOABCO</t>
  </si>
  <si>
    <t>COMCOASUB</t>
  </si>
  <si>
    <t>Sub-bituminous (COM)</t>
  </si>
  <si>
    <t>COMCOABCO</t>
  </si>
  <si>
    <t>AGRCOASUB</t>
  </si>
  <si>
    <t>Sub-bituminous (AGR)</t>
  </si>
  <si>
    <t>AGRCOABCO</t>
  </si>
  <si>
    <t>Pure Bioethanol (TRA)</t>
  </si>
  <si>
    <t>ELECOASUB</t>
  </si>
  <si>
    <t>Sub-bituminous (ELE)</t>
  </si>
  <si>
    <t>ELECOABCO</t>
  </si>
  <si>
    <t>HETCOASUB</t>
  </si>
  <si>
    <t>Sub-bituminous (HET)</t>
  </si>
  <si>
    <t>HETCOABCO</t>
  </si>
  <si>
    <t>RSDLTH</t>
  </si>
  <si>
    <t xml:space="preserve">Heat </t>
  </si>
  <si>
    <t>HETHTH</t>
  </si>
  <si>
    <t>Supply Heat (SUP)</t>
  </si>
  <si>
    <t>TER</t>
  </si>
  <si>
    <t>BIOUCO</t>
  </si>
  <si>
    <t>BIOSTA</t>
  </si>
  <si>
    <t>BIOWIR</t>
  </si>
  <si>
    <t>STRBIODMEN_AD01</t>
  </si>
  <si>
    <t>STRBIODSLN_AD01</t>
  </si>
  <si>
    <t>STRBIOETHN_AD01</t>
  </si>
  <si>
    <t>STRBIORPSN_ST01</t>
  </si>
  <si>
    <t>STRBIORMEN_ST01</t>
  </si>
  <si>
    <t>STRBIOHVON_ST01</t>
  </si>
  <si>
    <t>STRBIOUCON01</t>
  </si>
  <si>
    <t>STRBIOETHN_IM01</t>
  </si>
  <si>
    <t>STRBIOETHN_IM02</t>
  </si>
  <si>
    <t>STRBIOWIRN_IM02</t>
  </si>
  <si>
    <t>MINBIOUCO01</t>
  </si>
  <si>
    <t>MINBIOSTA01</t>
  </si>
  <si>
    <t>MINBIOBGC01</t>
  </si>
  <si>
    <t>MINBIOBST01</t>
  </si>
  <si>
    <t>MINBIOBOS01</t>
  </si>
  <si>
    <t>MINBIOWIR01</t>
  </si>
  <si>
    <t>D-UseBIOGLY</t>
  </si>
  <si>
    <t>D-UseBIOPLPOIL</t>
  </si>
  <si>
    <t>FT-BIOETHN01</t>
  </si>
  <si>
    <t>FT-BIODSLN01</t>
  </si>
  <si>
    <t>FT-TRABIOKERN01</t>
  </si>
  <si>
    <t>FT-TRABIOB20N01</t>
  </si>
  <si>
    <t>FT-TRABIODSLN01</t>
  </si>
  <si>
    <t>FT-TRABIOE85N01</t>
  </si>
  <si>
    <t>FT-TRABIOETHN01</t>
  </si>
  <si>
    <t>IMPBIODSL01</t>
  </si>
  <si>
    <t>IMPBIOETH01</t>
  </si>
  <si>
    <t>Share~UP</t>
  </si>
  <si>
    <t>*Region</t>
  </si>
  <si>
    <t>Share of output</t>
  </si>
  <si>
    <t>*</t>
  </si>
  <si>
    <t>(%)</t>
  </si>
  <si>
    <t>PTEGASNAT1</t>
  </si>
  <si>
    <t>PTEGASNAT2</t>
  </si>
  <si>
    <t>RDM: to be tied with methane recovery technologies (If needed)</t>
  </si>
  <si>
    <t>Extraction &amp; Processing of Associated Natural Gas (NEW)</t>
  </si>
  <si>
    <t>SPRGASNAA_EXTR2</t>
  </si>
  <si>
    <t>M€/PJa</t>
  </si>
  <si>
    <t>M€/PJ</t>
  </si>
  <si>
    <t>RDM: max import level, based on the BY level of dependency (for gasoline)</t>
  </si>
  <si>
    <t>SUPHTH2</t>
  </si>
  <si>
    <t>SUPHTHB</t>
  </si>
  <si>
    <t>IMPELCR1_N01</t>
  </si>
  <si>
    <t>IMPELCR2_N02</t>
  </si>
  <si>
    <t>Import of flexible electricity from RoW (high price)</t>
  </si>
  <si>
    <t>IMPELC_Flex_RoW</t>
  </si>
  <si>
    <t>INDH2G</t>
  </si>
  <si>
    <t>Hydrogen for Industry (Gas)</t>
  </si>
  <si>
    <t xml:space="preserve">Fuel Tech -Hydrogen for Industry (Gas) </t>
  </si>
  <si>
    <t>AGRH2G</t>
  </si>
  <si>
    <t>Hydrogen for Agriculture (Gas)</t>
  </si>
  <si>
    <t xml:space="preserve">Fuel Tech -Hydrogen for Agriculture (Gas) </t>
  </si>
  <si>
    <t>Export of hydrogen to RoW</t>
  </si>
  <si>
    <t>EXPH2ROW</t>
  </si>
  <si>
    <t>RDM: export of H2 to RoW (scenario with China). To enable ONLY when needed!</t>
  </si>
  <si>
    <t>* Definition of the Processes and commodities used in this worksheet</t>
  </si>
  <si>
    <t>SHARE-I~FX</t>
  </si>
  <si>
    <t>LIFE</t>
  </si>
  <si>
    <t>ENV_ACT~CCSCO2</t>
  </si>
  <si>
    <t>\I: Units</t>
  </si>
  <si>
    <t>PJ/kton</t>
  </si>
  <si>
    <t>MUSD/kt per year</t>
  </si>
  <si>
    <t xml:space="preserve"> </t>
  </si>
  <si>
    <t>kt-a</t>
  </si>
  <si>
    <t>FX</t>
  </si>
  <si>
    <t>ENVI</t>
  </si>
  <si>
    <t>INDSCO2N</t>
  </si>
  <si>
    <t>CCSCO2</t>
  </si>
  <si>
    <t>CO2 captured via CCS techs</t>
  </si>
  <si>
    <t>New Technologies for CCS in blue H2 (See corresponding scenario file)</t>
  </si>
  <si>
    <t>CCS_Dummy_SUP</t>
  </si>
  <si>
    <t>Dummy Technology_SUP</t>
  </si>
  <si>
    <t>EXP</t>
  </si>
  <si>
    <t>ELCHIG5</t>
  </si>
  <si>
    <t>EXPH2GASROW</t>
  </si>
  <si>
    <t>Export of hydrogen (blending) to RoW</t>
  </si>
  <si>
    <t>Linked with gas pipeline flow</t>
  </si>
  <si>
    <t>Hydrogen for Transport (Liquid)</t>
  </si>
  <si>
    <t>TRAH2L</t>
  </si>
  <si>
    <t>ELCNUC</t>
  </si>
  <si>
    <t>IMPELCNUCR</t>
  </si>
  <si>
    <t>Import of nuclear fuel from ROW</t>
  </si>
  <si>
    <t>Nuclear energy (ELC)</t>
  </si>
  <si>
    <t>WTRCONS</t>
  </si>
  <si>
    <t>Water consumption</t>
  </si>
  <si>
    <t>Gm3</t>
  </si>
  <si>
    <t>INDSSCO2N</t>
  </si>
  <si>
    <t>Dum commodity produced from IND/SUP for CO2 Capture</t>
  </si>
  <si>
    <t>Dum commodity produced from IND/SUP for CO2 Storage</t>
  </si>
  <si>
    <t>CCS for IND-SUP processes</t>
  </si>
  <si>
    <t>INDCO2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</si>
</sst>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0.000"/>
    <numFmt numFmtId="166" formatCode="0.0"/>
    <numFmt numFmtId="167" formatCode="0.0000"/>
  </numFmts>
  <fonts count="27" x14ac:knownFonts="1">
    <font>
      <sz val="10"/>
      <name val="Arial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  <charset val="161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/>
    <xf numFmtId="0" fontId="7" fillId="3" borderId="0" applyNumberFormat="0" applyBorder="0" applyAlignment="0" applyProtection="0"/>
    <xf numFmtId="0" fontId="1" fillId="0" borderId="0"/>
    <xf numFmtId="0" fontId="1" fillId="0" borderId="0"/>
    <xf numFmtId="0" fontId="13" fillId="0" borderId="0"/>
    <xf numFmtId="0" fontId="14" fillId="0" borderId="0"/>
  </cellStyleXfs>
  <cellXfs count="272">
    <xf numFmtId="0" fontId="0" fillId="0" borderId="0" xfId="0"/>
    <xf numFmtId="0" fontId="6" fillId="4" borderId="0" xfId="1" applyFont="1" applyFill="1" applyAlignment="1">
      <alignment wrapText="1"/>
    </xf>
    <xf numFmtId="0" fontId="5" fillId="4" borderId="0" xfId="1" applyFill="1" applyAlignment="1">
      <alignment wrapText="1"/>
    </xf>
    <xf numFmtId="0" fontId="5" fillId="4" borderId="0" xfId="1" applyFont="1" applyFill="1" applyAlignment="1">
      <alignment wrapText="1"/>
    </xf>
    <xf numFmtId="0" fontId="8" fillId="5" borderId="0" xfId="1" applyFont="1" applyFill="1" applyAlignment="1">
      <alignment wrapText="1"/>
    </xf>
    <xf numFmtId="0" fontId="8" fillId="5" borderId="0" xfId="1" applyFont="1" applyFill="1" applyAlignment="1">
      <alignment horizontal="right" wrapText="1"/>
    </xf>
    <xf numFmtId="0" fontId="9" fillId="5" borderId="0" xfId="2" applyFont="1" applyFill="1" applyAlignment="1">
      <alignment horizontal="center"/>
    </xf>
    <xf numFmtId="0" fontId="10" fillId="5" borderId="0" xfId="2" applyFont="1" applyFill="1" applyAlignment="1">
      <alignment horizontal="center"/>
    </xf>
    <xf numFmtId="0" fontId="11" fillId="5" borderId="0" xfId="1" applyFont="1" applyFill="1" applyAlignment="1">
      <alignment wrapText="1"/>
    </xf>
    <xf numFmtId="0" fontId="8" fillId="5" borderId="0" xfId="1" applyFont="1" applyFill="1" applyAlignment="1"/>
    <xf numFmtId="0" fontId="11" fillId="5" borderId="0" xfId="1" applyFont="1" applyFill="1" applyAlignment="1">
      <alignment horizontal="left" wrapText="1"/>
    </xf>
    <xf numFmtId="2" fontId="17" fillId="0" borderId="0" xfId="0" applyNumberFormat="1" applyFont="1" applyFill="1" applyBorder="1" applyAlignment="1">
      <alignment horizontal="left"/>
    </xf>
    <xf numFmtId="0" fontId="16" fillId="0" borderId="0" xfId="0" applyFont="1" applyFill="1"/>
    <xf numFmtId="2" fontId="16" fillId="0" borderId="0" xfId="0" applyNumberFormat="1" applyFont="1" applyFill="1" applyAlignment="1">
      <alignment horizontal="center"/>
    </xf>
    <xf numFmtId="2" fontId="16" fillId="0" borderId="0" xfId="0" applyNumberFormat="1" applyFont="1" applyFill="1"/>
    <xf numFmtId="2" fontId="18" fillId="0" borderId="0" xfId="0" applyNumberFormat="1" applyFont="1" applyFill="1" applyAlignment="1">
      <alignment horizontal="left"/>
    </xf>
    <xf numFmtId="164" fontId="18" fillId="0" borderId="0" xfId="0" applyNumberFormat="1" applyFont="1" applyFill="1" applyAlignment="1"/>
    <xf numFmtId="2" fontId="18" fillId="0" borderId="24" xfId="0" applyNumberFormat="1" applyFont="1" applyFill="1" applyBorder="1" applyAlignment="1">
      <alignment horizontal="left" vertical="center" wrapText="1"/>
    </xf>
    <xf numFmtId="2" fontId="18" fillId="0" borderId="23" xfId="0" applyNumberFormat="1" applyFont="1" applyFill="1" applyBorder="1" applyAlignment="1">
      <alignment horizontal="left" vertical="center" wrapText="1"/>
    </xf>
    <xf numFmtId="0" fontId="16" fillId="0" borderId="20" xfId="0" applyFont="1" applyFill="1" applyBorder="1"/>
    <xf numFmtId="0" fontId="16" fillId="0" borderId="21" xfId="0" applyFont="1" applyFill="1" applyBorder="1"/>
    <xf numFmtId="0" fontId="16" fillId="0" borderId="22" xfId="0" applyFont="1" applyFill="1" applyBorder="1"/>
    <xf numFmtId="164" fontId="18" fillId="0" borderId="1" xfId="0" applyNumberFormat="1" applyFont="1" applyFill="1" applyBorder="1"/>
    <xf numFmtId="164" fontId="18" fillId="0" borderId="6" xfId="0" applyNumberFormat="1" applyFont="1" applyFill="1" applyBorder="1"/>
    <xf numFmtId="164" fontId="18" fillId="0" borderId="1" xfId="0" applyNumberFormat="1" applyFont="1" applyFill="1" applyBorder="1" applyAlignment="1">
      <alignment horizontal="left"/>
    </xf>
    <xf numFmtId="165" fontId="16" fillId="0" borderId="7" xfId="0" applyNumberFormat="1" applyFont="1" applyFill="1" applyBorder="1"/>
    <xf numFmtId="165" fontId="16" fillId="0" borderId="0" xfId="0" applyNumberFormat="1" applyFont="1" applyFill="1"/>
    <xf numFmtId="0" fontId="16" fillId="0" borderId="15" xfId="0" applyFont="1" applyFill="1" applyBorder="1"/>
    <xf numFmtId="0" fontId="16" fillId="0" borderId="0" xfId="0" applyFont="1" applyFill="1" applyBorder="1"/>
    <xf numFmtId="0" fontId="16" fillId="0" borderId="16" xfId="0" applyFont="1" applyFill="1" applyBorder="1"/>
    <xf numFmtId="1" fontId="16" fillId="0" borderId="0" xfId="0" applyNumberFormat="1" applyFont="1" applyFill="1"/>
    <xf numFmtId="164" fontId="16" fillId="0" borderId="2" xfId="0" applyNumberFormat="1" applyFont="1" applyFill="1" applyBorder="1" applyAlignment="1">
      <alignment horizontal="left"/>
    </xf>
    <xf numFmtId="164" fontId="16" fillId="0" borderId="5" xfId="0" applyNumberFormat="1" applyFont="1" applyFill="1" applyBorder="1" applyAlignment="1">
      <alignment horizontal="left"/>
    </xf>
    <xf numFmtId="0" fontId="16" fillId="0" borderId="0" xfId="0" applyFont="1" applyFill="1" applyAlignment="1"/>
    <xf numFmtId="0" fontId="16" fillId="0" borderId="0" xfId="0" applyFont="1" applyFill="1" applyAlignment="1">
      <alignment horizontal="center"/>
    </xf>
    <xf numFmtId="0" fontId="16" fillId="0" borderId="17" xfId="0" applyFont="1" applyFill="1" applyBorder="1"/>
    <xf numFmtId="0" fontId="16" fillId="0" borderId="5" xfId="0" applyFont="1" applyFill="1" applyBorder="1"/>
    <xf numFmtId="0" fontId="16" fillId="0" borderId="18" xfId="0" applyFont="1" applyFill="1" applyBorder="1"/>
    <xf numFmtId="165" fontId="16" fillId="0" borderId="0" xfId="0" applyNumberFormat="1" applyFont="1" applyFill="1" applyBorder="1"/>
    <xf numFmtId="0" fontId="19" fillId="0" borderId="0" xfId="0" applyFont="1" applyFill="1" applyAlignment="1"/>
    <xf numFmtId="164" fontId="20" fillId="0" borderId="1" xfId="0" applyNumberFormat="1" applyFont="1" applyFill="1" applyBorder="1"/>
    <xf numFmtId="164" fontId="20" fillId="0" borderId="6" xfId="0" applyNumberFormat="1" applyFont="1" applyFill="1" applyBorder="1"/>
    <xf numFmtId="164" fontId="20" fillId="0" borderId="1" xfId="0" applyNumberFormat="1" applyFont="1" applyFill="1" applyBorder="1" applyAlignment="1">
      <alignment horizontal="left"/>
    </xf>
    <xf numFmtId="164" fontId="21" fillId="0" borderId="2" xfId="0" applyNumberFormat="1" applyFont="1" applyFill="1" applyBorder="1" applyAlignment="1">
      <alignment horizontal="center" vertical="center" wrapText="1"/>
    </xf>
    <xf numFmtId="164" fontId="21" fillId="0" borderId="5" xfId="0" applyNumberFormat="1" applyFont="1" applyFill="1" applyBorder="1" applyAlignment="1">
      <alignment horizontal="center" vertical="center" wrapText="1"/>
    </xf>
    <xf numFmtId="164" fontId="16" fillId="0" borderId="2" xfId="0" applyNumberFormat="1" applyFont="1" applyFill="1" applyBorder="1" applyAlignment="1">
      <alignment horizontal="left" wrapText="1"/>
    </xf>
    <xf numFmtId="0" fontId="16" fillId="0" borderId="0" xfId="0" applyFont="1" applyFill="1" applyAlignment="1">
      <alignment wrapText="1"/>
    </xf>
    <xf numFmtId="0" fontId="21" fillId="0" borderId="0" xfId="0" applyFont="1" applyFill="1"/>
    <xf numFmtId="0" fontId="21" fillId="0" borderId="0" xfId="0" applyFont="1" applyFill="1" applyAlignment="1">
      <alignment horizontal="center"/>
    </xf>
    <xf numFmtId="0" fontId="21" fillId="0" borderId="0" xfId="5" applyFont="1" applyFill="1"/>
    <xf numFmtId="0" fontId="16" fillId="0" borderId="0" xfId="5" applyFont="1" applyFill="1" applyAlignment="1">
      <alignment horizontal="center"/>
    </xf>
    <xf numFmtId="0" fontId="19" fillId="0" borderId="0" xfId="0" applyFont="1" applyFill="1"/>
    <xf numFmtId="164" fontId="21" fillId="0" borderId="0" xfId="0" applyNumberFormat="1" applyFont="1" applyFill="1"/>
    <xf numFmtId="2" fontId="18" fillId="0" borderId="11" xfId="0" applyNumberFormat="1" applyFont="1" applyFill="1" applyBorder="1"/>
    <xf numFmtId="2" fontId="16" fillId="0" borderId="0" xfId="6" applyNumberFormat="1" applyFont="1" applyFill="1" applyAlignment="1">
      <alignment horizontal="right"/>
    </xf>
    <xf numFmtId="164" fontId="20" fillId="0" borderId="0" xfId="0" applyNumberFormat="1" applyFont="1" applyFill="1"/>
    <xf numFmtId="164" fontId="18" fillId="0" borderId="0" xfId="0" applyNumberFormat="1" applyFont="1" applyFill="1"/>
    <xf numFmtId="164" fontId="16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0" fontId="20" fillId="0" borderId="1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18" fillId="0" borderId="1" xfId="0" applyNumberFormat="1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 wrapText="1"/>
    </xf>
    <xf numFmtId="0" fontId="21" fillId="0" borderId="4" xfId="0" applyFont="1" applyFill="1" applyBorder="1" applyAlignment="1">
      <alignment horizontal="center" wrapText="1"/>
    </xf>
    <xf numFmtId="0" fontId="16" fillId="0" borderId="2" xfId="0" applyFont="1" applyFill="1" applyBorder="1" applyAlignment="1">
      <alignment horizontal="center"/>
    </xf>
    <xf numFmtId="164" fontId="21" fillId="0" borderId="5" xfId="0" applyNumberFormat="1" applyFont="1" applyFill="1" applyBorder="1" applyAlignment="1">
      <alignment horizontal="left" wrapText="1"/>
    </xf>
    <xf numFmtId="164" fontId="16" fillId="0" borderId="2" xfId="0" applyNumberFormat="1" applyFont="1" applyFill="1" applyBorder="1" applyAlignment="1">
      <alignment horizontal="center"/>
    </xf>
    <xf numFmtId="0" fontId="16" fillId="0" borderId="0" xfId="0" quotePrefix="1" applyFont="1" applyFill="1" applyAlignment="1">
      <alignment horizontal="left"/>
    </xf>
    <xf numFmtId="0" fontId="16" fillId="0" borderId="7" xfId="0" quotePrefix="1" applyFont="1" applyFill="1" applyBorder="1" applyAlignment="1">
      <alignment horizontal="center"/>
    </xf>
    <xf numFmtId="0" fontId="16" fillId="0" borderId="0" xfId="0" quotePrefix="1" applyFont="1" applyFill="1" applyAlignment="1">
      <alignment horizontal="center"/>
    </xf>
    <xf numFmtId="165" fontId="16" fillId="0" borderId="0" xfId="0" quotePrefix="1" applyNumberFormat="1" applyFont="1" applyFill="1" applyAlignment="1">
      <alignment horizontal="center"/>
    </xf>
    <xf numFmtId="166" fontId="16" fillId="0" borderId="0" xfId="0" quotePrefix="1" applyNumberFormat="1" applyFont="1" applyFill="1" applyAlignment="1">
      <alignment horizontal="center"/>
    </xf>
    <xf numFmtId="164" fontId="16" fillId="0" borderId="0" xfId="6" applyNumberFormat="1" applyFont="1" applyFill="1" applyAlignment="1">
      <alignment horizontal="left"/>
    </xf>
    <xf numFmtId="0" fontId="16" fillId="0" borderId="10" xfId="0" quotePrefix="1" applyFont="1" applyFill="1" applyBorder="1" applyAlignment="1">
      <alignment horizontal="left"/>
    </xf>
    <xf numFmtId="0" fontId="16" fillId="0" borderId="10" xfId="0" applyFont="1" applyFill="1" applyBorder="1"/>
    <xf numFmtId="0" fontId="16" fillId="0" borderId="11" xfId="0" quotePrefix="1" applyFont="1" applyFill="1" applyBorder="1" applyAlignment="1">
      <alignment horizontal="center"/>
    </xf>
    <xf numFmtId="0" fontId="16" fillId="0" borderId="10" xfId="0" quotePrefix="1" applyFont="1" applyFill="1" applyBorder="1" applyAlignment="1">
      <alignment horizontal="center"/>
    </xf>
    <xf numFmtId="166" fontId="16" fillId="0" borderId="10" xfId="0" quotePrefix="1" applyNumberFormat="1" applyFont="1" applyFill="1" applyBorder="1" applyAlignment="1">
      <alignment horizontal="center"/>
    </xf>
    <xf numFmtId="2" fontId="16" fillId="0" borderId="10" xfId="0" quotePrefix="1" applyNumberFormat="1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21" fillId="0" borderId="0" xfId="0" applyFont="1" applyFill="1" applyAlignment="1">
      <alignment horizontal="right"/>
    </xf>
    <xf numFmtId="0" fontId="20" fillId="0" borderId="3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left" wrapText="1"/>
    </xf>
    <xf numFmtId="0" fontId="21" fillId="0" borderId="8" xfId="0" applyFont="1" applyFill="1" applyBorder="1" applyAlignment="1">
      <alignment horizontal="center" wrapText="1"/>
    </xf>
    <xf numFmtId="0" fontId="21" fillId="0" borderId="9" xfId="0" applyFont="1" applyFill="1" applyBorder="1" applyAlignment="1">
      <alignment horizontal="center" wrapText="1"/>
    </xf>
    <xf numFmtId="0" fontId="21" fillId="0" borderId="6" xfId="0" applyFont="1" applyFill="1" applyBorder="1" applyAlignment="1">
      <alignment horizontal="center" wrapText="1"/>
    </xf>
    <xf numFmtId="0" fontId="21" fillId="0" borderId="6" xfId="0" applyFont="1" applyFill="1" applyBorder="1"/>
    <xf numFmtId="0" fontId="21" fillId="0" borderId="14" xfId="0" applyFont="1" applyFill="1" applyBorder="1" applyAlignment="1">
      <alignment horizontal="center"/>
    </xf>
    <xf numFmtId="1" fontId="21" fillId="0" borderId="6" xfId="0" applyNumberFormat="1" applyFont="1" applyFill="1" applyBorder="1" applyAlignment="1">
      <alignment horizontal="center"/>
    </xf>
    <xf numFmtId="2" fontId="16" fillId="0" borderId="6" xfId="0" applyNumberFormat="1" applyFont="1" applyFill="1" applyBorder="1" applyAlignment="1">
      <alignment horizontal="center"/>
    </xf>
    <xf numFmtId="1" fontId="16" fillId="0" borderId="6" xfId="0" applyNumberFormat="1" applyFont="1" applyFill="1" applyBorder="1" applyAlignment="1">
      <alignment horizontal="center"/>
    </xf>
    <xf numFmtId="2" fontId="21" fillId="0" borderId="6" xfId="0" applyNumberFormat="1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Alignment="1">
      <alignment horizontal="left"/>
    </xf>
    <xf numFmtId="164" fontId="21" fillId="0" borderId="0" xfId="0" applyNumberFormat="1" applyFont="1" applyFill="1" applyAlignment="1">
      <alignment horizontal="left"/>
    </xf>
    <xf numFmtId="164" fontId="20" fillId="0" borderId="0" xfId="0" applyNumberFormat="1" applyFont="1" applyFill="1" applyAlignment="1">
      <alignment horizontal="left"/>
    </xf>
    <xf numFmtId="164" fontId="20" fillId="0" borderId="6" xfId="0" applyNumberFormat="1" applyFont="1" applyFill="1" applyBorder="1" applyAlignment="1">
      <alignment horizontal="left"/>
    </xf>
    <xf numFmtId="0" fontId="21" fillId="0" borderId="1" xfId="0" applyFont="1" applyFill="1" applyBorder="1" applyAlignment="1">
      <alignment wrapText="1"/>
    </xf>
    <xf numFmtId="164" fontId="21" fillId="0" borderId="5" xfId="0" applyNumberFormat="1" applyFont="1" applyFill="1" applyBorder="1" applyAlignment="1">
      <alignment horizontal="left" vertical="center" wrapText="1"/>
    </xf>
    <xf numFmtId="164" fontId="21" fillId="0" borderId="0" xfId="0" applyNumberFormat="1" applyFont="1" applyFill="1" applyAlignment="1">
      <alignment horizontal="left" wrapText="1"/>
    </xf>
    <xf numFmtId="0" fontId="21" fillId="0" borderId="0" xfId="0" applyFont="1" applyFill="1" applyBorder="1" applyAlignment="1">
      <alignment horizontal="center"/>
    </xf>
    <xf numFmtId="0" fontId="21" fillId="0" borderId="1" xfId="0" applyFont="1" applyFill="1" applyBorder="1"/>
    <xf numFmtId="1" fontId="21" fillId="0" borderId="3" xfId="0" applyNumberFormat="1" applyFont="1" applyFill="1" applyBorder="1" applyAlignment="1">
      <alignment horizontal="center"/>
    </xf>
    <xf numFmtId="1" fontId="21" fillId="0" borderId="0" xfId="0" applyNumberFormat="1" applyFont="1" applyFill="1" applyAlignment="1">
      <alignment horizontal="center"/>
    </xf>
    <xf numFmtId="2" fontId="16" fillId="0" borderId="1" xfId="0" applyNumberFormat="1" applyFont="1" applyFill="1" applyBorder="1" applyAlignment="1">
      <alignment horizontal="center"/>
    </xf>
    <xf numFmtId="0" fontId="21" fillId="0" borderId="7" xfId="0" applyFont="1" applyFill="1" applyBorder="1" applyAlignment="1">
      <alignment horizontal="center"/>
    </xf>
    <xf numFmtId="165" fontId="16" fillId="0" borderId="0" xfId="0" applyNumberFormat="1" applyFont="1" applyFill="1" applyAlignment="1">
      <alignment horizontal="center"/>
    </xf>
    <xf numFmtId="2" fontId="21" fillId="0" borderId="0" xfId="0" applyNumberFormat="1" applyFont="1" applyFill="1" applyAlignment="1">
      <alignment horizontal="center"/>
    </xf>
    <xf numFmtId="0" fontId="21" fillId="0" borderId="0" xfId="0" applyFont="1" applyFill="1" applyBorder="1" applyAlignment="1">
      <alignment horizontal="left"/>
    </xf>
    <xf numFmtId="164" fontId="16" fillId="0" borderId="0" xfId="0" applyNumberFormat="1" applyFont="1" applyFill="1" applyAlignment="1">
      <alignment horizontal="left"/>
    </xf>
    <xf numFmtId="164" fontId="16" fillId="0" borderId="0" xfId="0" applyNumberFormat="1" applyFont="1" applyFill="1" applyAlignment="1"/>
    <xf numFmtId="0" fontId="20" fillId="0" borderId="14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left"/>
    </xf>
    <xf numFmtId="164" fontId="18" fillId="0" borderId="0" xfId="0" applyNumberFormat="1" applyFont="1" applyFill="1" applyAlignment="1">
      <alignment horizontal="left"/>
    </xf>
    <xf numFmtId="0" fontId="21" fillId="0" borderId="14" xfId="0" applyFont="1" applyFill="1" applyBorder="1" applyAlignment="1">
      <alignment horizontal="center" wrapText="1"/>
    </xf>
    <xf numFmtId="164" fontId="18" fillId="0" borderId="1" xfId="0" applyNumberFormat="1" applyFont="1" applyFill="1" applyBorder="1" applyAlignment="1"/>
    <xf numFmtId="165" fontId="16" fillId="0" borderId="1" xfId="0" applyNumberFormat="1" applyFont="1" applyFill="1" applyBorder="1" applyAlignment="1">
      <alignment horizontal="center"/>
    </xf>
    <xf numFmtId="1" fontId="16" fillId="0" borderId="1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6" fontId="16" fillId="0" borderId="0" xfId="0" applyNumberFormat="1" applyFont="1" applyFill="1" applyAlignment="1">
      <alignment horizontal="center"/>
    </xf>
    <xf numFmtId="0" fontId="21" fillId="0" borderId="11" xfId="0" applyFont="1" applyFill="1" applyBorder="1" applyAlignment="1">
      <alignment horizontal="center"/>
    </xf>
    <xf numFmtId="1" fontId="16" fillId="0" borderId="10" xfId="0" applyNumberFormat="1" applyFont="1" applyFill="1" applyBorder="1"/>
    <xf numFmtId="2" fontId="16" fillId="0" borderId="10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21" fillId="0" borderId="7" xfId="0" applyNumberFormat="1" applyFont="1" applyFill="1" applyBorder="1" applyAlignment="1">
      <alignment horizontal="center"/>
    </xf>
    <xf numFmtId="0" fontId="21" fillId="0" borderId="10" xfId="0" applyFont="1" applyFill="1" applyBorder="1"/>
    <xf numFmtId="0" fontId="21" fillId="0" borderId="6" xfId="0" applyFont="1" applyFill="1" applyBorder="1" applyAlignment="1"/>
    <xf numFmtId="0" fontId="21" fillId="0" borderId="14" xfId="0" applyFont="1" applyFill="1" applyBorder="1" applyAlignment="1"/>
    <xf numFmtId="0" fontId="22" fillId="0" borderId="6" xfId="0" applyFont="1" applyFill="1" applyBorder="1"/>
    <xf numFmtId="0" fontId="22" fillId="0" borderId="6" xfId="0" applyFont="1" applyFill="1" applyBorder="1" applyAlignment="1"/>
    <xf numFmtId="1" fontId="23" fillId="0" borderId="6" xfId="0" applyNumberFormat="1" applyFont="1" applyFill="1" applyBorder="1" applyAlignment="1">
      <alignment horizontal="center"/>
    </xf>
    <xf numFmtId="2" fontId="22" fillId="0" borderId="6" xfId="0" applyNumberFormat="1" applyFont="1" applyFill="1" applyBorder="1" applyAlignment="1">
      <alignment horizontal="center"/>
    </xf>
    <xf numFmtId="1" fontId="22" fillId="0" borderId="6" xfId="0" applyNumberFormat="1" applyFont="1" applyFill="1" applyBorder="1" applyAlignment="1">
      <alignment horizontal="center"/>
    </xf>
    <xf numFmtId="0" fontId="22" fillId="0" borderId="0" xfId="0" applyFont="1" applyFill="1"/>
    <xf numFmtId="0" fontId="20" fillId="0" borderId="0" xfId="0" applyFont="1" applyFill="1"/>
    <xf numFmtId="0" fontId="20" fillId="0" borderId="0" xfId="0" applyFont="1" applyFill="1" applyAlignment="1">
      <alignment horizontal="left"/>
    </xf>
    <xf numFmtId="0" fontId="20" fillId="0" borderId="2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1" fillId="0" borderId="26" xfId="0" applyFont="1" applyFill="1" applyBorder="1" applyAlignment="1">
      <alignment horizontal="left" wrapText="1"/>
    </xf>
    <xf numFmtId="0" fontId="21" fillId="0" borderId="1" xfId="0" applyFont="1" applyFill="1" applyBorder="1" applyAlignment="1">
      <alignment horizont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27" xfId="0" applyFont="1" applyFill="1" applyBorder="1" applyAlignment="1">
      <alignment horizontal="left" wrapText="1"/>
    </xf>
    <xf numFmtId="0" fontId="21" fillId="0" borderId="12" xfId="0" applyFont="1" applyFill="1" applyBorder="1" applyAlignment="1">
      <alignment horizontal="left" wrapText="1"/>
    </xf>
    <xf numFmtId="0" fontId="21" fillId="0" borderId="12" xfId="0" applyFont="1" applyFill="1" applyBorder="1" applyAlignment="1">
      <alignment horizontal="center" wrapText="1"/>
    </xf>
    <xf numFmtId="0" fontId="21" fillId="0" borderId="25" xfId="0" applyFont="1" applyFill="1" applyBorder="1" applyAlignment="1">
      <alignment horizontal="center" wrapText="1"/>
    </xf>
    <xf numFmtId="0" fontId="21" fillId="0" borderId="10" xfId="0" applyFont="1" applyFill="1" applyBorder="1" applyAlignment="1">
      <alignment horizontal="center" wrapText="1"/>
    </xf>
    <xf numFmtId="0" fontId="21" fillId="0" borderId="28" xfId="0" applyFont="1" applyFill="1" applyBorder="1"/>
    <xf numFmtId="1" fontId="21" fillId="0" borderId="3" xfId="0" applyNumberFormat="1" applyFont="1" applyFill="1" applyBorder="1"/>
    <xf numFmtId="2" fontId="21" fillId="0" borderId="1" xfId="0" applyNumberFormat="1" applyFont="1" applyFill="1" applyBorder="1" applyAlignment="1">
      <alignment horizontal="center"/>
    </xf>
    <xf numFmtId="0" fontId="21" fillId="0" borderId="29" xfId="0" applyFont="1" applyFill="1" applyBorder="1"/>
    <xf numFmtId="1" fontId="21" fillId="0" borderId="7" xfId="0" applyNumberFormat="1" applyFont="1" applyFill="1" applyBorder="1"/>
    <xf numFmtId="166" fontId="21" fillId="0" borderId="0" xfId="0" applyNumberFormat="1" applyFont="1" applyFill="1" applyAlignment="1">
      <alignment horizontal="center"/>
    </xf>
    <xf numFmtId="0" fontId="21" fillId="0" borderId="30" xfId="0" applyFont="1" applyFill="1" applyBorder="1"/>
    <xf numFmtId="1" fontId="21" fillId="0" borderId="11" xfId="0" applyNumberFormat="1" applyFont="1" applyFill="1" applyBorder="1"/>
    <xf numFmtId="166" fontId="21" fillId="0" borderId="10" xfId="0" applyNumberFormat="1" applyFont="1" applyFill="1" applyBorder="1" applyAlignment="1">
      <alignment horizontal="center"/>
    </xf>
    <xf numFmtId="0" fontId="18" fillId="0" borderId="0" xfId="0" applyFont="1" applyFill="1" applyAlignment="1">
      <alignment horizontal="left"/>
    </xf>
    <xf numFmtId="0" fontId="17" fillId="0" borderId="0" xfId="0" applyFont="1" applyFill="1" applyAlignment="1"/>
    <xf numFmtId="0" fontId="18" fillId="0" borderId="0" xfId="0" applyFont="1" applyFill="1" applyAlignment="1"/>
    <xf numFmtId="0" fontId="18" fillId="0" borderId="1" xfId="0" applyFont="1" applyFill="1" applyBorder="1" applyAlignment="1">
      <alignment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left" wrapText="1"/>
    </xf>
    <xf numFmtId="0" fontId="16" fillId="0" borderId="8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 wrapText="1"/>
    </xf>
    <xf numFmtId="2" fontId="16" fillId="0" borderId="0" xfId="0" applyNumberFormat="1" applyFont="1" applyFill="1" applyAlignment="1"/>
    <xf numFmtId="0" fontId="21" fillId="0" borderId="1" xfId="0" applyFont="1" applyFill="1" applyBorder="1" applyAlignment="1"/>
    <xf numFmtId="0" fontId="21" fillId="0" borderId="3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0" fontId="16" fillId="0" borderId="0" xfId="0" applyFont="1" applyFill="1" applyBorder="1" applyAlignment="1"/>
    <xf numFmtId="0" fontId="21" fillId="0" borderId="0" xfId="0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1" fontId="21" fillId="0" borderId="0" xfId="0" applyNumberFormat="1" applyFont="1" applyFill="1" applyBorder="1" applyAlignment="1">
      <alignment horizontal="center"/>
    </xf>
    <xf numFmtId="0" fontId="21" fillId="0" borderId="10" xfId="0" applyFont="1" applyFill="1" applyBorder="1" applyAlignment="1"/>
    <xf numFmtId="0" fontId="21" fillId="0" borderId="10" xfId="0" applyFont="1" applyFill="1" applyBorder="1" applyAlignment="1">
      <alignment horizontal="center"/>
    </xf>
    <xf numFmtId="2" fontId="21" fillId="0" borderId="10" xfId="0" applyNumberFormat="1" applyFont="1" applyFill="1" applyBorder="1" applyAlignment="1">
      <alignment horizontal="center"/>
    </xf>
    <xf numFmtId="1" fontId="21" fillId="0" borderId="10" xfId="0" applyNumberFormat="1" applyFont="1" applyFill="1" applyBorder="1" applyAlignment="1">
      <alignment horizontal="center"/>
    </xf>
    <xf numFmtId="164" fontId="21" fillId="0" borderId="1" xfId="0" applyNumberFormat="1" applyFont="1" applyFill="1" applyBorder="1" applyAlignment="1"/>
    <xf numFmtId="164" fontId="24" fillId="0" borderId="0" xfId="0" applyNumberFormat="1" applyFont="1" applyFill="1"/>
    <xf numFmtId="0" fontId="18" fillId="0" borderId="1" xfId="0" applyFont="1" applyFill="1" applyBorder="1" applyAlignment="1">
      <alignment horizontal="left" vertical="center"/>
    </xf>
    <xf numFmtId="164" fontId="18" fillId="0" borderId="6" xfId="0" applyNumberFormat="1" applyFont="1" applyFill="1" applyBorder="1" applyAlignment="1"/>
    <xf numFmtId="164" fontId="18" fillId="0" borderId="6" xfId="0" applyNumberFormat="1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vertical="center"/>
    </xf>
    <xf numFmtId="164" fontId="16" fillId="0" borderId="5" xfId="0" applyNumberFormat="1" applyFont="1" applyFill="1" applyBorder="1" applyAlignment="1">
      <alignment horizontal="center"/>
    </xf>
    <xf numFmtId="0" fontId="16" fillId="0" borderId="8" xfId="0" applyFont="1" applyFill="1" applyBorder="1" applyAlignment="1">
      <alignment horizontal="left"/>
    </xf>
    <xf numFmtId="167" fontId="21" fillId="0" borderId="1" xfId="0" applyNumberFormat="1" applyFont="1" applyFill="1" applyBorder="1" applyAlignment="1">
      <alignment horizontal="center"/>
    </xf>
    <xf numFmtId="167" fontId="21" fillId="0" borderId="0" xfId="0" applyNumberFormat="1" applyFont="1" applyFill="1" applyBorder="1" applyAlignment="1">
      <alignment horizontal="center"/>
    </xf>
    <xf numFmtId="2" fontId="21" fillId="0" borderId="0" xfId="0" applyNumberFormat="1" applyFont="1" applyFill="1" applyBorder="1" applyAlignment="1"/>
    <xf numFmtId="167" fontId="21" fillId="0" borderId="10" xfId="0" applyNumberFormat="1" applyFont="1" applyFill="1" applyBorder="1" applyAlignment="1">
      <alignment horizontal="center"/>
    </xf>
    <xf numFmtId="0" fontId="21" fillId="0" borderId="0" xfId="0" applyFont="1" applyFill="1" applyAlignment="1"/>
    <xf numFmtId="0" fontId="16" fillId="0" borderId="10" xfId="0" applyFont="1" applyFill="1" applyBorder="1" applyAlignment="1"/>
    <xf numFmtId="164" fontId="16" fillId="0" borderId="10" xfId="0" applyNumberFormat="1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164" fontId="16" fillId="0" borderId="10" xfId="0" applyNumberFormat="1" applyFont="1" applyFill="1" applyBorder="1" applyAlignment="1"/>
    <xf numFmtId="0" fontId="21" fillId="0" borderId="10" xfId="0" applyFont="1" applyFill="1" applyBorder="1" applyAlignment="1">
      <alignment horizontal="left"/>
    </xf>
    <xf numFmtId="0" fontId="21" fillId="0" borderId="6" xfId="0" applyFont="1" applyFill="1" applyBorder="1" applyAlignment="1">
      <alignment horizontal="center"/>
    </xf>
    <xf numFmtId="2" fontId="21" fillId="0" borderId="1" xfId="0" applyNumberFormat="1" applyFont="1" applyFill="1" applyBorder="1" applyAlignment="1"/>
    <xf numFmtId="2" fontId="21" fillId="0" borderId="1" xfId="0" applyNumberFormat="1" applyFont="1" applyFill="1" applyBorder="1"/>
    <xf numFmtId="2" fontId="21" fillId="0" borderId="10" xfId="0" applyNumberFormat="1" applyFont="1" applyFill="1" applyBorder="1" applyAlignment="1"/>
    <xf numFmtId="164" fontId="21" fillId="0" borderId="10" xfId="0" applyNumberFormat="1" applyFont="1" applyFill="1" applyBorder="1" applyAlignment="1"/>
    <xf numFmtId="2" fontId="21" fillId="0" borderId="10" xfId="0" applyNumberFormat="1" applyFont="1" applyFill="1" applyBorder="1"/>
    <xf numFmtId="164" fontId="21" fillId="0" borderId="0" xfId="0" applyNumberFormat="1" applyFont="1" applyFill="1" applyBorder="1" applyAlignment="1"/>
    <xf numFmtId="2" fontId="21" fillId="0" borderId="0" xfId="0" applyNumberFormat="1" applyFont="1" applyFill="1" applyBorder="1"/>
    <xf numFmtId="164" fontId="16" fillId="0" borderId="0" xfId="0" applyNumberFormat="1" applyFont="1" applyFill="1" applyBorder="1"/>
    <xf numFmtId="2" fontId="25" fillId="0" borderId="0" xfId="0" applyNumberFormat="1" applyFont="1" applyFill="1"/>
    <xf numFmtId="164" fontId="16" fillId="0" borderId="0" xfId="0" applyNumberFormat="1" applyFont="1" applyFill="1" applyBorder="1" applyAlignment="1"/>
    <xf numFmtId="0" fontId="18" fillId="0" borderId="14" xfId="0" applyFont="1" applyFill="1" applyBorder="1" applyAlignment="1">
      <alignment horizontal="center" vertical="center"/>
    </xf>
    <xf numFmtId="164" fontId="18" fillId="0" borderId="6" xfId="0" applyNumberFormat="1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left"/>
    </xf>
    <xf numFmtId="0" fontId="18" fillId="0" borderId="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/>
    </xf>
    <xf numFmtId="0" fontId="16" fillId="0" borderId="7" xfId="0" applyFont="1" applyFill="1" applyBorder="1" applyAlignment="1">
      <alignment horizontal="center"/>
    </xf>
    <xf numFmtId="164" fontId="21" fillId="0" borderId="1" xfId="0" applyNumberFormat="1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164" fontId="21" fillId="0" borderId="0" xfId="0" applyNumberFormat="1" applyFont="1" applyFill="1" applyBorder="1" applyAlignment="1">
      <alignment horizontal="center"/>
    </xf>
    <xf numFmtId="164" fontId="21" fillId="0" borderId="7" xfId="0" applyNumberFormat="1" applyFont="1" applyFill="1" applyBorder="1" applyAlignment="1">
      <alignment horizontal="center"/>
    </xf>
    <xf numFmtId="164" fontId="21" fillId="0" borderId="11" xfId="0" applyNumberFormat="1" applyFont="1" applyFill="1" applyBorder="1" applyAlignment="1">
      <alignment horizontal="center"/>
    </xf>
    <xf numFmtId="164" fontId="21" fillId="0" borderId="0" xfId="0" applyNumberFormat="1" applyFont="1" applyFill="1" applyBorder="1" applyAlignment="1">
      <alignment horizontal="left"/>
    </xf>
    <xf numFmtId="164" fontId="21" fillId="0" borderId="10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left"/>
    </xf>
    <xf numFmtId="2" fontId="21" fillId="0" borderId="10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right"/>
    </xf>
    <xf numFmtId="0" fontId="16" fillId="0" borderId="4" xfId="0" applyFont="1" applyFill="1" applyBorder="1" applyAlignment="1">
      <alignment horizontal="center" wrapText="1"/>
    </xf>
    <xf numFmtId="0" fontId="16" fillId="0" borderId="9" xfId="0" applyFont="1" applyFill="1" applyBorder="1" applyAlignment="1">
      <alignment horizontal="center" wrapText="1"/>
    </xf>
    <xf numFmtId="0" fontId="16" fillId="0" borderId="19" xfId="0" applyFont="1" applyFill="1" applyBorder="1" applyAlignment="1">
      <alignment horizontal="center"/>
    </xf>
    <xf numFmtId="1" fontId="16" fillId="0" borderId="0" xfId="0" applyNumberFormat="1" applyFont="1" applyFill="1" applyBorder="1"/>
    <xf numFmtId="2" fontId="16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8" fillId="0" borderId="0" xfId="0" applyFont="1" applyFill="1" applyBorder="1" applyAlignment="1"/>
    <xf numFmtId="0" fontId="18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wrapText="1"/>
    </xf>
    <xf numFmtId="164" fontId="21" fillId="0" borderId="6" xfId="0" applyNumberFormat="1" applyFont="1" applyFill="1" applyBorder="1" applyAlignment="1"/>
    <xf numFmtId="0" fontId="26" fillId="0" borderId="0" xfId="0" applyFont="1" applyFill="1" applyAlignment="1"/>
    <xf numFmtId="0" fontId="18" fillId="0" borderId="6" xfId="0" applyFont="1" applyFill="1" applyBorder="1" applyAlignment="1">
      <alignment horizontal="center" vertical="center"/>
    </xf>
    <xf numFmtId="0" fontId="21" fillId="0" borderId="12" xfId="0" applyFont="1" applyFill="1" applyBorder="1" applyAlignment="1"/>
    <xf numFmtId="0" fontId="23" fillId="0" borderId="12" xfId="0" applyFont="1" applyFill="1" applyBorder="1" applyAlignment="1">
      <alignment horizontal="center"/>
    </xf>
    <xf numFmtId="0" fontId="21" fillId="0" borderId="13" xfId="0" applyFont="1" applyFill="1" applyBorder="1" applyAlignment="1">
      <alignment horizontal="center"/>
    </xf>
    <xf numFmtId="165" fontId="21" fillId="0" borderId="12" xfId="0" applyNumberFormat="1" applyFont="1" applyFill="1" applyBorder="1" applyAlignment="1"/>
    <xf numFmtId="0" fontId="23" fillId="0" borderId="0" xfId="0" applyFont="1" applyFill="1" applyAlignment="1">
      <alignment horizontal="center"/>
    </xf>
    <xf numFmtId="165" fontId="21" fillId="0" borderId="0" xfId="0" applyNumberFormat="1" applyFont="1" applyFill="1" applyBorder="1" applyAlignment="1"/>
    <xf numFmtId="0" fontId="23" fillId="0" borderId="10" xfId="0" applyFont="1" applyFill="1" applyBorder="1" applyAlignment="1">
      <alignment horizontal="center"/>
    </xf>
    <xf numFmtId="165" fontId="21" fillId="0" borderId="10" xfId="0" applyNumberFormat="1" applyFont="1" applyFill="1" applyBorder="1" applyAlignment="1"/>
    <xf numFmtId="0" fontId="21" fillId="0" borderId="28" xfId="0" applyFont="1" applyFill="1" applyBorder="1" applyAlignment="1"/>
    <xf numFmtId="0" fontId="21" fillId="0" borderId="29" xfId="0" applyFont="1" applyFill="1" applyBorder="1" applyAlignment="1"/>
    <xf numFmtId="2" fontId="21" fillId="0" borderId="6" xfId="0" applyNumberFormat="1" applyFont="1" applyFill="1" applyBorder="1" applyAlignment="1"/>
    <xf numFmtId="165" fontId="21" fillId="0" borderId="6" xfId="0" applyNumberFormat="1" applyFont="1" applyFill="1" applyBorder="1" applyAlignment="1"/>
    <xf numFmtId="0" fontId="21" fillId="0" borderId="12" xfId="0" applyFont="1" applyFill="1" applyBorder="1" applyAlignment="1">
      <alignment horizontal="center"/>
    </xf>
    <xf numFmtId="2" fontId="21" fillId="0" borderId="12" xfId="0" applyNumberFormat="1" applyFont="1" applyFill="1" applyBorder="1" applyAlignment="1"/>
    <xf numFmtId="2" fontId="21" fillId="0" borderId="1" xfId="0" applyNumberFormat="1" applyFont="1" applyFill="1" applyBorder="1" applyAlignment="1">
      <alignment horizontal="left"/>
    </xf>
    <xf numFmtId="164" fontId="21" fillId="0" borderId="12" xfId="0" applyNumberFormat="1" applyFont="1" applyFill="1" applyBorder="1" applyAlignment="1"/>
    <xf numFmtId="164" fontId="21" fillId="0" borderId="12" xfId="0" applyNumberFormat="1" applyFont="1" applyFill="1" applyBorder="1" applyAlignment="1">
      <alignment horizontal="center"/>
    </xf>
    <xf numFmtId="0" fontId="21" fillId="0" borderId="5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31" xfId="0" applyFont="1" applyFill="1" applyBorder="1" applyAlignment="1">
      <alignment horizontal="center"/>
    </xf>
    <xf numFmtId="2" fontId="21" fillId="0" borderId="5" xfId="0" applyNumberFormat="1" applyFont="1" applyFill="1" applyBorder="1" applyAlignment="1"/>
    <xf numFmtId="164" fontId="16" fillId="0" borderId="5" xfId="0" applyNumberFormat="1" applyFont="1" applyFill="1" applyBorder="1" applyAlignment="1"/>
    <xf numFmtId="0" fontId="16" fillId="0" borderId="5" xfId="0" applyFont="1" applyFill="1" applyBorder="1" applyAlignment="1"/>
    <xf numFmtId="167" fontId="16" fillId="0" borderId="5" xfId="0" applyNumberFormat="1" applyFont="1" applyFill="1" applyBorder="1" applyAlignment="1"/>
    <xf numFmtId="164" fontId="16" fillId="0" borderId="21" xfId="0" applyNumberFormat="1" applyFont="1" applyFill="1" applyBorder="1" applyAlignment="1"/>
    <xf numFmtId="0" fontId="16" fillId="0" borderId="21" xfId="0" applyFont="1" applyFill="1" applyBorder="1" applyAlignment="1"/>
  </cellXfs>
  <cellStyles count="7">
    <cellStyle name="Accent2" xfId="1" builtinId="33"/>
    <cellStyle name="Good" xfId="2" builtinId="26"/>
    <cellStyle name="Normal" xfId="0" builtinId="0"/>
    <cellStyle name="Normal 10" xfId="4" xr:uid="{1850F31B-045B-41DF-8464-7B1983B73B53}"/>
    <cellStyle name="Normal 2" xfId="5" xr:uid="{72F9D63E-EA89-448B-B0CF-4DE28F530ABF}"/>
    <cellStyle name="Normal 4 2" xfId="3" xr:uid="{569CCB00-0D21-4209-8F5D-2BE2A88D9DFE}"/>
    <cellStyle name="Normal_SUBRES_B-NTech-BE" xfId="6" xr:uid="{81C0E0DB-8E7F-483E-951C-36733365F73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RES_Indus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D_IST"/>
      <sheetName val="IND_NFM"/>
      <sheetName val="IND_NMM"/>
      <sheetName val="IND_FBT"/>
      <sheetName val="IND_PCH"/>
      <sheetName val="IND_MIQ"/>
      <sheetName val="IND_CON"/>
      <sheetName val="IND_OTH"/>
      <sheetName val="IND_NED"/>
      <sheetName val="IND_CCS"/>
      <sheetName val="Commodities"/>
      <sheetName val="Gener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>
        <row r="1">
          <cell r="F1">
            <v>2017</v>
          </cell>
        </row>
        <row r="2">
          <cell r="F2">
            <v>2050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52"/>
  <sheetViews>
    <sheetView tabSelected="1" zoomScale="70" zoomScaleNormal="70" workbookViewId="0">
      <selection sqref="A1:XFD1048576"/>
    </sheetView>
  </sheetViews>
  <sheetFormatPr defaultColWidth="9.109375" defaultRowHeight="13.2" x14ac:dyDescent="0.25"/>
  <cols>
    <col min="1" max="1" width="4.44140625" style="33" customWidth="1"/>
    <col min="2" max="2" width="29.44140625" style="33" customWidth="1"/>
    <col min="3" max="3" width="77.44140625" style="33" customWidth="1"/>
    <col min="4" max="4" width="35.88671875" style="33" customWidth="1"/>
    <col min="5" max="6" width="15.88671875" style="33" customWidth="1"/>
    <col min="7" max="7" width="15.109375" style="33" customWidth="1"/>
    <col min="8" max="8" width="14.88671875" style="33" bestFit="1" customWidth="1"/>
    <col min="9" max="9" width="11.44140625" style="33" customWidth="1"/>
    <col min="10" max="10" width="12" style="33" customWidth="1"/>
    <col min="11" max="11" width="23" style="33" customWidth="1"/>
    <col min="12" max="12" width="20" style="33" customWidth="1"/>
    <col min="13" max="13" width="15.6640625" style="33" bestFit="1" customWidth="1"/>
    <col min="14" max="14" width="18.109375" style="33" bestFit="1" customWidth="1"/>
    <col min="15" max="15" width="17.33203125" style="33" bestFit="1" customWidth="1"/>
    <col min="16" max="16" width="4.5546875" style="33" customWidth="1"/>
    <col min="17" max="17" width="13.88671875" style="33" customWidth="1"/>
    <col min="18" max="18" width="24.5546875" style="33" bestFit="1" customWidth="1"/>
    <col min="19" max="19" width="25.109375" style="33" customWidth="1"/>
    <col min="20" max="20" width="41.5546875" style="33" customWidth="1"/>
    <col min="21" max="21" width="27.6640625" style="34" customWidth="1"/>
    <col min="22" max="22" width="60.33203125" style="33" customWidth="1"/>
    <col min="23" max="23" width="8.109375" style="33" customWidth="1"/>
    <col min="24" max="24" width="11.6640625" style="33" customWidth="1"/>
    <col min="25" max="25" width="17" style="33" bestFit="1" customWidth="1"/>
    <col min="26" max="26" width="9.109375" style="33"/>
    <col min="27" max="27" width="20.5546875" style="33" bestFit="1" customWidth="1"/>
    <col min="28" max="28" width="5.44140625" style="33" customWidth="1"/>
    <col min="29" max="16384" width="9.109375" style="33"/>
  </cols>
  <sheetData>
    <row r="1" spans="1:27" x14ac:dyDescent="0.25">
      <c r="U1" s="33"/>
      <c r="V1" s="34"/>
    </row>
    <row r="2" spans="1:27" ht="17.399999999999999" x14ac:dyDescent="0.3">
      <c r="A2" s="51"/>
      <c r="B2" s="51" t="s">
        <v>51</v>
      </c>
      <c r="C2" s="51"/>
      <c r="D2" s="51"/>
      <c r="U2" s="33"/>
      <c r="V2" s="34"/>
    </row>
    <row r="3" spans="1:27" ht="15.6" x14ac:dyDescent="0.3">
      <c r="B3" s="162"/>
      <c r="U3" s="33"/>
      <c r="V3" s="34"/>
    </row>
    <row r="4" spans="1:27" ht="15.6" x14ac:dyDescent="0.3">
      <c r="B4" s="162"/>
      <c r="U4" s="33"/>
      <c r="V4" s="34"/>
    </row>
    <row r="5" spans="1:27" x14ac:dyDescent="0.25">
      <c r="D5" s="34"/>
      <c r="E5" s="161"/>
      <c r="F5" s="161"/>
      <c r="G5" s="163"/>
      <c r="H5" s="163"/>
      <c r="U5" s="33"/>
      <c r="W5" s="34"/>
    </row>
    <row r="6" spans="1:27" ht="17.399999999999999" x14ac:dyDescent="0.3">
      <c r="B6" s="51" t="s">
        <v>727</v>
      </c>
      <c r="C6" s="51"/>
      <c r="D6" s="34"/>
      <c r="F6" s="163" t="s">
        <v>0</v>
      </c>
      <c r="G6" s="163"/>
      <c r="H6" s="163"/>
      <c r="O6" s="180"/>
      <c r="T6" s="16" t="s">
        <v>7</v>
      </c>
      <c r="U6" s="115"/>
      <c r="V6" s="115"/>
      <c r="W6" s="58"/>
      <c r="X6" s="115"/>
      <c r="Y6" s="115"/>
      <c r="Z6" s="115"/>
      <c r="AA6" s="115"/>
    </row>
    <row r="7" spans="1:27" x14ac:dyDescent="0.25">
      <c r="B7" s="164" t="s">
        <v>1</v>
      </c>
      <c r="C7" s="164" t="s">
        <v>61</v>
      </c>
      <c r="D7" s="61" t="s">
        <v>3</v>
      </c>
      <c r="E7" s="61" t="s">
        <v>4</v>
      </c>
      <c r="F7" s="165" t="s">
        <v>62</v>
      </c>
      <c r="G7" s="164" t="s">
        <v>15</v>
      </c>
      <c r="H7" s="61" t="s">
        <v>53</v>
      </c>
      <c r="I7" s="61" t="s">
        <v>54</v>
      </c>
      <c r="J7" s="61" t="s">
        <v>41</v>
      </c>
      <c r="K7" s="62" t="s">
        <v>724</v>
      </c>
      <c r="L7" s="61" t="s">
        <v>47</v>
      </c>
      <c r="M7" s="61" t="s">
        <v>5</v>
      </c>
      <c r="N7" s="61" t="s">
        <v>42</v>
      </c>
      <c r="O7" s="61" t="s">
        <v>734</v>
      </c>
      <c r="Q7" s="245" t="s">
        <v>52</v>
      </c>
      <c r="R7" s="245"/>
      <c r="T7" s="120" t="s">
        <v>8</v>
      </c>
      <c r="U7" s="120" t="s">
        <v>6</v>
      </c>
      <c r="V7" s="120" t="s">
        <v>9</v>
      </c>
      <c r="W7" s="64" t="s">
        <v>10</v>
      </c>
      <c r="X7" s="24" t="s">
        <v>11</v>
      </c>
      <c r="Y7" s="24" t="s">
        <v>12</v>
      </c>
      <c r="Z7" s="24" t="s">
        <v>13</v>
      </c>
      <c r="AA7" s="24" t="s">
        <v>14</v>
      </c>
    </row>
    <row r="8" spans="1:27" ht="13.5" customHeight="1" thickBot="1" x14ac:dyDescent="0.3">
      <c r="B8" s="167" t="s">
        <v>38</v>
      </c>
      <c r="C8" s="67" t="s">
        <v>32</v>
      </c>
      <c r="D8" s="67" t="s">
        <v>39</v>
      </c>
      <c r="E8" s="67" t="s">
        <v>40</v>
      </c>
      <c r="F8" s="168"/>
      <c r="G8" s="67" t="s">
        <v>46</v>
      </c>
      <c r="H8" s="67" t="s">
        <v>43</v>
      </c>
      <c r="I8" s="67" t="s">
        <v>44</v>
      </c>
      <c r="J8" s="67" t="s">
        <v>45</v>
      </c>
      <c r="K8" s="169" t="s">
        <v>725</v>
      </c>
      <c r="L8" s="67" t="s">
        <v>48</v>
      </c>
      <c r="M8" s="67" t="s">
        <v>49</v>
      </c>
      <c r="N8" s="67" t="s">
        <v>50</v>
      </c>
      <c r="O8" s="67" t="s">
        <v>735</v>
      </c>
      <c r="T8" s="31" t="s">
        <v>23</v>
      </c>
      <c r="U8" s="31" t="s">
        <v>24</v>
      </c>
      <c r="V8" s="31" t="s">
        <v>25</v>
      </c>
      <c r="W8" s="69" t="s">
        <v>10</v>
      </c>
      <c r="X8" s="31" t="s">
        <v>26</v>
      </c>
      <c r="Y8" s="31" t="s">
        <v>27</v>
      </c>
      <c r="Z8" s="31" t="s">
        <v>28</v>
      </c>
      <c r="AA8" s="31" t="s">
        <v>29</v>
      </c>
    </row>
    <row r="9" spans="1:27" ht="17.25" customHeight="1" thickBot="1" x14ac:dyDescent="0.3">
      <c r="B9" s="170" t="s">
        <v>71</v>
      </c>
      <c r="C9" s="170"/>
      <c r="D9" s="170"/>
      <c r="E9" s="67"/>
      <c r="F9" s="222"/>
      <c r="G9" s="170"/>
      <c r="H9" s="169" t="s">
        <v>72</v>
      </c>
      <c r="I9" s="170"/>
      <c r="J9" s="170"/>
      <c r="K9" s="170" t="str">
        <f>General!$D$13</f>
        <v>Years</v>
      </c>
      <c r="L9" s="170" t="str">
        <f>General!$D$21</f>
        <v>M$/(PJ/year)</v>
      </c>
      <c r="M9" s="170" t="str">
        <f>General!$D$11</f>
        <v>M$/PJa</v>
      </c>
      <c r="N9" s="170" t="str">
        <f>General!$D$12</f>
        <v>M$/PJ</v>
      </c>
      <c r="O9" s="170"/>
      <c r="Q9" s="175" t="s">
        <v>56</v>
      </c>
      <c r="R9" s="175"/>
      <c r="T9" s="115" t="s">
        <v>58</v>
      </c>
      <c r="U9" s="115" t="s">
        <v>63</v>
      </c>
      <c r="V9" s="115" t="s">
        <v>827</v>
      </c>
      <c r="W9" s="58" t="str">
        <f>General!$B$2</f>
        <v>PJ</v>
      </c>
      <c r="X9" s="115"/>
      <c r="Y9" s="115"/>
      <c r="Z9" s="115"/>
      <c r="AA9" s="115"/>
    </row>
    <row r="10" spans="1:27" ht="14.4" x14ac:dyDescent="0.3">
      <c r="B10" s="246" t="str">
        <f>U24</f>
        <v>SPRSYNH2GCELE01</v>
      </c>
      <c r="C10" s="246" t="str">
        <f>V24</f>
        <v xml:space="preserve">H2 Electrolyser Centralised </v>
      </c>
      <c r="D10" s="247" t="s">
        <v>1058</v>
      </c>
      <c r="F10" s="248">
        <f>G10</f>
        <v>2030</v>
      </c>
      <c r="G10" s="246">
        <v>2030</v>
      </c>
      <c r="H10" s="246">
        <v>1.43</v>
      </c>
      <c r="I10" s="246"/>
      <c r="J10" s="246">
        <v>0.9</v>
      </c>
      <c r="K10" s="246">
        <v>10</v>
      </c>
      <c r="L10" s="249">
        <f>21.88*(1/0.9)</f>
        <v>24.31111111111111</v>
      </c>
      <c r="M10" s="249">
        <f>0.44*(1/0.9)</f>
        <v>0.48888888888888893</v>
      </c>
      <c r="N10" s="249"/>
      <c r="O10" s="246">
        <v>1</v>
      </c>
      <c r="Q10" s="175" t="s">
        <v>69</v>
      </c>
      <c r="R10" s="175"/>
      <c r="T10" s="115"/>
      <c r="U10" s="115" t="s">
        <v>64</v>
      </c>
      <c r="V10" s="115" t="s">
        <v>828</v>
      </c>
      <c r="W10" s="58" t="str">
        <f>General!$B$2</f>
        <v>PJ</v>
      </c>
      <c r="X10" s="115"/>
      <c r="Y10" s="115"/>
      <c r="Z10" s="115"/>
      <c r="AA10" s="115"/>
    </row>
    <row r="11" spans="1:27" ht="14.4" x14ac:dyDescent="0.3">
      <c r="B11" s="181"/>
      <c r="C11" s="181"/>
      <c r="D11" s="250" t="s">
        <v>1058</v>
      </c>
      <c r="E11" s="105"/>
      <c r="F11" s="110">
        <v>2035</v>
      </c>
      <c r="G11" s="181"/>
      <c r="H11" s="181">
        <v>1.3</v>
      </c>
      <c r="I11" s="181"/>
      <c r="J11" s="181">
        <v>0.9</v>
      </c>
      <c r="K11" s="181"/>
      <c r="L11" s="251">
        <f>16.17*(1/0.9)</f>
        <v>17.966666666666669</v>
      </c>
      <c r="M11" s="251">
        <f>0.32*(1/0.9)</f>
        <v>0.35555555555555557</v>
      </c>
      <c r="N11" s="251"/>
      <c r="O11" s="181"/>
      <c r="T11" s="115"/>
      <c r="U11" s="115" t="s">
        <v>59</v>
      </c>
      <c r="V11" s="115" t="s">
        <v>829</v>
      </c>
      <c r="W11" s="58" t="str">
        <f>General!$B$2</f>
        <v>PJ</v>
      </c>
      <c r="X11" s="115"/>
      <c r="Y11" s="115"/>
      <c r="Z11" s="115"/>
      <c r="AA11" s="115"/>
    </row>
    <row r="12" spans="1:27" ht="14.4" x14ac:dyDescent="0.3">
      <c r="B12" s="184"/>
      <c r="C12" s="184"/>
      <c r="D12" s="252"/>
      <c r="E12" s="185" t="str">
        <f>$U$9</f>
        <v>SYNH2GC</v>
      </c>
      <c r="F12" s="125"/>
      <c r="G12" s="184"/>
      <c r="H12" s="184"/>
      <c r="I12" s="184">
        <v>1</v>
      </c>
      <c r="J12" s="184"/>
      <c r="K12" s="184"/>
      <c r="L12" s="253"/>
      <c r="M12" s="253"/>
      <c r="N12" s="253"/>
      <c r="O12" s="184"/>
      <c r="T12" s="115"/>
      <c r="U12" s="115" t="s">
        <v>65</v>
      </c>
      <c r="V12" s="115" t="s">
        <v>838</v>
      </c>
      <c r="W12" s="58" t="str">
        <f>General!$B$2</f>
        <v>PJ</v>
      </c>
      <c r="X12" s="115"/>
      <c r="Y12" s="115"/>
      <c r="Z12" s="115"/>
      <c r="AA12" s="115"/>
    </row>
    <row r="13" spans="1:27" ht="14.4" x14ac:dyDescent="0.3">
      <c r="B13" s="181" t="str">
        <f>U25</f>
        <v>SPRSYNH2GCHTS01</v>
      </c>
      <c r="C13" s="181" t="str">
        <f>V25</f>
        <v xml:space="preserve">H2 HT Steam Electrolyser Centralised </v>
      </c>
      <c r="D13" s="250" t="str">
        <f>D11</f>
        <v>ELCHIG5</v>
      </c>
      <c r="E13" s="225"/>
      <c r="F13" s="110">
        <f>G13</f>
        <v>2040</v>
      </c>
      <c r="G13" s="181">
        <v>2040</v>
      </c>
      <c r="H13" s="181">
        <v>1.07</v>
      </c>
      <c r="I13" s="181"/>
      <c r="J13" s="181">
        <v>0.9</v>
      </c>
      <c r="K13" s="181">
        <v>10</v>
      </c>
      <c r="L13" s="251">
        <f>40.27*(1/0.9)</f>
        <v>44.744444444444447</v>
      </c>
      <c r="M13" s="251">
        <f>0.81*(1/0.9)</f>
        <v>0.90000000000000013</v>
      </c>
      <c r="N13" s="251"/>
      <c r="O13" s="181">
        <v>1</v>
      </c>
      <c r="T13" s="115"/>
      <c r="U13" s="115" t="s">
        <v>67</v>
      </c>
      <c r="V13" s="115" t="s">
        <v>839</v>
      </c>
      <c r="W13" s="58" t="str">
        <f>General!$B$2</f>
        <v>PJ</v>
      </c>
      <c r="X13" s="115"/>
      <c r="Y13" s="115"/>
      <c r="Z13" s="115"/>
      <c r="AA13" s="115"/>
    </row>
    <row r="14" spans="1:27" ht="13.8" x14ac:dyDescent="0.25">
      <c r="B14" s="181"/>
      <c r="C14" s="181"/>
      <c r="D14" s="105" t="s">
        <v>1025</v>
      </c>
      <c r="E14" s="105"/>
      <c r="F14" s="110">
        <v>2040</v>
      </c>
      <c r="G14" s="181"/>
      <c r="H14" s="181">
        <v>0.2</v>
      </c>
      <c r="I14" s="181"/>
      <c r="J14" s="181"/>
      <c r="K14" s="181"/>
      <c r="L14" s="251"/>
      <c r="M14" s="251"/>
      <c r="N14" s="251"/>
      <c r="O14" s="181"/>
      <c r="T14" s="115"/>
      <c r="U14" s="115" t="s">
        <v>1031</v>
      </c>
      <c r="V14" s="115" t="s">
        <v>1032</v>
      </c>
      <c r="W14" s="58" t="str">
        <f>General!$B$2</f>
        <v>PJ</v>
      </c>
      <c r="X14" s="115"/>
      <c r="Y14" s="115"/>
      <c r="Z14" s="115"/>
      <c r="AA14" s="115"/>
    </row>
    <row r="15" spans="1:27" ht="13.8" x14ac:dyDescent="0.25">
      <c r="B15" s="184"/>
      <c r="C15" s="184"/>
      <c r="D15" s="185"/>
      <c r="E15" s="185" t="str">
        <f>$U$9</f>
        <v>SYNH2GC</v>
      </c>
      <c r="F15" s="125"/>
      <c r="G15" s="184"/>
      <c r="H15" s="184"/>
      <c r="I15" s="184">
        <v>1</v>
      </c>
      <c r="J15" s="184"/>
      <c r="K15" s="184"/>
      <c r="L15" s="253"/>
      <c r="M15" s="253"/>
      <c r="N15" s="253"/>
      <c r="O15" s="184"/>
      <c r="T15" s="115"/>
      <c r="U15" s="115" t="s">
        <v>1034</v>
      </c>
      <c r="V15" s="115" t="s">
        <v>1035</v>
      </c>
      <c r="W15" s="58" t="str">
        <f>General!$B$2</f>
        <v>PJ</v>
      </c>
      <c r="X15" s="115"/>
      <c r="Y15" s="115"/>
      <c r="Z15" s="115"/>
      <c r="AA15" s="115"/>
    </row>
    <row r="16" spans="1:27" ht="13.8" x14ac:dyDescent="0.25">
      <c r="B16" s="181" t="str">
        <f>U26</f>
        <v>SPRSYNH2GCSMR01</v>
      </c>
      <c r="C16" s="181" t="str">
        <f>V26</f>
        <v xml:space="preserve">H2 SMR Centralised </v>
      </c>
      <c r="D16" s="105" t="s">
        <v>811</v>
      </c>
      <c r="E16" s="225"/>
      <c r="F16" s="110">
        <f>G16</f>
        <v>2030</v>
      </c>
      <c r="G16" s="181">
        <v>2030</v>
      </c>
      <c r="H16" s="181">
        <v>1.35</v>
      </c>
      <c r="I16" s="181"/>
      <c r="J16" s="181">
        <v>0.9</v>
      </c>
      <c r="K16" s="181">
        <v>10</v>
      </c>
      <c r="L16" s="251">
        <f>10.62*(1/0.9)</f>
        <v>11.799999999999999</v>
      </c>
      <c r="M16" s="251">
        <f>0.53*(1/0.9)</f>
        <v>0.58888888888888891</v>
      </c>
      <c r="N16" s="251">
        <f>0.51*(1/0.9)</f>
        <v>0.56666666666666665</v>
      </c>
      <c r="O16" s="181">
        <v>1</v>
      </c>
      <c r="T16" s="115"/>
      <c r="U16" s="115" t="s">
        <v>1063</v>
      </c>
      <c r="V16" s="115" t="s">
        <v>1062</v>
      </c>
      <c r="W16" s="58" t="str">
        <f>General!$B$2</f>
        <v>PJ</v>
      </c>
      <c r="X16" s="115"/>
      <c r="Y16" s="115"/>
      <c r="Z16" s="115"/>
      <c r="AA16" s="115"/>
    </row>
    <row r="17" spans="2:27" ht="13.8" x14ac:dyDescent="0.25">
      <c r="B17" s="181"/>
      <c r="C17" s="181"/>
      <c r="D17" s="105" t="str">
        <f>D16</f>
        <v>GASNAT_HP</v>
      </c>
      <c r="E17" s="105"/>
      <c r="F17" s="110">
        <v>2035</v>
      </c>
      <c r="G17" s="181"/>
      <c r="H17" s="181">
        <v>1.28</v>
      </c>
      <c r="I17" s="181"/>
      <c r="J17" s="181">
        <v>0.9</v>
      </c>
      <c r="K17" s="181"/>
      <c r="L17" s="251">
        <f>L16</f>
        <v>11.799999999999999</v>
      </c>
      <c r="M17" s="251">
        <f>0.38*(1/0.9)</f>
        <v>0.42222222222222222</v>
      </c>
      <c r="N17" s="251">
        <f>0.51*(1/0.9)</f>
        <v>0.56666666666666665</v>
      </c>
      <c r="O17" s="181"/>
      <c r="U17" s="33"/>
      <c r="W17" s="34"/>
    </row>
    <row r="18" spans="2:27" ht="13.8" x14ac:dyDescent="0.25">
      <c r="B18" s="184"/>
      <c r="C18" s="184"/>
      <c r="D18" s="185"/>
      <c r="E18" s="185" t="str">
        <f>$U$9</f>
        <v>SYNH2GC</v>
      </c>
      <c r="F18" s="125"/>
      <c r="G18" s="184"/>
      <c r="H18" s="184"/>
      <c r="I18" s="184">
        <v>1</v>
      </c>
      <c r="J18" s="184"/>
      <c r="K18" s="184"/>
      <c r="L18" s="253"/>
      <c r="M18" s="253"/>
      <c r="N18" s="253"/>
      <c r="O18" s="184"/>
      <c r="U18" s="33"/>
      <c r="W18" s="34"/>
    </row>
    <row r="19" spans="2:27" ht="13.8" x14ac:dyDescent="0.25">
      <c r="B19" s="181" t="str">
        <f>U27</f>
        <v>SPRSYNH2GDELE02</v>
      </c>
      <c r="C19" s="181" t="str">
        <f>V27</f>
        <v xml:space="preserve">H2 Electrolyser De-centralised </v>
      </c>
      <c r="D19" s="105" t="s">
        <v>55</v>
      </c>
      <c r="E19" s="225"/>
      <c r="F19" s="110">
        <f>G19</f>
        <v>2030</v>
      </c>
      <c r="G19" s="181">
        <v>2030</v>
      </c>
      <c r="H19" s="181">
        <v>1.43</v>
      </c>
      <c r="I19" s="181"/>
      <c r="J19" s="181">
        <v>0.9</v>
      </c>
      <c r="K19" s="181">
        <v>10</v>
      </c>
      <c r="L19" s="251">
        <f>27.27*(1/0.9)</f>
        <v>30.3</v>
      </c>
      <c r="M19" s="251">
        <f>0.55*(1/0.9)</f>
        <v>0.61111111111111116</v>
      </c>
      <c r="N19" s="251"/>
      <c r="O19" s="181">
        <v>1</v>
      </c>
      <c r="U19" s="33"/>
      <c r="W19" s="34"/>
    </row>
    <row r="20" spans="2:27" ht="13.8" x14ac:dyDescent="0.25">
      <c r="B20" s="181"/>
      <c r="C20" s="181"/>
      <c r="D20" s="105" t="s">
        <v>55</v>
      </c>
      <c r="E20" s="105"/>
      <c r="F20" s="110">
        <v>2035</v>
      </c>
      <c r="G20" s="181"/>
      <c r="H20" s="181">
        <v>1.3</v>
      </c>
      <c r="I20" s="181"/>
      <c r="J20" s="181">
        <v>0.9</v>
      </c>
      <c r="K20" s="181"/>
      <c r="L20" s="251">
        <f>20.29*(1/0.9)</f>
        <v>22.544444444444444</v>
      </c>
      <c r="M20" s="251">
        <f>0.41*(1/0.9)</f>
        <v>0.45555555555555555</v>
      </c>
      <c r="N20" s="251"/>
      <c r="O20" s="181"/>
      <c r="U20" s="33"/>
      <c r="W20" s="34"/>
    </row>
    <row r="21" spans="2:27" ht="13.8" x14ac:dyDescent="0.25">
      <c r="B21" s="184"/>
      <c r="C21" s="184"/>
      <c r="D21" s="185"/>
      <c r="E21" s="185" t="str">
        <f>$U$10</f>
        <v>SYNH2GD</v>
      </c>
      <c r="F21" s="125"/>
      <c r="G21" s="184"/>
      <c r="H21" s="184"/>
      <c r="I21" s="184">
        <v>1</v>
      </c>
      <c r="J21" s="184"/>
      <c r="K21" s="184"/>
      <c r="L21" s="253"/>
      <c r="M21" s="253"/>
      <c r="N21" s="253"/>
      <c r="O21" s="184"/>
      <c r="T21" s="16" t="s">
        <v>17</v>
      </c>
      <c r="U21" s="16"/>
      <c r="V21" s="115"/>
      <c r="W21" s="58"/>
      <c r="X21" s="115"/>
      <c r="Y21" s="115"/>
      <c r="Z21" s="115"/>
      <c r="AA21" s="115"/>
    </row>
    <row r="22" spans="2:27" ht="13.8" x14ac:dyDescent="0.25">
      <c r="B22" s="181" t="str">
        <f>U28</f>
        <v>SPRSYNH2GDSMR02</v>
      </c>
      <c r="C22" s="181" t="str">
        <f>V28</f>
        <v xml:space="preserve">H2 SMR De-centralised </v>
      </c>
      <c r="D22" s="105" t="s">
        <v>813</v>
      </c>
      <c r="E22" s="225"/>
      <c r="F22" s="110">
        <f>G22</f>
        <v>2030</v>
      </c>
      <c r="G22" s="181">
        <v>2030</v>
      </c>
      <c r="H22" s="181">
        <v>1.5</v>
      </c>
      <c r="I22" s="181"/>
      <c r="J22" s="181">
        <v>0.8</v>
      </c>
      <c r="K22" s="181">
        <v>10</v>
      </c>
      <c r="L22" s="251">
        <f>21.88*(1/0.9)</f>
        <v>24.31111111111111</v>
      </c>
      <c r="M22" s="251">
        <f>1.09*(1/0.9)</f>
        <v>1.2111111111111112</v>
      </c>
      <c r="N22" s="251">
        <f>0.51*(1/0.9)</f>
        <v>0.56666666666666665</v>
      </c>
      <c r="O22" s="181">
        <v>1</v>
      </c>
      <c r="T22" s="191" t="s">
        <v>16</v>
      </c>
      <c r="U22" s="191" t="s">
        <v>1</v>
      </c>
      <c r="V22" s="191" t="s">
        <v>2</v>
      </c>
      <c r="W22" s="192" t="s">
        <v>18</v>
      </c>
      <c r="X22" s="191" t="s">
        <v>19</v>
      </c>
      <c r="Y22" s="191" t="s">
        <v>20</v>
      </c>
      <c r="Z22" s="191" t="s">
        <v>21</v>
      </c>
      <c r="AA22" s="191" t="s">
        <v>22</v>
      </c>
    </row>
    <row r="23" spans="2:27" ht="14.4" thickBot="1" x14ac:dyDescent="0.3">
      <c r="B23" s="181"/>
      <c r="C23" s="181"/>
      <c r="D23" s="105" t="s">
        <v>813</v>
      </c>
      <c r="E23" s="105"/>
      <c r="F23" s="110">
        <v>2035</v>
      </c>
      <c r="G23" s="181"/>
      <c r="H23" s="181">
        <v>1.43</v>
      </c>
      <c r="I23" s="181"/>
      <c r="J23" s="181">
        <v>0.8</v>
      </c>
      <c r="K23" s="181"/>
      <c r="L23" s="251">
        <f>L22</f>
        <v>24.31111111111111</v>
      </c>
      <c r="M23" s="251">
        <f>0.78*(1/0.9)</f>
        <v>0.8666666666666667</v>
      </c>
      <c r="N23" s="251">
        <f>0.51*(1/0.9)</f>
        <v>0.56666666666666665</v>
      </c>
      <c r="O23" s="181"/>
      <c r="T23" s="32" t="s">
        <v>30</v>
      </c>
      <c r="U23" s="32" t="s">
        <v>31</v>
      </c>
      <c r="V23" s="32" t="s">
        <v>32</v>
      </c>
      <c r="W23" s="194" t="s">
        <v>33</v>
      </c>
      <c r="X23" s="32" t="s">
        <v>34</v>
      </c>
      <c r="Y23" s="32" t="s">
        <v>35</v>
      </c>
      <c r="Z23" s="32" t="s">
        <v>36</v>
      </c>
      <c r="AA23" s="32" t="s">
        <v>37</v>
      </c>
    </row>
    <row r="24" spans="2:27" ht="13.8" x14ac:dyDescent="0.25">
      <c r="B24" s="184"/>
      <c r="C24" s="184"/>
      <c r="D24" s="185"/>
      <c r="E24" s="185" t="str">
        <f>$U$10</f>
        <v>SYNH2GD</v>
      </c>
      <c r="F24" s="125"/>
      <c r="G24" s="184"/>
      <c r="H24" s="184"/>
      <c r="I24" s="184">
        <v>1</v>
      </c>
      <c r="J24" s="184"/>
      <c r="K24" s="184"/>
      <c r="L24" s="253"/>
      <c r="M24" s="253"/>
      <c r="N24" s="253"/>
      <c r="O24" s="184"/>
      <c r="T24" s="115" t="s">
        <v>60</v>
      </c>
      <c r="U24" s="115" t="str">
        <f>"SPR"&amp;U9&amp;"ELE01"</f>
        <v>SPRSYNH2GCELE01</v>
      </c>
      <c r="V24" s="115" t="s">
        <v>830</v>
      </c>
      <c r="W24" s="58" t="str">
        <f>General!$B$2</f>
        <v>PJ</v>
      </c>
      <c r="X24" s="58" t="str">
        <f>General!$B$3</f>
        <v>PJa</v>
      </c>
      <c r="Y24" s="115"/>
      <c r="Z24" s="115"/>
      <c r="AA24" s="115"/>
    </row>
    <row r="25" spans="2:27" ht="13.8" x14ac:dyDescent="0.25">
      <c r="B25" s="181" t="str">
        <f>U29</f>
        <v>STRSYNH2GCLQF02</v>
      </c>
      <c r="C25" s="181" t="str">
        <f>V29</f>
        <v xml:space="preserve">H2 Liquefaction </v>
      </c>
      <c r="D25" s="105" t="s">
        <v>63</v>
      </c>
      <c r="F25" s="105">
        <f>G25</f>
        <v>2035</v>
      </c>
      <c r="G25" s="254">
        <v>2035</v>
      </c>
      <c r="H25" s="181">
        <v>1</v>
      </c>
      <c r="I25" s="181"/>
      <c r="J25" s="181">
        <v>0.75</v>
      </c>
      <c r="K25" s="181">
        <v>10</v>
      </c>
      <c r="L25" s="251">
        <f>9.51*(1/0.9)</f>
        <v>10.566666666666666</v>
      </c>
      <c r="M25" s="251">
        <f>0.57*(1/0.9)</f>
        <v>0.6333333333333333</v>
      </c>
      <c r="N25" s="251"/>
      <c r="O25" s="181">
        <v>1</v>
      </c>
      <c r="Q25" s="180"/>
      <c r="R25" s="180"/>
      <c r="T25" s="115"/>
      <c r="U25" s="115" t="str">
        <f>"SPR"&amp;U9&amp;"HTS01"</f>
        <v>SPRSYNH2GCHTS01</v>
      </c>
      <c r="V25" s="115" t="s">
        <v>831</v>
      </c>
      <c r="W25" s="58" t="str">
        <f>General!$B$2</f>
        <v>PJ</v>
      </c>
      <c r="X25" s="58" t="str">
        <f>General!$B$3</f>
        <v>PJa</v>
      </c>
      <c r="Y25" s="115"/>
      <c r="Z25" s="115"/>
      <c r="AA25" s="115"/>
    </row>
    <row r="26" spans="2:27" ht="13.8" x14ac:dyDescent="0.25">
      <c r="B26" s="181"/>
      <c r="C26" s="181"/>
      <c r="D26" s="105" t="s">
        <v>55</v>
      </c>
      <c r="E26" s="105"/>
      <c r="F26" s="105">
        <v>2035</v>
      </c>
      <c r="G26" s="255"/>
      <c r="H26" s="181">
        <v>0.21</v>
      </c>
      <c r="I26" s="181"/>
      <c r="J26" s="181"/>
      <c r="K26" s="181"/>
      <c r="L26" s="251"/>
      <c r="M26" s="251"/>
      <c r="N26" s="251"/>
      <c r="O26" s="181"/>
      <c r="Q26" s="180"/>
      <c r="R26" s="180"/>
      <c r="T26" s="115"/>
      <c r="U26" s="115" t="str">
        <f>"SPR"&amp;U9&amp;"SMR01"</f>
        <v>SPRSYNH2GCSMR01</v>
      </c>
      <c r="V26" s="115" t="s">
        <v>832</v>
      </c>
      <c r="W26" s="58" t="str">
        <f>General!$B$2</f>
        <v>PJ</v>
      </c>
      <c r="X26" s="58" t="str">
        <f>General!$B$3</f>
        <v>PJa</v>
      </c>
      <c r="Y26" s="115"/>
      <c r="Z26" s="115"/>
      <c r="AA26" s="115"/>
    </row>
    <row r="27" spans="2:27" ht="13.8" x14ac:dyDescent="0.25">
      <c r="B27" s="184"/>
      <c r="C27" s="184"/>
      <c r="D27" s="185"/>
      <c r="E27" s="105" t="str">
        <f>U11</f>
        <v>SYNH2LQ</v>
      </c>
      <c r="F27" s="125"/>
      <c r="G27" s="184"/>
      <c r="H27" s="184"/>
      <c r="I27" s="184">
        <v>1</v>
      </c>
      <c r="J27" s="184"/>
      <c r="K27" s="184"/>
      <c r="L27" s="253"/>
      <c r="M27" s="253"/>
      <c r="N27" s="253"/>
      <c r="O27" s="184"/>
      <c r="Q27" s="180"/>
      <c r="R27" s="180"/>
      <c r="T27" s="115"/>
      <c r="U27" s="115" t="str">
        <f>"SPR"&amp;U10&amp;"ELE02"</f>
        <v>SPRSYNH2GDELE02</v>
      </c>
      <c r="V27" s="115" t="s">
        <v>833</v>
      </c>
      <c r="W27" s="58" t="str">
        <f>General!$B$2</f>
        <v>PJ</v>
      </c>
      <c r="X27" s="58" t="str">
        <f>General!$B$3</f>
        <v>PJa</v>
      </c>
      <c r="Y27" s="115"/>
      <c r="Z27" s="115"/>
      <c r="AA27" s="115"/>
    </row>
    <row r="28" spans="2:27" ht="13.8" x14ac:dyDescent="0.25">
      <c r="B28" s="131" t="str">
        <f>U30</f>
        <v>SPRHTHSYNH2_ST01</v>
      </c>
      <c r="C28" s="131" t="str">
        <f>V30</f>
        <v>Gas burner for HTH production for hydrogen</v>
      </c>
      <c r="D28" s="206" t="s">
        <v>235</v>
      </c>
      <c r="E28" s="206" t="s">
        <v>1025</v>
      </c>
      <c r="F28" s="92">
        <f>G28</f>
        <v>2030</v>
      </c>
      <c r="G28" s="131">
        <v>2030</v>
      </c>
      <c r="H28" s="256">
        <f>1/0.9</f>
        <v>1.1111111111111112</v>
      </c>
      <c r="I28" s="131">
        <v>1</v>
      </c>
      <c r="J28" s="131">
        <v>0.9</v>
      </c>
      <c r="K28" s="131">
        <v>25</v>
      </c>
      <c r="L28" s="257">
        <f>60*(1/0.9)</f>
        <v>66.666666666666671</v>
      </c>
      <c r="M28" s="257">
        <f>(L28*0.03)*(1/0.9)</f>
        <v>2.2222222222222223</v>
      </c>
      <c r="N28" s="257"/>
      <c r="O28" s="131">
        <v>31.536000000000001</v>
      </c>
      <c r="Q28" s="180"/>
      <c r="R28" s="180"/>
      <c r="T28" s="115"/>
      <c r="U28" s="115" t="str">
        <f>"SPR"&amp;U10&amp;"SMR02"</f>
        <v>SPRSYNH2GDSMR02</v>
      </c>
      <c r="V28" s="115" t="s">
        <v>834</v>
      </c>
      <c r="W28" s="58" t="str">
        <f>General!$B$2</f>
        <v>PJ</v>
      </c>
      <c r="X28" s="58" t="str">
        <f>General!$B$3</f>
        <v>PJa</v>
      </c>
      <c r="Y28" s="115"/>
      <c r="Z28" s="115"/>
      <c r="AA28" s="115"/>
    </row>
    <row r="29" spans="2:27" ht="14.25" customHeight="1" x14ac:dyDescent="0.25">
      <c r="O29" s="180"/>
      <c r="P29" s="180"/>
      <c r="Q29" s="180"/>
      <c r="R29" s="180"/>
      <c r="T29" s="115"/>
      <c r="U29" s="115" t="str">
        <f>"STR"&amp;U9&amp;"LQF02"</f>
        <v>STRSYNH2GCLQF02</v>
      </c>
      <c r="V29" s="115" t="s">
        <v>835</v>
      </c>
      <c r="W29" s="58" t="str">
        <f>General!$B$2</f>
        <v>PJ</v>
      </c>
      <c r="X29" s="58" t="str">
        <f>General!$B$3</f>
        <v>PJa</v>
      </c>
      <c r="Y29" s="115"/>
      <c r="Z29" s="115"/>
      <c r="AA29" s="115"/>
    </row>
    <row r="30" spans="2:27" x14ac:dyDescent="0.25">
      <c r="O30" s="180"/>
      <c r="P30" s="180"/>
      <c r="Q30" s="180"/>
      <c r="R30" s="180"/>
      <c r="T30" s="115"/>
      <c r="U30" s="115" t="s">
        <v>905</v>
      </c>
      <c r="V30" s="115" t="s">
        <v>906</v>
      </c>
      <c r="W30" s="58" t="str">
        <f>General!$B$2</f>
        <v>PJ</v>
      </c>
      <c r="X30" s="58" t="str">
        <f>General!$B$3</f>
        <v>PJa</v>
      </c>
      <c r="Y30" s="115"/>
      <c r="Z30" s="115"/>
      <c r="AA30" s="115"/>
    </row>
    <row r="31" spans="2:27" x14ac:dyDescent="0.25">
      <c r="O31" s="180"/>
      <c r="P31" s="180"/>
      <c r="Q31" s="180"/>
      <c r="R31" s="180"/>
      <c r="T31" s="115"/>
      <c r="U31" s="57" t="str">
        <f>"FT-"&amp;U12&amp;"N01"</f>
        <v>FT-ELEH2GN01</v>
      </c>
      <c r="V31" s="57" t="s">
        <v>840</v>
      </c>
      <c r="W31" s="58" t="str">
        <f>General!$B$2</f>
        <v>PJ</v>
      </c>
      <c r="X31" s="58" t="str">
        <f>General!$B$3</f>
        <v>PJa</v>
      </c>
      <c r="Y31" s="115"/>
      <c r="Z31" s="115"/>
      <c r="AA31" s="115"/>
    </row>
    <row r="32" spans="2:27" x14ac:dyDescent="0.25">
      <c r="O32" s="180"/>
      <c r="P32" s="180"/>
      <c r="Q32" s="180"/>
      <c r="R32" s="180"/>
      <c r="T32" s="58"/>
      <c r="U32" s="57" t="str">
        <f>"FT-TRA"&amp;RIGHT(U11,4)&amp;"N01"</f>
        <v>FT-TRAH2LQN01</v>
      </c>
      <c r="V32" s="57" t="s">
        <v>836</v>
      </c>
      <c r="W32" s="58" t="str">
        <f>General!$B$2</f>
        <v>PJ</v>
      </c>
      <c r="X32" s="58" t="str">
        <f>General!$B$3</f>
        <v>PJa</v>
      </c>
      <c r="Y32" s="115"/>
      <c r="Z32" s="115"/>
      <c r="AA32" s="115"/>
    </row>
    <row r="33" spans="2:27" x14ac:dyDescent="0.25">
      <c r="O33" s="180"/>
      <c r="P33" s="180"/>
      <c r="Q33" s="180"/>
      <c r="R33" s="180"/>
      <c r="T33" s="58"/>
      <c r="U33" s="57" t="str">
        <f>"FT-TRA"&amp;RIGHT(U9,4)&amp;"N01"</f>
        <v>FT-TRAH2GCN01</v>
      </c>
      <c r="V33" s="57" t="s">
        <v>841</v>
      </c>
      <c r="W33" s="58" t="str">
        <f>General!$B$2</f>
        <v>PJ</v>
      </c>
      <c r="X33" s="58" t="str">
        <f>General!$B$3</f>
        <v>PJa</v>
      </c>
      <c r="Y33" s="115"/>
      <c r="Z33" s="115"/>
      <c r="AA33" s="115"/>
    </row>
    <row r="34" spans="2:27" ht="17.399999999999999" x14ac:dyDescent="0.3">
      <c r="B34" s="51" t="s">
        <v>66</v>
      </c>
      <c r="C34" s="51"/>
      <c r="D34" s="34"/>
      <c r="F34" s="163" t="s">
        <v>0</v>
      </c>
      <c r="G34" s="163"/>
      <c r="H34" s="163"/>
      <c r="M34" s="180"/>
      <c r="N34" s="180"/>
      <c r="O34" s="180"/>
      <c r="P34" s="180"/>
      <c r="Q34" s="180"/>
      <c r="R34" s="180"/>
      <c r="T34" s="115"/>
      <c r="U34" s="57" t="str">
        <f>"FT-TRA"&amp;RIGHT(U10,4)&amp;"N01"</f>
        <v>FT-TRAH2GDN01</v>
      </c>
      <c r="V34" s="57" t="s">
        <v>837</v>
      </c>
      <c r="W34" s="58" t="str">
        <f>General!$B$2</f>
        <v>PJ</v>
      </c>
      <c r="X34" s="58" t="str">
        <f>General!$B$3</f>
        <v>PJa</v>
      </c>
      <c r="Y34" s="115"/>
      <c r="Z34" s="115"/>
      <c r="AA34" s="115"/>
    </row>
    <row r="35" spans="2:27" x14ac:dyDescent="0.25">
      <c r="B35" s="164" t="s">
        <v>1</v>
      </c>
      <c r="C35" s="164" t="s">
        <v>61</v>
      </c>
      <c r="D35" s="61" t="s">
        <v>3</v>
      </c>
      <c r="E35" s="61" t="s">
        <v>4</v>
      </c>
      <c r="F35" s="165" t="s">
        <v>62</v>
      </c>
      <c r="G35" s="164" t="s">
        <v>15</v>
      </c>
      <c r="H35" s="61" t="s">
        <v>53</v>
      </c>
      <c r="I35" s="61" t="s">
        <v>54</v>
      </c>
      <c r="J35" s="61" t="s">
        <v>41</v>
      </c>
      <c r="K35" s="62" t="s">
        <v>724</v>
      </c>
      <c r="L35" s="61" t="s">
        <v>42</v>
      </c>
      <c r="M35" s="61" t="s">
        <v>47</v>
      </c>
      <c r="O35" s="245" t="s">
        <v>52</v>
      </c>
      <c r="P35" s="180"/>
      <c r="Q35" s="180"/>
      <c r="R35" s="180"/>
      <c r="T35" s="115"/>
      <c r="U35" s="57" t="str">
        <f>"FT-"&amp;U14&amp;"N01"</f>
        <v>FT-INDH2GN01</v>
      </c>
      <c r="V35" s="57" t="s">
        <v>1033</v>
      </c>
      <c r="W35" s="58" t="str">
        <f>General!$B$2</f>
        <v>PJ</v>
      </c>
      <c r="X35" s="58" t="str">
        <f>General!$B$3</f>
        <v>PJa</v>
      </c>
      <c r="Y35" s="115"/>
      <c r="Z35" s="115"/>
      <c r="AA35" s="115"/>
    </row>
    <row r="36" spans="2:27" ht="27" thickBot="1" x14ac:dyDescent="0.3">
      <c r="B36" s="167" t="s">
        <v>38</v>
      </c>
      <c r="C36" s="67" t="s">
        <v>32</v>
      </c>
      <c r="D36" s="67" t="s">
        <v>39</v>
      </c>
      <c r="E36" s="67" t="s">
        <v>40</v>
      </c>
      <c r="F36" s="168"/>
      <c r="G36" s="67" t="s">
        <v>46</v>
      </c>
      <c r="H36" s="67" t="s">
        <v>43</v>
      </c>
      <c r="I36" s="67" t="s">
        <v>44</v>
      </c>
      <c r="J36" s="67" t="s">
        <v>45</v>
      </c>
      <c r="K36" s="169" t="s">
        <v>725</v>
      </c>
      <c r="L36" s="67" t="s">
        <v>50</v>
      </c>
      <c r="M36" s="67" t="s">
        <v>48</v>
      </c>
      <c r="P36" s="180"/>
      <c r="Q36" s="180"/>
      <c r="R36" s="180"/>
      <c r="T36" s="115"/>
      <c r="U36" s="57" t="str">
        <f>"FT-"&amp;U15&amp;"N01"</f>
        <v>FT-AGRH2GN01</v>
      </c>
      <c r="V36" s="57" t="s">
        <v>1036</v>
      </c>
      <c r="W36" s="58" t="str">
        <f>General!$B$2</f>
        <v>PJ</v>
      </c>
      <c r="X36" s="58" t="str">
        <f>General!$B$3</f>
        <v>PJa</v>
      </c>
      <c r="Y36" s="115"/>
      <c r="Z36" s="115"/>
      <c r="AA36" s="115"/>
    </row>
    <row r="37" spans="2:27" ht="13.8" thickBot="1" x14ac:dyDescent="0.3">
      <c r="B37" s="171" t="s">
        <v>71</v>
      </c>
      <c r="C37" s="170"/>
      <c r="D37" s="170"/>
      <c r="E37" s="170"/>
      <c r="F37" s="222"/>
      <c r="G37" s="170"/>
      <c r="H37" s="170"/>
      <c r="I37" s="170"/>
      <c r="J37" s="170"/>
      <c r="K37" s="170" t="str">
        <f>General!$D$13</f>
        <v>Years</v>
      </c>
      <c r="L37" s="170" t="str">
        <f>General!$D$12</f>
        <v>M$/PJ</v>
      </c>
      <c r="M37" s="170" t="str">
        <f>General!$D$21</f>
        <v>M$/(PJ/year)</v>
      </c>
      <c r="P37" s="180"/>
      <c r="Q37" s="180"/>
      <c r="R37" s="180"/>
      <c r="S37" s="34"/>
      <c r="T37" s="115" t="s">
        <v>1057</v>
      </c>
      <c r="U37" s="57" t="s">
        <v>1038</v>
      </c>
      <c r="V37" s="57" t="s">
        <v>1037</v>
      </c>
      <c r="W37" s="58" t="str">
        <f>General!$B$2</f>
        <v>PJ</v>
      </c>
      <c r="X37" s="58" t="str">
        <f>General!$B$3</f>
        <v>PJa</v>
      </c>
      <c r="Y37" s="115"/>
      <c r="Z37" s="115"/>
      <c r="AA37" s="115"/>
    </row>
    <row r="38" spans="2:27" ht="13.8" x14ac:dyDescent="0.25">
      <c r="B38" s="246" t="str">
        <f>U31</f>
        <v>FT-ELEH2GN01</v>
      </c>
      <c r="C38" s="246" t="str">
        <f>V31</f>
        <v xml:space="preserve">Fuel Tech -Hydrogen for Electricity (Gas) </v>
      </c>
      <c r="D38" s="258" t="s">
        <v>63</v>
      </c>
      <c r="E38" s="258" t="str">
        <f>U12</f>
        <v>ELEH2G</v>
      </c>
      <c r="F38" s="248">
        <f>G38</f>
        <v>2030</v>
      </c>
      <c r="G38" s="246">
        <v>2030</v>
      </c>
      <c r="H38" s="258">
        <v>1.02</v>
      </c>
      <c r="I38" s="258">
        <v>1</v>
      </c>
      <c r="J38" s="246">
        <v>0.98</v>
      </c>
      <c r="K38" s="246">
        <v>5</v>
      </c>
      <c r="L38" s="259">
        <f>1.7*(1/0.9)</f>
        <v>1.8888888888888888</v>
      </c>
      <c r="M38" s="259"/>
      <c r="O38" s="175" t="s">
        <v>56</v>
      </c>
      <c r="P38" s="180"/>
      <c r="Q38" s="180"/>
      <c r="R38" s="180"/>
      <c r="T38" s="115"/>
      <c r="U38" s="57" t="s">
        <v>1059</v>
      </c>
      <c r="V38" s="57" t="s">
        <v>1060</v>
      </c>
      <c r="W38" s="58" t="str">
        <f>General!$B$2</f>
        <v>PJ</v>
      </c>
      <c r="X38" s="58" t="str">
        <f>General!$B$3</f>
        <v>PJa</v>
      </c>
      <c r="Y38" s="115"/>
      <c r="Z38" s="115"/>
      <c r="AA38" s="115"/>
    </row>
    <row r="39" spans="2:27" ht="13.8" x14ac:dyDescent="0.25">
      <c r="B39" s="184"/>
      <c r="C39" s="184"/>
      <c r="D39" s="185" t="s">
        <v>55</v>
      </c>
      <c r="E39" s="185"/>
      <c r="F39" s="125">
        <f>F38</f>
        <v>2030</v>
      </c>
      <c r="G39" s="184"/>
      <c r="H39" s="185">
        <v>0.01</v>
      </c>
      <c r="I39" s="185"/>
      <c r="J39" s="184"/>
      <c r="K39" s="184"/>
      <c r="L39" s="209"/>
      <c r="M39" s="209"/>
      <c r="O39" s="175" t="s">
        <v>69</v>
      </c>
      <c r="P39" s="180"/>
    </row>
    <row r="40" spans="2:27" ht="13.8" x14ac:dyDescent="0.25">
      <c r="B40" s="260" t="str">
        <f>U32</f>
        <v>FT-TRAH2LQN01</v>
      </c>
      <c r="C40" s="260" t="str">
        <f>V32</f>
        <v xml:space="preserve">Fuel Tech - Liquid H2 to Transportation </v>
      </c>
      <c r="D40" s="178" t="s">
        <v>59</v>
      </c>
      <c r="E40" s="223" t="str">
        <f>U16</f>
        <v>TRAH2L</v>
      </c>
      <c r="F40" s="177">
        <f>G40</f>
        <v>2030</v>
      </c>
      <c r="G40" s="176">
        <v>2030</v>
      </c>
      <c r="H40" s="178">
        <v>1.01</v>
      </c>
      <c r="I40" s="178">
        <v>1</v>
      </c>
      <c r="J40" s="176">
        <v>0.98</v>
      </c>
      <c r="K40" s="176">
        <v>5</v>
      </c>
      <c r="L40" s="207">
        <f>6.58*(1/0.9)</f>
        <v>7.3111111111111118</v>
      </c>
      <c r="M40" s="207"/>
      <c r="O40" s="180"/>
      <c r="P40" s="180"/>
    </row>
    <row r="41" spans="2:27" ht="13.8" x14ac:dyDescent="0.25">
      <c r="B41" s="182"/>
      <c r="C41" s="181"/>
      <c r="D41" s="105" t="s">
        <v>55</v>
      </c>
      <c r="E41" s="105"/>
      <c r="F41" s="110">
        <f>F40</f>
        <v>2030</v>
      </c>
      <c r="G41" s="181"/>
      <c r="H41" s="105">
        <v>0.05</v>
      </c>
      <c r="I41" s="105"/>
      <c r="J41" s="181"/>
      <c r="K41" s="181"/>
      <c r="L41" s="198"/>
      <c r="M41" s="198"/>
      <c r="O41" s="180"/>
      <c r="P41" s="180"/>
    </row>
    <row r="42" spans="2:27" ht="13.8" x14ac:dyDescent="0.25">
      <c r="B42" s="186"/>
      <c r="C42" s="184"/>
      <c r="D42" s="185" t="s">
        <v>68</v>
      </c>
      <c r="E42" s="185"/>
      <c r="F42" s="125">
        <f>F41</f>
        <v>2030</v>
      </c>
      <c r="G42" s="184"/>
      <c r="H42" s="185">
        <v>0.01</v>
      </c>
      <c r="I42" s="185"/>
      <c r="J42" s="184"/>
      <c r="K42" s="184"/>
      <c r="L42" s="209"/>
      <c r="M42" s="209"/>
      <c r="O42" s="180"/>
      <c r="P42" s="180"/>
    </row>
    <row r="43" spans="2:27" ht="13.8" x14ac:dyDescent="0.25">
      <c r="B43" s="260" t="str">
        <f>U33</f>
        <v>FT-TRAH2GCN01</v>
      </c>
      <c r="C43" s="260" t="str">
        <f>V33</f>
        <v xml:space="preserve">Fuel Tech - Gas H2 to Transportation (through pipeline) </v>
      </c>
      <c r="D43" s="178" t="s">
        <v>63</v>
      </c>
      <c r="E43" s="178" t="str">
        <f>U13</f>
        <v>TRAH2G</v>
      </c>
      <c r="F43" s="177">
        <f>G43</f>
        <v>2030</v>
      </c>
      <c r="G43" s="176">
        <v>2030</v>
      </c>
      <c r="H43" s="178">
        <v>1.04</v>
      </c>
      <c r="I43" s="178">
        <v>1</v>
      </c>
      <c r="J43" s="176">
        <v>0.98</v>
      </c>
      <c r="K43" s="176">
        <v>5</v>
      </c>
      <c r="L43" s="207">
        <f>10.83*(1/0.9)</f>
        <v>12.033333333333333</v>
      </c>
      <c r="M43" s="207">
        <v>5</v>
      </c>
    </row>
    <row r="44" spans="2:27" ht="13.8" x14ac:dyDescent="0.25">
      <c r="B44" s="186"/>
      <c r="C44" s="184"/>
      <c r="D44" s="185" t="s">
        <v>55</v>
      </c>
      <c r="E44" s="185"/>
      <c r="F44" s="125">
        <f>F43</f>
        <v>2030</v>
      </c>
      <c r="G44" s="184"/>
      <c r="H44" s="185">
        <v>7.0000000000000007E-2</v>
      </c>
      <c r="I44" s="185"/>
      <c r="J44" s="184"/>
      <c r="K44" s="184"/>
      <c r="L44" s="209"/>
      <c r="M44" s="209"/>
      <c r="N44" s="180"/>
    </row>
    <row r="45" spans="2:27" ht="13.8" x14ac:dyDescent="0.25">
      <c r="B45" s="176" t="str">
        <f>U34</f>
        <v>FT-TRAH2GDN01</v>
      </c>
      <c r="C45" s="176" t="str">
        <f>V34</f>
        <v xml:space="preserve">Fuel Tech - Local H2 (G) to Transportation </v>
      </c>
      <c r="D45" s="223" t="s">
        <v>64</v>
      </c>
      <c r="E45" s="223" t="str">
        <f>E43</f>
        <v>TRAH2G</v>
      </c>
      <c r="F45" s="177">
        <f>G45</f>
        <v>2040</v>
      </c>
      <c r="G45" s="176">
        <v>2040</v>
      </c>
      <c r="H45" s="178">
        <v>1.01</v>
      </c>
      <c r="I45" s="178">
        <v>1</v>
      </c>
      <c r="J45" s="176">
        <v>0.98</v>
      </c>
      <c r="K45" s="176">
        <v>5</v>
      </c>
      <c r="L45" s="207">
        <f>1.7*(1/0.9)</f>
        <v>1.8888888888888888</v>
      </c>
      <c r="M45" s="207"/>
      <c r="N45" s="180"/>
    </row>
    <row r="46" spans="2:27" ht="14.4" thickBot="1" x14ac:dyDescent="0.3">
      <c r="B46" s="186"/>
      <c r="C46" s="184"/>
      <c r="D46" s="185" t="s">
        <v>55</v>
      </c>
      <c r="E46" s="185"/>
      <c r="F46" s="125">
        <f>F45</f>
        <v>2040</v>
      </c>
      <c r="G46" s="184"/>
      <c r="H46" s="185">
        <v>0.01</v>
      </c>
      <c r="I46" s="185"/>
      <c r="J46" s="184"/>
      <c r="K46" s="184"/>
      <c r="L46" s="209"/>
      <c r="M46" s="209"/>
      <c r="N46" s="180"/>
    </row>
    <row r="47" spans="2:27" ht="13.8" x14ac:dyDescent="0.25">
      <c r="B47" s="261" t="str">
        <f>U35</f>
        <v>FT-INDH2GN01</v>
      </c>
      <c r="C47" s="261" t="str">
        <f>V35</f>
        <v xml:space="preserve">Fuel Tech -Hydrogen for Industry (Gas) </v>
      </c>
      <c r="D47" s="258" t="s">
        <v>63</v>
      </c>
      <c r="E47" s="262" t="str">
        <f>U14</f>
        <v>INDH2G</v>
      </c>
      <c r="F47" s="248">
        <f>G47</f>
        <v>2030</v>
      </c>
      <c r="G47" s="246">
        <v>2030</v>
      </c>
      <c r="H47" s="258">
        <v>1.02</v>
      </c>
      <c r="I47" s="258">
        <v>1</v>
      </c>
      <c r="J47" s="246">
        <v>0.98</v>
      </c>
      <c r="K47" s="246">
        <v>5</v>
      </c>
      <c r="L47" s="259">
        <f>1.7*(1/0.9)</f>
        <v>1.8888888888888888</v>
      </c>
      <c r="M47" s="259">
        <v>5</v>
      </c>
      <c r="N47" s="180"/>
    </row>
    <row r="48" spans="2:27" ht="14.4" thickBot="1" x14ac:dyDescent="0.3">
      <c r="B48" s="184"/>
      <c r="C48" s="184"/>
      <c r="D48" s="185" t="s">
        <v>55</v>
      </c>
      <c r="E48" s="185"/>
      <c r="F48" s="125">
        <f>F47</f>
        <v>2030</v>
      </c>
      <c r="G48" s="184"/>
      <c r="H48" s="185">
        <v>0.01</v>
      </c>
      <c r="I48" s="185"/>
      <c r="J48" s="184"/>
      <c r="K48" s="184"/>
      <c r="L48" s="209"/>
      <c r="M48" s="209"/>
    </row>
    <row r="49" spans="2:15" ht="13.8" x14ac:dyDescent="0.25">
      <c r="B49" s="261" t="str">
        <f>U36</f>
        <v>FT-AGRH2GN01</v>
      </c>
      <c r="C49" s="261" t="str">
        <f>V36</f>
        <v xml:space="preserve">Fuel Tech -Hydrogen for Agriculture (Gas) </v>
      </c>
      <c r="D49" s="258" t="str">
        <f>D47</f>
        <v>SYNH2GC</v>
      </c>
      <c r="E49" s="262" t="str">
        <f>U15</f>
        <v>AGRH2G</v>
      </c>
      <c r="F49" s="248">
        <f>G49</f>
        <v>2040</v>
      </c>
      <c r="G49" s="246">
        <v>2040</v>
      </c>
      <c r="H49" s="258">
        <v>1.02</v>
      </c>
      <c r="I49" s="258">
        <v>1</v>
      </c>
      <c r="J49" s="246">
        <v>0.98</v>
      </c>
      <c r="K49" s="246">
        <v>5</v>
      </c>
      <c r="L49" s="259">
        <f>1.7*(1/0.9)</f>
        <v>1.8888888888888888</v>
      </c>
      <c r="M49" s="259">
        <v>5</v>
      </c>
      <c r="N49" s="180"/>
    </row>
    <row r="50" spans="2:15" ht="14.4" thickBot="1" x14ac:dyDescent="0.3">
      <c r="B50" s="263"/>
      <c r="C50" s="263"/>
      <c r="D50" s="264" t="str">
        <f>D48</f>
        <v>SUPELC</v>
      </c>
      <c r="E50" s="264"/>
      <c r="F50" s="265">
        <f>F49</f>
        <v>2040</v>
      </c>
      <c r="G50" s="263"/>
      <c r="H50" s="264">
        <v>0.01</v>
      </c>
      <c r="I50" s="264"/>
      <c r="J50" s="263"/>
      <c r="K50" s="263"/>
      <c r="L50" s="266"/>
      <c r="M50" s="266"/>
    </row>
    <row r="51" spans="2:15" ht="13.8" thickBot="1" x14ac:dyDescent="0.3">
      <c r="B51" s="267" t="str">
        <f>U37</f>
        <v>EXPH2ROW</v>
      </c>
      <c r="C51" s="267" t="str">
        <f>V37</f>
        <v>Export of hydrogen to RoW</v>
      </c>
      <c r="D51" s="268" t="str">
        <f>D49</f>
        <v>SYNH2GC</v>
      </c>
      <c r="E51" s="268"/>
      <c r="F51" s="268">
        <f>G51</f>
        <v>2100</v>
      </c>
      <c r="G51" s="268">
        <v>2100</v>
      </c>
      <c r="H51" s="268">
        <v>1.05</v>
      </c>
      <c r="I51" s="268">
        <v>1</v>
      </c>
      <c r="J51" s="268">
        <v>0.85</v>
      </c>
      <c r="K51" s="268">
        <v>30</v>
      </c>
      <c r="L51" s="268"/>
      <c r="M51" s="269">
        <f>SUP_OilGas!G33*2</f>
        <v>2.4444444444444446</v>
      </c>
      <c r="O51" s="33" t="s">
        <v>1039</v>
      </c>
    </row>
    <row r="52" spans="2:15" ht="13.8" thickBot="1" x14ac:dyDescent="0.3">
      <c r="B52" s="270" t="str">
        <f>U38</f>
        <v>EXPH2GASROW</v>
      </c>
      <c r="C52" s="270" t="str">
        <f>V38</f>
        <v>Export of hydrogen (blending) to RoW</v>
      </c>
      <c r="D52" s="271" t="str">
        <f>D51</f>
        <v>SYNH2GC</v>
      </c>
      <c r="E52" s="271"/>
      <c r="F52" s="271">
        <f>F51</f>
        <v>2100</v>
      </c>
      <c r="G52" s="271">
        <f t="shared" ref="G52:J52" si="0">G51</f>
        <v>2100</v>
      </c>
      <c r="H52" s="271">
        <v>1.01</v>
      </c>
      <c r="I52" s="271">
        <f t="shared" si="0"/>
        <v>1</v>
      </c>
      <c r="J52" s="271">
        <f t="shared" si="0"/>
        <v>0.85</v>
      </c>
      <c r="K52" s="271">
        <v>50</v>
      </c>
      <c r="L52" s="271"/>
      <c r="M52" s="271"/>
      <c r="O52" s="33" t="s">
        <v>1061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40"/>
  <sheetViews>
    <sheetView zoomScale="85" zoomScaleNormal="85" workbookViewId="0">
      <selection sqref="A1:XFD1048576"/>
    </sheetView>
  </sheetViews>
  <sheetFormatPr defaultRowHeight="13.2" x14ac:dyDescent="0.25"/>
  <cols>
    <col min="1" max="1" width="30.5546875" style="12" bestFit="1" customWidth="1"/>
    <col min="2" max="4" width="8.88671875" style="12"/>
    <col min="5" max="5" width="10.5546875" style="12" customWidth="1"/>
    <col min="6" max="6" width="9.6640625" style="12" bestFit="1" customWidth="1"/>
    <col min="7" max="7" width="15.88671875" style="12" bestFit="1" customWidth="1"/>
    <col min="8" max="8" width="8.88671875" style="12"/>
    <col min="9" max="9" width="16.33203125" style="12" bestFit="1" customWidth="1"/>
    <col min="10" max="12" width="8.88671875" style="12"/>
    <col min="13" max="13" width="28.33203125" style="12" customWidth="1"/>
    <col min="14" max="14" width="19" style="12" customWidth="1"/>
    <col min="15" max="15" width="16" style="12" bestFit="1" customWidth="1"/>
    <col min="16" max="16" width="20.5546875" style="12" bestFit="1" customWidth="1"/>
    <col min="17" max="17" width="8.88671875" style="12"/>
    <col min="18" max="18" width="24.33203125" style="12" bestFit="1" customWidth="1"/>
    <col min="19" max="19" width="13.6640625" style="12" bestFit="1" customWidth="1"/>
    <col min="20" max="20" width="14.5546875" style="12" bestFit="1" customWidth="1"/>
    <col min="21" max="21" width="17" style="12" bestFit="1" customWidth="1"/>
    <col min="22" max="16384" width="8.88671875" style="12"/>
  </cols>
  <sheetData>
    <row r="1" spans="1:22" ht="15.6" x14ac:dyDescent="0.3">
      <c r="A1" s="11" t="s">
        <v>923</v>
      </c>
      <c r="B1" s="11"/>
      <c r="C1" s="11"/>
      <c r="D1" s="11"/>
    </row>
    <row r="2" spans="1:22" x14ac:dyDescent="0.25">
      <c r="A2" s="13"/>
      <c r="B2" s="14"/>
    </row>
    <row r="3" spans="1:22" ht="13.8" thickBot="1" x14ac:dyDescent="0.3">
      <c r="A3" s="15" t="s">
        <v>765</v>
      </c>
      <c r="B3" s="14"/>
      <c r="I3" s="15" t="s">
        <v>765</v>
      </c>
      <c r="J3" s="14"/>
      <c r="M3" s="16" t="s">
        <v>7</v>
      </c>
    </row>
    <row r="4" spans="1:22" ht="13.8" thickBot="1" x14ac:dyDescent="0.3">
      <c r="A4" s="17" t="s">
        <v>6</v>
      </c>
      <c r="B4" s="18" t="str">
        <f>SUP!O6</f>
        <v>TOTCO2</v>
      </c>
      <c r="E4" s="19" t="s">
        <v>822</v>
      </c>
      <c r="F4" s="20" t="s">
        <v>738</v>
      </c>
      <c r="G4" s="21" t="s">
        <v>823</v>
      </c>
      <c r="I4" s="17" t="s">
        <v>6</v>
      </c>
      <c r="J4" s="18" t="str">
        <f>SUP!O9</f>
        <v>TCO2eq</v>
      </c>
      <c r="M4" s="22" t="s">
        <v>8</v>
      </c>
      <c r="N4" s="23" t="s">
        <v>78</v>
      </c>
      <c r="O4" s="22" t="s">
        <v>6</v>
      </c>
      <c r="P4" s="22" t="s">
        <v>9</v>
      </c>
      <c r="Q4" s="24" t="s">
        <v>10</v>
      </c>
      <c r="R4" s="24" t="s">
        <v>11</v>
      </c>
      <c r="S4" s="24" t="s">
        <v>12</v>
      </c>
      <c r="T4" s="24" t="s">
        <v>13</v>
      </c>
      <c r="U4" s="24" t="s">
        <v>14</v>
      </c>
    </row>
    <row r="5" spans="1:22" ht="14.4" thickTop="1" thickBot="1" x14ac:dyDescent="0.3">
      <c r="A5" s="25" t="str">
        <f>E5&amp;$F$5</f>
        <v>AGRCO2</v>
      </c>
      <c r="B5" s="26">
        <f>VLOOKUP(RIGHT(A5,3),$F$5:$G$7,2,FALSE)</f>
        <v>1</v>
      </c>
      <c r="E5" s="27" t="s">
        <v>815</v>
      </c>
      <c r="F5" s="28" t="s">
        <v>716</v>
      </c>
      <c r="G5" s="29">
        <v>1</v>
      </c>
      <c r="I5" s="25" t="str">
        <f>B4</f>
        <v>TOTCO2</v>
      </c>
      <c r="J5" s="30">
        <f>VLOOKUP(RIGHT(I5,3),$F$5:$G$7,2,FALSE)</f>
        <v>1</v>
      </c>
      <c r="M5" s="31" t="s">
        <v>79</v>
      </c>
      <c r="N5" s="32" t="s">
        <v>80</v>
      </c>
      <c r="O5" s="31" t="s">
        <v>24</v>
      </c>
      <c r="P5" s="31" t="s">
        <v>25</v>
      </c>
      <c r="Q5" s="31" t="s">
        <v>10</v>
      </c>
      <c r="R5" s="31" t="s">
        <v>81</v>
      </c>
      <c r="S5" s="31" t="s">
        <v>82</v>
      </c>
      <c r="T5" s="31" t="s">
        <v>28</v>
      </c>
      <c r="U5" s="31" t="s">
        <v>29</v>
      </c>
      <c r="V5" s="33"/>
    </row>
    <row r="6" spans="1:22" x14ac:dyDescent="0.25">
      <c r="A6" s="25" t="str">
        <f t="shared" ref="A6:A12" si="0">E6&amp;$F$5</f>
        <v>RSDCO2</v>
      </c>
      <c r="B6" s="26">
        <f t="shared" ref="B6:B12" si="1">VLOOKUP(RIGHT(A6,3),$F$5:$G$7,2,FALSE)</f>
        <v>1</v>
      </c>
      <c r="E6" s="27" t="s">
        <v>816</v>
      </c>
      <c r="F6" s="28" t="s">
        <v>718</v>
      </c>
      <c r="G6" s="29">
        <v>1</v>
      </c>
      <c r="I6" s="25" t="str">
        <f>B17</f>
        <v>TOTCH4</v>
      </c>
      <c r="J6" s="30">
        <f t="shared" ref="J6:J7" si="2">VLOOKUP(RIGHT(I6,3),$F$5:$G$7,2,FALSE)</f>
        <v>1</v>
      </c>
      <c r="M6" s="12" t="s">
        <v>713</v>
      </c>
      <c r="O6" s="12" t="s">
        <v>714</v>
      </c>
      <c r="P6" s="12" t="s">
        <v>716</v>
      </c>
      <c r="Q6" s="34" t="str">
        <f>General!$B$5</f>
        <v>Gg</v>
      </c>
    </row>
    <row r="7" spans="1:22" x14ac:dyDescent="0.25">
      <c r="A7" s="25" t="str">
        <f t="shared" si="0"/>
        <v>TERCO2</v>
      </c>
      <c r="B7" s="26">
        <f t="shared" si="1"/>
        <v>1</v>
      </c>
      <c r="E7" s="27" t="s">
        <v>981</v>
      </c>
      <c r="F7" s="28" t="s">
        <v>720</v>
      </c>
      <c r="G7" s="29">
        <v>1</v>
      </c>
      <c r="I7" s="25" t="str">
        <f>B30</f>
        <v>TOTN2O</v>
      </c>
      <c r="J7" s="30">
        <f t="shared" si="2"/>
        <v>1</v>
      </c>
      <c r="O7" s="12" t="s">
        <v>717</v>
      </c>
      <c r="P7" s="12" t="s">
        <v>718</v>
      </c>
      <c r="Q7" s="34" t="str">
        <f>Q6</f>
        <v>Gg</v>
      </c>
    </row>
    <row r="8" spans="1:22" x14ac:dyDescent="0.25">
      <c r="A8" s="25" t="str">
        <f t="shared" si="0"/>
        <v>SUPCO2</v>
      </c>
      <c r="B8" s="26">
        <f t="shared" si="1"/>
        <v>1</v>
      </c>
      <c r="E8" s="27" t="s">
        <v>817</v>
      </c>
      <c r="F8" s="28"/>
      <c r="G8" s="29"/>
      <c r="I8" s="25"/>
      <c r="J8" s="26"/>
      <c r="O8" s="12" t="s">
        <v>719</v>
      </c>
      <c r="P8" s="12" t="s">
        <v>720</v>
      </c>
      <c r="Q8" s="34" t="str">
        <f>Q7</f>
        <v>Gg</v>
      </c>
    </row>
    <row r="9" spans="1:22" x14ac:dyDescent="0.25">
      <c r="A9" s="25" t="str">
        <f t="shared" si="0"/>
        <v>INDCO2</v>
      </c>
      <c r="B9" s="26">
        <f t="shared" si="1"/>
        <v>1</v>
      </c>
      <c r="E9" s="27" t="s">
        <v>818</v>
      </c>
      <c r="F9" s="28"/>
      <c r="G9" s="29"/>
      <c r="I9" s="25"/>
      <c r="J9" s="26"/>
      <c r="O9" s="12" t="s">
        <v>824</v>
      </c>
      <c r="P9" s="12" t="s">
        <v>825</v>
      </c>
      <c r="Q9" s="34" t="str">
        <f>Q8</f>
        <v>Gg</v>
      </c>
    </row>
    <row r="10" spans="1:22" x14ac:dyDescent="0.25">
      <c r="A10" s="25" t="str">
        <f t="shared" si="0"/>
        <v>ELECO2</v>
      </c>
      <c r="B10" s="26">
        <f t="shared" si="1"/>
        <v>1</v>
      </c>
      <c r="E10" s="27" t="s">
        <v>819</v>
      </c>
      <c r="F10" s="28"/>
      <c r="G10" s="29"/>
      <c r="I10" s="25"/>
      <c r="J10" s="26"/>
    </row>
    <row r="11" spans="1:22" x14ac:dyDescent="0.25">
      <c r="A11" s="25" t="str">
        <f t="shared" si="0"/>
        <v>HETCO2</v>
      </c>
      <c r="B11" s="26">
        <f t="shared" si="1"/>
        <v>1</v>
      </c>
      <c r="E11" s="27" t="s">
        <v>820</v>
      </c>
      <c r="F11" s="28"/>
      <c r="G11" s="29"/>
      <c r="I11" s="25"/>
      <c r="J11" s="26"/>
    </row>
    <row r="12" spans="1:22" ht="13.8" thickBot="1" x14ac:dyDescent="0.3">
      <c r="A12" s="25" t="str">
        <f t="shared" si="0"/>
        <v>TRACO2</v>
      </c>
      <c r="B12" s="26">
        <f t="shared" si="1"/>
        <v>1</v>
      </c>
      <c r="E12" s="35" t="s">
        <v>821</v>
      </c>
      <c r="F12" s="36"/>
      <c r="G12" s="37"/>
      <c r="I12" s="25"/>
      <c r="J12" s="26"/>
    </row>
    <row r="13" spans="1:22" x14ac:dyDescent="0.25">
      <c r="A13" s="25"/>
      <c r="B13" s="26"/>
      <c r="E13" s="28"/>
      <c r="F13" s="28"/>
      <c r="G13" s="28"/>
      <c r="I13" s="38"/>
      <c r="J13" s="26"/>
    </row>
    <row r="14" spans="1:22" x14ac:dyDescent="0.25">
      <c r="A14" s="25" t="s">
        <v>920</v>
      </c>
      <c r="B14" s="26">
        <v>-1</v>
      </c>
      <c r="E14" s="28"/>
      <c r="F14" s="28"/>
      <c r="G14" s="28"/>
    </row>
    <row r="15" spans="1:22" x14ac:dyDescent="0.25">
      <c r="A15" s="25"/>
      <c r="B15" s="26"/>
      <c r="E15" s="28"/>
      <c r="F15" s="28"/>
      <c r="G15" s="28"/>
    </row>
    <row r="16" spans="1:22" x14ac:dyDescent="0.25">
      <c r="A16" s="15" t="s">
        <v>765</v>
      </c>
      <c r="B16" s="14"/>
      <c r="E16" s="28"/>
      <c r="F16" s="28"/>
      <c r="G16" s="28"/>
    </row>
    <row r="17" spans="1:7" ht="13.8" thickBot="1" x14ac:dyDescent="0.3">
      <c r="A17" s="17" t="s">
        <v>6</v>
      </c>
      <c r="B17" s="18" t="str">
        <f>SUP!O7</f>
        <v>TOTCH4</v>
      </c>
    </row>
    <row r="18" spans="1:7" ht="13.8" thickTop="1" x14ac:dyDescent="0.25">
      <c r="A18" s="25" t="str">
        <f>E5&amp;$F$6</f>
        <v>AGRCH4</v>
      </c>
      <c r="B18" s="26">
        <v>1</v>
      </c>
    </row>
    <row r="19" spans="1:7" x14ac:dyDescent="0.25">
      <c r="A19" s="25" t="str">
        <f t="shared" ref="A19:A25" si="3">E6&amp;$F$6</f>
        <v>RSDCH4</v>
      </c>
      <c r="B19" s="26">
        <v>1</v>
      </c>
    </row>
    <row r="20" spans="1:7" x14ac:dyDescent="0.25">
      <c r="A20" s="25" t="str">
        <f t="shared" si="3"/>
        <v>TERCH4</v>
      </c>
      <c r="B20" s="26">
        <v>1</v>
      </c>
    </row>
    <row r="21" spans="1:7" x14ac:dyDescent="0.25">
      <c r="A21" s="25" t="str">
        <f t="shared" si="3"/>
        <v>SUPCH4</v>
      </c>
      <c r="B21" s="26">
        <v>1</v>
      </c>
    </row>
    <row r="22" spans="1:7" x14ac:dyDescent="0.25">
      <c r="A22" s="25" t="str">
        <f t="shared" si="3"/>
        <v>INDCH4</v>
      </c>
      <c r="B22" s="26">
        <v>1</v>
      </c>
    </row>
    <row r="23" spans="1:7" x14ac:dyDescent="0.25">
      <c r="A23" s="25" t="str">
        <f t="shared" si="3"/>
        <v>ELECH4</v>
      </c>
      <c r="B23" s="26">
        <v>1</v>
      </c>
    </row>
    <row r="24" spans="1:7" x14ac:dyDescent="0.25">
      <c r="A24" s="25" t="str">
        <f t="shared" si="3"/>
        <v>HETCH4</v>
      </c>
      <c r="B24" s="26">
        <v>1</v>
      </c>
    </row>
    <row r="25" spans="1:7" x14ac:dyDescent="0.25">
      <c r="A25" s="25" t="str">
        <f t="shared" si="3"/>
        <v>TRACH4</v>
      </c>
      <c r="B25" s="26">
        <v>1</v>
      </c>
    </row>
    <row r="26" spans="1:7" x14ac:dyDescent="0.25">
      <c r="A26" s="25"/>
      <c r="B26" s="26"/>
    </row>
    <row r="27" spans="1:7" x14ac:dyDescent="0.25">
      <c r="A27" s="25" t="s">
        <v>921</v>
      </c>
      <c r="B27" s="26">
        <v>-1</v>
      </c>
      <c r="E27" s="28"/>
      <c r="F27" s="28"/>
      <c r="G27" s="28"/>
    </row>
    <row r="28" spans="1:7" x14ac:dyDescent="0.25">
      <c r="A28" s="25"/>
      <c r="B28" s="26"/>
      <c r="E28" s="28"/>
      <c r="F28" s="28"/>
      <c r="G28" s="28"/>
    </row>
    <row r="29" spans="1:7" x14ac:dyDescent="0.25">
      <c r="A29" s="15" t="s">
        <v>765</v>
      </c>
      <c r="B29" s="14"/>
    </row>
    <row r="30" spans="1:7" ht="13.8" thickBot="1" x14ac:dyDescent="0.3">
      <c r="A30" s="17" t="s">
        <v>6</v>
      </c>
      <c r="B30" s="18" t="str">
        <f>SUP!O8</f>
        <v>TOTN2O</v>
      </c>
    </row>
    <row r="31" spans="1:7" ht="13.8" thickTop="1" x14ac:dyDescent="0.25">
      <c r="A31" s="25" t="str">
        <f t="shared" ref="A31:A38" si="4">E5&amp;$F$7</f>
        <v>AGRN2O</v>
      </c>
      <c r="B31" s="26">
        <v>1</v>
      </c>
    </row>
    <row r="32" spans="1:7" x14ac:dyDescent="0.25">
      <c r="A32" s="25" t="str">
        <f t="shared" si="4"/>
        <v>RSDN2O</v>
      </c>
      <c r="B32" s="26">
        <v>1</v>
      </c>
    </row>
    <row r="33" spans="1:2" x14ac:dyDescent="0.25">
      <c r="A33" s="25" t="str">
        <f t="shared" si="4"/>
        <v>TERN2O</v>
      </c>
      <c r="B33" s="26">
        <v>1</v>
      </c>
    </row>
    <row r="34" spans="1:2" x14ac:dyDescent="0.25">
      <c r="A34" s="25" t="str">
        <f t="shared" si="4"/>
        <v>SUPN2O</v>
      </c>
      <c r="B34" s="26">
        <v>1</v>
      </c>
    </row>
    <row r="35" spans="1:2" x14ac:dyDescent="0.25">
      <c r="A35" s="25" t="str">
        <f t="shared" si="4"/>
        <v>INDN2O</v>
      </c>
      <c r="B35" s="26">
        <v>1</v>
      </c>
    </row>
    <row r="36" spans="1:2" x14ac:dyDescent="0.25">
      <c r="A36" s="25" t="str">
        <f t="shared" si="4"/>
        <v>ELEN2O</v>
      </c>
      <c r="B36" s="26">
        <v>1</v>
      </c>
    </row>
    <row r="37" spans="1:2" x14ac:dyDescent="0.25">
      <c r="A37" s="25" t="str">
        <f t="shared" si="4"/>
        <v>HETN2O</v>
      </c>
      <c r="B37" s="26">
        <v>1</v>
      </c>
    </row>
    <row r="38" spans="1:2" x14ac:dyDescent="0.25">
      <c r="A38" s="25" t="str">
        <f t="shared" si="4"/>
        <v>TRAN2O</v>
      </c>
      <c r="B38" s="26">
        <v>1</v>
      </c>
    </row>
    <row r="39" spans="1:2" x14ac:dyDescent="0.25">
      <c r="A39" s="38"/>
      <c r="B39" s="26"/>
    </row>
    <row r="40" spans="1:2" x14ac:dyDescent="0.25">
      <c r="A40" s="12" t="s">
        <v>922</v>
      </c>
      <c r="B40" s="26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0" tint="-4.9989318521683403E-2"/>
  </sheetPr>
  <dimension ref="A1:F27"/>
  <sheetViews>
    <sheetView zoomScale="90" zoomScaleNormal="90" workbookViewId="0">
      <selection activeCell="D28" sqref="D28"/>
    </sheetView>
  </sheetViews>
  <sheetFormatPr defaultRowHeight="16.5" customHeight="1" x14ac:dyDescent="0.25"/>
  <cols>
    <col min="1" max="1" width="28.44140625" customWidth="1"/>
    <col min="2" max="2" width="28.109375" customWidth="1"/>
    <col min="3" max="3" width="25.6640625" bestFit="1" customWidth="1"/>
    <col min="4" max="4" width="31.33203125" customWidth="1"/>
    <col min="5" max="5" width="20" customWidth="1"/>
  </cols>
  <sheetData>
    <row r="1" spans="1:6" ht="16.5" customHeight="1" x14ac:dyDescent="0.3">
      <c r="A1" s="1" t="s">
        <v>771</v>
      </c>
      <c r="B1" s="2"/>
      <c r="C1" s="3"/>
      <c r="E1" s="4" t="s">
        <v>772</v>
      </c>
      <c r="F1" s="5">
        <v>2017</v>
      </c>
    </row>
    <row r="2" spans="1:6" ht="16.5" customHeight="1" x14ac:dyDescent="0.3">
      <c r="A2" s="4" t="s">
        <v>773</v>
      </c>
      <c r="B2" s="6" t="s">
        <v>807</v>
      </c>
      <c r="C2" s="7"/>
      <c r="E2" s="4" t="s">
        <v>774</v>
      </c>
      <c r="F2" s="4">
        <v>2050</v>
      </c>
    </row>
    <row r="3" spans="1:6" ht="16.5" customHeight="1" x14ac:dyDescent="0.3">
      <c r="A3" s="4" t="s">
        <v>775</v>
      </c>
      <c r="B3" s="6" t="s">
        <v>808</v>
      </c>
      <c r="C3" s="7"/>
      <c r="E3" s="4"/>
      <c r="F3" s="4"/>
    </row>
    <row r="4" spans="1:6" ht="16.5" customHeight="1" x14ac:dyDescent="0.3">
      <c r="A4" s="4" t="s">
        <v>776</v>
      </c>
      <c r="B4" s="6" t="s">
        <v>934</v>
      </c>
      <c r="C4" s="7"/>
    </row>
    <row r="5" spans="1:6" ht="16.5" customHeight="1" x14ac:dyDescent="0.3">
      <c r="A5" s="4" t="s">
        <v>738</v>
      </c>
      <c r="B5" s="6" t="s">
        <v>715</v>
      </c>
      <c r="C5" s="7"/>
    </row>
    <row r="8" spans="1:6" ht="16.5" customHeight="1" x14ac:dyDescent="0.3">
      <c r="A8" s="10" t="s">
        <v>777</v>
      </c>
      <c r="B8" s="10"/>
    </row>
    <row r="10" spans="1:6" ht="16.5" customHeight="1" x14ac:dyDescent="0.3">
      <c r="A10" s="1" t="s">
        <v>778</v>
      </c>
      <c r="B10" s="1" t="s">
        <v>779</v>
      </c>
      <c r="C10" s="1" t="s">
        <v>780</v>
      </c>
      <c r="D10" s="1" t="s">
        <v>781</v>
      </c>
      <c r="E10" s="1" t="s">
        <v>782</v>
      </c>
    </row>
    <row r="11" spans="1:6" ht="16.5" customHeight="1" x14ac:dyDescent="0.3">
      <c r="A11" s="8" t="s">
        <v>5</v>
      </c>
      <c r="B11" s="4" t="s">
        <v>49</v>
      </c>
      <c r="C11" s="4" t="s">
        <v>773</v>
      </c>
      <c r="D11" s="4" t="s">
        <v>935</v>
      </c>
      <c r="E11" s="4"/>
    </row>
    <row r="12" spans="1:6" ht="16.5" customHeight="1" x14ac:dyDescent="0.3">
      <c r="A12" s="8" t="s">
        <v>42</v>
      </c>
      <c r="B12" s="4" t="s">
        <v>50</v>
      </c>
      <c r="C12" s="4" t="s">
        <v>783</v>
      </c>
      <c r="D12" s="4" t="s">
        <v>936</v>
      </c>
      <c r="E12" s="4" t="s">
        <v>940</v>
      </c>
    </row>
    <row r="13" spans="1:6" ht="16.5" customHeight="1" x14ac:dyDescent="0.3">
      <c r="A13" s="8" t="s">
        <v>724</v>
      </c>
      <c r="B13" s="4" t="s">
        <v>786</v>
      </c>
      <c r="C13" s="4" t="s">
        <v>798</v>
      </c>
      <c r="D13" s="4" t="s">
        <v>73</v>
      </c>
      <c r="E13" s="4"/>
    </row>
    <row r="14" spans="1:6" ht="18.75" customHeight="1" x14ac:dyDescent="0.3">
      <c r="A14" s="8" t="s">
        <v>734</v>
      </c>
      <c r="B14" s="4" t="s">
        <v>787</v>
      </c>
      <c r="C14" s="4" t="s">
        <v>773</v>
      </c>
      <c r="D14" s="9" t="s">
        <v>788</v>
      </c>
      <c r="E14" s="4"/>
    </row>
    <row r="15" spans="1:6" ht="16.5" customHeight="1" x14ac:dyDescent="0.3">
      <c r="A15" s="8" t="s">
        <v>789</v>
      </c>
      <c r="B15" s="4" t="s">
        <v>789</v>
      </c>
      <c r="C15" s="4" t="s">
        <v>790</v>
      </c>
      <c r="D15" s="4" t="s">
        <v>791</v>
      </c>
      <c r="E15" s="4"/>
    </row>
    <row r="16" spans="1:6" ht="16.5" customHeight="1" x14ac:dyDescent="0.3">
      <c r="A16" s="8" t="s">
        <v>789</v>
      </c>
      <c r="B16" s="4" t="s">
        <v>789</v>
      </c>
      <c r="C16" s="4" t="s">
        <v>785</v>
      </c>
      <c r="D16" s="4" t="s">
        <v>792</v>
      </c>
      <c r="E16" s="4"/>
    </row>
    <row r="17" spans="1:5" ht="16.5" customHeight="1" x14ac:dyDescent="0.3">
      <c r="A17" s="8" t="s">
        <v>789</v>
      </c>
      <c r="B17" s="4" t="s">
        <v>789</v>
      </c>
      <c r="C17" s="4" t="s">
        <v>784</v>
      </c>
      <c r="D17" s="4" t="s">
        <v>793</v>
      </c>
      <c r="E17" s="4"/>
    </row>
    <row r="18" spans="1:5" ht="16.5" customHeight="1" x14ac:dyDescent="0.3">
      <c r="A18" s="8" t="s">
        <v>18</v>
      </c>
      <c r="B18" s="4" t="s">
        <v>33</v>
      </c>
      <c r="C18" s="4" t="s">
        <v>784</v>
      </c>
      <c r="D18" s="4" t="s">
        <v>794</v>
      </c>
      <c r="E18" s="4"/>
    </row>
    <row r="19" spans="1:5" ht="16.5" customHeight="1" x14ac:dyDescent="0.3">
      <c r="A19" s="8" t="s">
        <v>18</v>
      </c>
      <c r="B19" s="4" t="s">
        <v>33</v>
      </c>
      <c r="C19" s="4" t="s">
        <v>783</v>
      </c>
      <c r="D19" s="4" t="s">
        <v>795</v>
      </c>
      <c r="E19" s="4"/>
    </row>
    <row r="20" spans="1:5" ht="16.5" customHeight="1" x14ac:dyDescent="0.3">
      <c r="A20" s="8" t="s">
        <v>796</v>
      </c>
      <c r="B20" s="4" t="s">
        <v>797</v>
      </c>
      <c r="C20" s="4" t="s">
        <v>798</v>
      </c>
      <c r="D20" s="4" t="s">
        <v>799</v>
      </c>
      <c r="E20" s="4"/>
    </row>
    <row r="21" spans="1:5" ht="16.5" customHeight="1" x14ac:dyDescent="0.3">
      <c r="A21" s="8" t="s">
        <v>47</v>
      </c>
      <c r="B21" s="4" t="s">
        <v>48</v>
      </c>
      <c r="C21" s="4" t="s">
        <v>800</v>
      </c>
      <c r="D21" s="4" t="s">
        <v>937</v>
      </c>
      <c r="E21" s="4"/>
    </row>
    <row r="22" spans="1:5" ht="16.5" customHeight="1" x14ac:dyDescent="0.3">
      <c r="A22" s="8" t="s">
        <v>47</v>
      </c>
      <c r="B22" s="4" t="s">
        <v>48</v>
      </c>
      <c r="C22" s="4" t="s">
        <v>802</v>
      </c>
      <c r="D22" s="4" t="s">
        <v>938</v>
      </c>
      <c r="E22" s="4"/>
    </row>
    <row r="23" spans="1:5" ht="16.5" customHeight="1" x14ac:dyDescent="0.3">
      <c r="A23" s="8" t="s">
        <v>748</v>
      </c>
      <c r="B23" s="4" t="s">
        <v>801</v>
      </c>
      <c r="C23" s="4" t="s">
        <v>798</v>
      </c>
      <c r="D23" s="9" t="s">
        <v>744</v>
      </c>
      <c r="E23" s="4"/>
    </row>
    <row r="24" spans="1:5" ht="16.5" customHeight="1" x14ac:dyDescent="0.3">
      <c r="A24" s="8" t="s">
        <v>775</v>
      </c>
      <c r="B24" s="4" t="s">
        <v>775</v>
      </c>
      <c r="C24" s="4" t="s">
        <v>802</v>
      </c>
      <c r="D24" s="9" t="s">
        <v>731</v>
      </c>
      <c r="E24" s="4"/>
    </row>
    <row r="25" spans="1:5" ht="16.5" customHeight="1" x14ac:dyDescent="0.3">
      <c r="A25" s="8" t="s">
        <v>70</v>
      </c>
      <c r="B25" s="4" t="s">
        <v>803</v>
      </c>
      <c r="C25" s="4" t="s">
        <v>804</v>
      </c>
      <c r="D25" s="9" t="s">
        <v>809</v>
      </c>
      <c r="E25" s="4"/>
    </row>
    <row r="26" spans="1:5" ht="16.5" customHeight="1" x14ac:dyDescent="0.3">
      <c r="A26" s="8" t="s">
        <v>74</v>
      </c>
      <c r="B26" s="4" t="s">
        <v>805</v>
      </c>
      <c r="C26" s="4" t="s">
        <v>804</v>
      </c>
      <c r="D26" s="9" t="s">
        <v>939</v>
      </c>
      <c r="E26" s="4"/>
    </row>
    <row r="27" spans="1:5" ht="16.5" customHeight="1" x14ac:dyDescent="0.3">
      <c r="A27" s="8" t="s">
        <v>19</v>
      </c>
      <c r="B27" s="4" t="s">
        <v>806</v>
      </c>
      <c r="C27" s="4" t="s">
        <v>804</v>
      </c>
      <c r="D27" s="9" t="s">
        <v>810</v>
      </c>
      <c r="E27" s="4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169"/>
  <sheetViews>
    <sheetView zoomScale="70" zoomScaleNormal="70" workbookViewId="0">
      <selection sqref="A1:XFD1048576"/>
    </sheetView>
  </sheetViews>
  <sheetFormatPr defaultColWidth="9.109375" defaultRowHeight="13.2" x14ac:dyDescent="0.25"/>
  <cols>
    <col min="1" max="1" width="3" style="12" customWidth="1"/>
    <col min="2" max="2" width="30.33203125" style="12" customWidth="1"/>
    <col min="3" max="3" width="56.6640625" style="12" bestFit="1" customWidth="1"/>
    <col min="4" max="4" width="16" style="12" bestFit="1" customWidth="1"/>
    <col min="5" max="5" width="17.6640625" style="12" bestFit="1" customWidth="1"/>
    <col min="6" max="6" width="15" style="12" bestFit="1" customWidth="1"/>
    <col min="7" max="7" width="16.6640625" style="12" bestFit="1" customWidth="1"/>
    <col min="8" max="8" width="15" style="12" customWidth="1"/>
    <col min="9" max="9" width="17.6640625" style="12" bestFit="1" customWidth="1"/>
    <col min="10" max="10" width="22.33203125" style="12" bestFit="1" customWidth="1"/>
    <col min="11" max="11" width="17" style="12" bestFit="1" customWidth="1"/>
    <col min="12" max="12" width="17.33203125" style="12" bestFit="1" customWidth="1"/>
    <col min="13" max="13" width="15" style="12" bestFit="1" customWidth="1"/>
    <col min="14" max="16" width="17.33203125" style="12" bestFit="1" customWidth="1"/>
    <col min="17" max="17" width="46.44140625" style="12" bestFit="1" customWidth="1"/>
    <col min="18" max="18" width="9.109375" style="12"/>
    <col min="19" max="19" width="25.33203125" style="12" customWidth="1"/>
    <col min="20" max="20" width="30.109375" style="12" customWidth="1"/>
    <col min="21" max="21" width="42" style="12" customWidth="1"/>
    <col min="22" max="16384" width="9.109375" style="12"/>
  </cols>
  <sheetData>
    <row r="1" spans="1:26" s="33" customFormat="1" ht="17.399999999999999" x14ac:dyDescent="0.3">
      <c r="A1" s="51"/>
      <c r="B1" s="51" t="s">
        <v>728</v>
      </c>
      <c r="C1" s="51"/>
      <c r="D1" s="51"/>
      <c r="E1" s="51"/>
      <c r="F1" s="51"/>
      <c r="H1" s="34"/>
      <c r="U1" s="34"/>
    </row>
    <row r="2" spans="1:26" s="33" customFormat="1" ht="15.6" x14ac:dyDescent="0.3">
      <c r="B2" s="162"/>
      <c r="H2" s="34"/>
      <c r="U2" s="34"/>
    </row>
    <row r="3" spans="1:26" s="33" customFormat="1" ht="15.6" x14ac:dyDescent="0.3">
      <c r="B3" s="162"/>
      <c r="H3" s="34"/>
      <c r="U3" s="34"/>
    </row>
    <row r="4" spans="1:26" s="33" customFormat="1" x14ac:dyDescent="0.25">
      <c r="F4" s="163"/>
      <c r="G4" s="161"/>
      <c r="H4" s="82"/>
      <c r="I4" s="163"/>
      <c r="V4" s="34"/>
    </row>
    <row r="5" spans="1:26" s="33" customFormat="1" ht="17.399999999999999" x14ac:dyDescent="0.3">
      <c r="B5" s="51" t="s">
        <v>726</v>
      </c>
      <c r="C5" s="51"/>
      <c r="F5" s="163" t="s">
        <v>0</v>
      </c>
      <c r="G5" s="163"/>
      <c r="H5" s="82"/>
      <c r="S5" s="16" t="s">
        <v>7</v>
      </c>
      <c r="T5" s="115"/>
      <c r="U5" s="115"/>
      <c r="V5" s="58"/>
      <c r="W5" s="115"/>
      <c r="X5" s="115"/>
      <c r="Y5" s="115"/>
      <c r="Z5" s="115"/>
    </row>
    <row r="6" spans="1:26" s="33" customFormat="1" x14ac:dyDescent="0.25">
      <c r="B6" s="164" t="s">
        <v>1</v>
      </c>
      <c r="C6" s="164" t="s">
        <v>61</v>
      </c>
      <c r="D6" s="164" t="s">
        <v>3</v>
      </c>
      <c r="E6" s="164" t="s">
        <v>4</v>
      </c>
      <c r="F6" s="165" t="s">
        <v>62</v>
      </c>
      <c r="G6" s="61" t="s">
        <v>15</v>
      </c>
      <c r="H6" s="61" t="s">
        <v>53</v>
      </c>
      <c r="I6" s="61" t="s">
        <v>54</v>
      </c>
      <c r="J6" s="61" t="s">
        <v>41</v>
      </c>
      <c r="K6" s="62" t="s">
        <v>724</v>
      </c>
      <c r="L6" s="61" t="s">
        <v>47</v>
      </c>
      <c r="M6" s="61" t="s">
        <v>5</v>
      </c>
      <c r="N6" s="61" t="s">
        <v>42</v>
      </c>
      <c r="O6" s="166"/>
      <c r="P6" s="61" t="s">
        <v>52</v>
      </c>
      <c r="Q6" s="166"/>
      <c r="S6" s="120" t="s">
        <v>8</v>
      </c>
      <c r="T6" s="120" t="s">
        <v>6</v>
      </c>
      <c r="U6" s="120" t="s">
        <v>9</v>
      </c>
      <c r="V6" s="64" t="s">
        <v>10</v>
      </c>
      <c r="W6" s="24" t="s">
        <v>11</v>
      </c>
      <c r="X6" s="24" t="s">
        <v>12</v>
      </c>
      <c r="Y6" s="24" t="s">
        <v>13</v>
      </c>
      <c r="Z6" s="24" t="s">
        <v>14</v>
      </c>
    </row>
    <row r="7" spans="1:26" s="33" customFormat="1" ht="28.5" customHeight="1" thickBot="1" x14ac:dyDescent="0.3">
      <c r="B7" s="167" t="s">
        <v>38</v>
      </c>
      <c r="C7" s="67" t="s">
        <v>32</v>
      </c>
      <c r="D7" s="67" t="s">
        <v>39</v>
      </c>
      <c r="E7" s="67" t="s">
        <v>40</v>
      </c>
      <c r="F7" s="168"/>
      <c r="G7" s="67" t="s">
        <v>46</v>
      </c>
      <c r="H7" s="67" t="s">
        <v>43</v>
      </c>
      <c r="I7" s="67" t="s">
        <v>44</v>
      </c>
      <c r="J7" s="67" t="s">
        <v>45</v>
      </c>
      <c r="K7" s="169" t="s">
        <v>725</v>
      </c>
      <c r="L7" s="67" t="s">
        <v>48</v>
      </c>
      <c r="M7" s="67" t="s">
        <v>49</v>
      </c>
      <c r="N7" s="67" t="s">
        <v>50</v>
      </c>
      <c r="O7" s="170"/>
      <c r="S7" s="31" t="s">
        <v>23</v>
      </c>
      <c r="T7" s="31" t="s">
        <v>24</v>
      </c>
      <c r="U7" s="31" t="s">
        <v>25</v>
      </c>
      <c r="V7" s="69" t="s">
        <v>10</v>
      </c>
      <c r="W7" s="31" t="s">
        <v>26</v>
      </c>
      <c r="X7" s="31" t="s">
        <v>27</v>
      </c>
      <c r="Y7" s="31" t="s">
        <v>28</v>
      </c>
      <c r="Z7" s="31" t="s">
        <v>29</v>
      </c>
    </row>
    <row r="8" spans="1:26" s="33" customFormat="1" ht="17.25" customHeight="1" x14ac:dyDescent="0.25">
      <c r="B8" s="171" t="s">
        <v>71</v>
      </c>
      <c r="C8" s="172"/>
      <c r="D8" s="172"/>
      <c r="E8" s="172"/>
      <c r="F8" s="173"/>
      <c r="G8" s="172"/>
      <c r="H8" s="174"/>
      <c r="I8" s="174"/>
      <c r="J8" s="172"/>
      <c r="K8" s="170" t="str">
        <f>General!$D$13</f>
        <v>Years</v>
      </c>
      <c r="L8" s="170" t="str">
        <f>General!$D$21</f>
        <v>M$/(PJ/year)</v>
      </c>
      <c r="M8" s="170" t="str">
        <f>General!$D$11</f>
        <v>M$/PJa</v>
      </c>
      <c r="N8" s="170" t="str">
        <f>General!$D$12</f>
        <v>M$/PJ</v>
      </c>
      <c r="O8" s="170"/>
      <c r="P8" s="175"/>
      <c r="Q8" s="175"/>
      <c r="S8" s="115"/>
      <c r="T8" s="115"/>
      <c r="U8" s="115"/>
      <c r="V8" s="58"/>
      <c r="W8" s="115"/>
      <c r="X8" s="115"/>
      <c r="Y8" s="115"/>
      <c r="Z8" s="115"/>
    </row>
    <row r="9" spans="1:26" s="33" customFormat="1" ht="13.8" x14ac:dyDescent="0.25">
      <c r="B9" s="176" t="str">
        <f>T23</f>
        <v>STRBIOPLTN_IM01</v>
      </c>
      <c r="C9" s="176" t="str">
        <f>U23</f>
        <v>Production of Pellet Improved New</v>
      </c>
      <c r="D9" s="176" t="s">
        <v>133</v>
      </c>
      <c r="E9" s="176"/>
      <c r="F9" s="177">
        <f>G9</f>
        <v>2018</v>
      </c>
      <c r="G9" s="176">
        <f>BASE_YEAR+1</f>
        <v>2018</v>
      </c>
      <c r="H9" s="154">
        <v>0.96</v>
      </c>
      <c r="I9" s="178"/>
      <c r="J9" s="178">
        <v>0.9</v>
      </c>
      <c r="K9" s="178">
        <v>20</v>
      </c>
      <c r="L9" s="178">
        <f>7*(1/0.9)</f>
        <v>7.7777777777777786</v>
      </c>
      <c r="M9" s="178"/>
      <c r="N9" s="178"/>
      <c r="O9" s="180"/>
      <c r="P9" s="175"/>
      <c r="Q9" s="175"/>
      <c r="S9" s="115"/>
      <c r="T9" s="115"/>
      <c r="U9" s="115"/>
      <c r="V9" s="58"/>
      <c r="W9" s="115"/>
      <c r="X9" s="115"/>
      <c r="Y9" s="115"/>
      <c r="Z9" s="115"/>
    </row>
    <row r="10" spans="1:26" s="33" customFormat="1" ht="13.8" x14ac:dyDescent="0.25">
      <c r="B10" s="181"/>
      <c r="C10" s="181"/>
      <c r="D10" s="181" t="s">
        <v>55</v>
      </c>
      <c r="E10" s="181"/>
      <c r="F10" s="110">
        <f>F9</f>
        <v>2018</v>
      </c>
      <c r="G10" s="181"/>
      <c r="H10" s="182">
        <v>0.3</v>
      </c>
      <c r="I10" s="105"/>
      <c r="J10" s="105"/>
      <c r="K10" s="105"/>
      <c r="L10" s="105"/>
      <c r="M10" s="105"/>
      <c r="N10" s="105"/>
      <c r="O10" s="180"/>
      <c r="S10" s="115"/>
      <c r="T10" s="115"/>
      <c r="U10" s="115"/>
      <c r="V10" s="58"/>
      <c r="W10" s="115"/>
      <c r="X10" s="115"/>
      <c r="Y10" s="115"/>
      <c r="Z10" s="115"/>
    </row>
    <row r="11" spans="1:26" s="33" customFormat="1" ht="13.8" x14ac:dyDescent="0.25">
      <c r="B11" s="181"/>
      <c r="C11" s="181"/>
      <c r="D11" s="181" t="s">
        <v>239</v>
      </c>
      <c r="E11" s="181"/>
      <c r="F11" s="110">
        <f>F10</f>
        <v>2018</v>
      </c>
      <c r="G11" s="181"/>
      <c r="H11" s="182">
        <v>0.2</v>
      </c>
      <c r="I11" s="105"/>
      <c r="J11" s="105"/>
      <c r="K11" s="105"/>
      <c r="L11" s="105"/>
      <c r="M11" s="105"/>
      <c r="N11" s="105"/>
      <c r="O11" s="180"/>
      <c r="S11" s="115"/>
      <c r="T11" s="115"/>
      <c r="U11" s="115"/>
      <c r="V11" s="58"/>
      <c r="W11" s="115"/>
      <c r="X11" s="115"/>
      <c r="Y11" s="115"/>
      <c r="Z11" s="115"/>
    </row>
    <row r="12" spans="1:26" s="33" customFormat="1" ht="13.8" x14ac:dyDescent="0.25">
      <c r="B12" s="184"/>
      <c r="C12" s="184"/>
      <c r="D12" s="184"/>
      <c r="E12" s="184" t="s">
        <v>162</v>
      </c>
      <c r="F12" s="125">
        <f>F11</f>
        <v>2018</v>
      </c>
      <c r="G12" s="184"/>
      <c r="H12" s="186"/>
      <c r="I12" s="185">
        <v>1</v>
      </c>
      <c r="J12" s="185"/>
      <c r="K12" s="185"/>
      <c r="L12" s="185"/>
      <c r="M12" s="185"/>
      <c r="N12" s="185"/>
      <c r="O12" s="180"/>
      <c r="S12" s="115"/>
      <c r="T12" s="115"/>
      <c r="U12" s="115"/>
      <c r="V12" s="58"/>
      <c r="W12" s="115"/>
      <c r="X12" s="115"/>
      <c r="Y12" s="115"/>
      <c r="Z12" s="115"/>
    </row>
    <row r="13" spans="1:26" s="33" customFormat="1" ht="13.8" x14ac:dyDescent="0.25">
      <c r="B13" s="176" t="str">
        <f>T24</f>
        <v>STRBIOPLTN_AD01</v>
      </c>
      <c r="C13" s="176" t="str">
        <f>U24</f>
        <v>Production of Pellet Advanced New</v>
      </c>
      <c r="D13" s="176" t="s">
        <v>133</v>
      </c>
      <c r="F13" s="177">
        <f>G13</f>
        <v>2023</v>
      </c>
      <c r="G13" s="176">
        <f>G9+5</f>
        <v>2023</v>
      </c>
      <c r="H13" s="154">
        <v>0.96</v>
      </c>
      <c r="I13" s="178"/>
      <c r="J13" s="178">
        <v>0.9</v>
      </c>
      <c r="K13" s="178">
        <v>20</v>
      </c>
      <c r="L13" s="178">
        <f>7*(1/0.9)</f>
        <v>7.7777777777777786</v>
      </c>
      <c r="M13" s="178"/>
      <c r="N13" s="178"/>
      <c r="V13" s="34"/>
    </row>
    <row r="14" spans="1:26" s="33" customFormat="1" ht="13.8" x14ac:dyDescent="0.25">
      <c r="B14" s="181"/>
      <c r="C14" s="181"/>
      <c r="D14" s="181" t="s">
        <v>55</v>
      </c>
      <c r="E14" s="181"/>
      <c r="F14" s="110">
        <f>F13</f>
        <v>2023</v>
      </c>
      <c r="G14" s="181"/>
      <c r="H14" s="182">
        <v>0.3</v>
      </c>
      <c r="I14" s="105"/>
      <c r="J14" s="105"/>
      <c r="K14" s="105"/>
      <c r="L14" s="105"/>
      <c r="M14" s="105"/>
      <c r="N14" s="105"/>
      <c r="V14" s="34"/>
    </row>
    <row r="15" spans="1:26" s="33" customFormat="1" ht="13.8" x14ac:dyDescent="0.25">
      <c r="B15" s="181"/>
      <c r="C15" s="181"/>
      <c r="D15" s="181" t="s">
        <v>239</v>
      </c>
      <c r="E15" s="181"/>
      <c r="F15" s="110">
        <f>F14</f>
        <v>2023</v>
      </c>
      <c r="G15" s="181"/>
      <c r="H15" s="182">
        <v>0.2</v>
      </c>
      <c r="I15" s="105"/>
      <c r="J15" s="105"/>
      <c r="K15" s="105"/>
      <c r="L15" s="105"/>
      <c r="M15" s="105"/>
      <c r="N15" s="105"/>
      <c r="V15" s="34"/>
    </row>
    <row r="16" spans="1:26" s="33" customFormat="1" ht="13.8" x14ac:dyDescent="0.25">
      <c r="B16" s="184"/>
      <c r="C16" s="184"/>
      <c r="D16" s="184"/>
      <c r="E16" s="184" t="s">
        <v>162</v>
      </c>
      <c r="F16" s="125">
        <f>F15</f>
        <v>2023</v>
      </c>
      <c r="G16" s="184"/>
      <c r="H16" s="186"/>
      <c r="I16" s="185">
        <v>1</v>
      </c>
      <c r="J16" s="185"/>
      <c r="K16" s="185"/>
      <c r="L16" s="185"/>
      <c r="M16" s="185"/>
      <c r="N16" s="185"/>
      <c r="V16" s="34"/>
    </row>
    <row r="17" spans="2:27" s="33" customFormat="1" x14ac:dyDescent="0.25">
      <c r="V17" s="34"/>
    </row>
    <row r="18" spans="2:27" s="33" customFormat="1" x14ac:dyDescent="0.25">
      <c r="V18" s="34"/>
    </row>
    <row r="19" spans="2:27" s="33" customFormat="1" ht="17.399999999999999" x14ac:dyDescent="0.3">
      <c r="B19" s="180"/>
      <c r="C19" s="180"/>
      <c r="D19" s="180"/>
      <c r="E19" s="180"/>
      <c r="F19" s="180"/>
      <c r="G19" s="180"/>
      <c r="H19" s="170"/>
      <c r="I19" s="180"/>
      <c r="J19" s="180"/>
      <c r="K19" s="180"/>
      <c r="L19" s="180"/>
      <c r="M19" s="180"/>
      <c r="N19" s="180"/>
      <c r="S19" s="189" t="s">
        <v>76</v>
      </c>
      <c r="T19" s="189" t="s">
        <v>77</v>
      </c>
      <c r="U19" s="57"/>
      <c r="V19" s="34"/>
    </row>
    <row r="20" spans="2:27" s="33" customFormat="1" x14ac:dyDescent="0.25">
      <c r="B20" s="180"/>
      <c r="C20" s="180"/>
      <c r="D20" s="28"/>
      <c r="E20" s="28"/>
      <c r="F20" s="180"/>
      <c r="G20" s="180"/>
      <c r="H20" s="170"/>
      <c r="I20" s="180"/>
      <c r="J20" s="180"/>
      <c r="K20" s="180"/>
      <c r="L20" s="180"/>
      <c r="M20" s="180"/>
      <c r="N20" s="180"/>
      <c r="S20" s="16" t="s">
        <v>17</v>
      </c>
      <c r="T20" s="16"/>
      <c r="U20" s="115"/>
      <c r="V20" s="58"/>
      <c r="W20" s="115"/>
      <c r="X20" s="115"/>
      <c r="Y20" s="115"/>
      <c r="Z20" s="115"/>
    </row>
    <row r="21" spans="2:27" s="33" customFormat="1" x14ac:dyDescent="0.25">
      <c r="B21" s="180"/>
      <c r="C21" s="180"/>
      <c r="D21" s="28"/>
      <c r="E21" s="28"/>
      <c r="F21" s="180"/>
      <c r="G21" s="180"/>
      <c r="H21" s="170"/>
      <c r="I21" s="180"/>
      <c r="J21" s="180"/>
      <c r="K21" s="180"/>
      <c r="L21" s="180"/>
      <c r="M21" s="180"/>
      <c r="N21" s="180"/>
      <c r="S21" s="191" t="s">
        <v>16</v>
      </c>
      <c r="T21" s="191" t="s">
        <v>1</v>
      </c>
      <c r="U21" s="191" t="s">
        <v>2</v>
      </c>
      <c r="V21" s="192" t="s">
        <v>18</v>
      </c>
      <c r="W21" s="191" t="s">
        <v>19</v>
      </c>
      <c r="X21" s="191" t="s">
        <v>20</v>
      </c>
      <c r="Y21" s="191" t="s">
        <v>21</v>
      </c>
      <c r="Z21" s="191" t="s">
        <v>22</v>
      </c>
    </row>
    <row r="22" spans="2:27" s="33" customFormat="1" ht="13.8" thickBot="1" x14ac:dyDescent="0.3">
      <c r="B22" s="180"/>
      <c r="C22" s="180"/>
      <c r="D22" s="180"/>
      <c r="E22" s="180"/>
      <c r="F22" s="180"/>
      <c r="G22" s="180"/>
      <c r="H22" s="170"/>
      <c r="I22" s="180"/>
      <c r="J22" s="180"/>
      <c r="K22" s="180"/>
      <c r="L22" s="180"/>
      <c r="M22" s="180"/>
      <c r="N22" s="180"/>
      <c r="S22" s="32" t="s">
        <v>30</v>
      </c>
      <c r="T22" s="32" t="s">
        <v>31</v>
      </c>
      <c r="U22" s="32" t="s">
        <v>32</v>
      </c>
      <c r="V22" s="194" t="s">
        <v>33</v>
      </c>
      <c r="W22" s="32" t="s">
        <v>34</v>
      </c>
      <c r="X22" s="32" t="s">
        <v>35</v>
      </c>
      <c r="Y22" s="32" t="s">
        <v>36</v>
      </c>
      <c r="Z22" s="32" t="s">
        <v>37</v>
      </c>
    </row>
    <row r="23" spans="2:27" s="33" customFormat="1" x14ac:dyDescent="0.25">
      <c r="B23" s="180"/>
      <c r="C23" s="180"/>
      <c r="D23" s="180"/>
      <c r="E23" s="180"/>
      <c r="F23" s="180"/>
      <c r="G23" s="180"/>
      <c r="H23" s="170"/>
      <c r="I23" s="180"/>
      <c r="J23" s="180"/>
      <c r="K23" s="180"/>
      <c r="L23" s="180"/>
      <c r="M23" s="180"/>
      <c r="N23" s="180"/>
      <c r="S23" s="115" t="s">
        <v>60</v>
      </c>
      <c r="T23" s="12" t="str">
        <f>"STR"&amp;Commodities!D49&amp;$T$19&amp;"_IM01"</f>
        <v>STRBIOPLTN_IM01</v>
      </c>
      <c r="U23" s="12" t="s">
        <v>842</v>
      </c>
      <c r="V23" s="58" t="str">
        <f>General!$B$2</f>
        <v>PJ</v>
      </c>
      <c r="W23" s="58" t="str">
        <f>General!$B$3</f>
        <v>PJa</v>
      </c>
      <c r="X23" s="12"/>
      <c r="Y23" s="12"/>
      <c r="Z23" s="12"/>
      <c r="AA23" s="12"/>
    </row>
    <row r="24" spans="2:27" s="33" customFormat="1" x14ac:dyDescent="0.25">
      <c r="B24" s="180"/>
      <c r="C24" s="180"/>
      <c r="D24" s="180"/>
      <c r="E24" s="180"/>
      <c r="F24" s="180"/>
      <c r="G24" s="180"/>
      <c r="H24" s="170"/>
      <c r="I24" s="180"/>
      <c r="J24" s="180"/>
      <c r="K24" s="180"/>
      <c r="L24" s="180"/>
      <c r="M24" s="180"/>
      <c r="N24" s="180"/>
      <c r="P24" s="180"/>
      <c r="Q24" s="180"/>
      <c r="S24" s="115"/>
      <c r="T24" s="12" t="str">
        <f>"STR"&amp;Commodities!D49&amp;$T$19&amp;"_AD01"</f>
        <v>STRBIOPLTN_AD01</v>
      </c>
      <c r="U24" s="12" t="s">
        <v>843</v>
      </c>
      <c r="V24" s="58" t="str">
        <f>General!$B$2</f>
        <v>PJ</v>
      </c>
      <c r="W24" s="58" t="str">
        <f>General!$B$3</f>
        <v>PJa</v>
      </c>
      <c r="X24" s="115"/>
      <c r="Y24" s="115"/>
      <c r="Z24" s="115"/>
    </row>
    <row r="25" spans="2:27" s="33" customFormat="1" x14ac:dyDescent="0.25">
      <c r="B25" s="180"/>
      <c r="C25" s="180"/>
      <c r="D25" s="180"/>
      <c r="E25" s="180"/>
      <c r="F25" s="180"/>
      <c r="G25" s="180"/>
      <c r="H25" s="170"/>
      <c r="I25" s="180"/>
      <c r="J25" s="180"/>
      <c r="K25" s="180"/>
      <c r="L25" s="180"/>
      <c r="P25" s="180"/>
      <c r="Q25" s="180"/>
      <c r="S25" s="115"/>
      <c r="T25" s="12" t="str">
        <f>"STR"&amp;Commodities!D48&amp;$T$19&amp;"_AD01"</f>
        <v>STRBIOBGSN_AD01</v>
      </c>
      <c r="U25" s="12" t="s">
        <v>844</v>
      </c>
      <c r="V25" s="58" t="str">
        <f>General!$B$2</f>
        <v>PJ</v>
      </c>
      <c r="W25" s="58" t="str">
        <f>General!$B$3</f>
        <v>PJa</v>
      </c>
      <c r="X25" s="115"/>
      <c r="Y25" s="115" t="str">
        <f>E51</f>
        <v>BIOBGS</v>
      </c>
      <c r="Z25" s="115"/>
    </row>
    <row r="26" spans="2:27" s="33" customFormat="1" x14ac:dyDescent="0.25">
      <c r="B26" s="180"/>
      <c r="C26" s="180"/>
      <c r="D26" s="180"/>
      <c r="E26" s="180"/>
      <c r="F26" s="180"/>
      <c r="G26" s="180"/>
      <c r="H26" s="170"/>
      <c r="I26" s="180"/>
      <c r="J26" s="180"/>
      <c r="K26" s="180"/>
      <c r="L26" s="180"/>
      <c r="O26" s="180"/>
      <c r="P26" s="180"/>
      <c r="Q26" s="180"/>
      <c r="S26" s="115"/>
      <c r="T26" s="57" t="str">
        <f>"STR"&amp;Commodities!D48&amp;$T$19&amp;"_ST01"</f>
        <v>STRBIOBGSN_ST01</v>
      </c>
      <c r="U26" s="57" t="s">
        <v>867</v>
      </c>
      <c r="V26" s="58" t="str">
        <f>General!$B$2</f>
        <v>PJ</v>
      </c>
      <c r="W26" s="58" t="str">
        <f>General!$B$3</f>
        <v>PJa</v>
      </c>
      <c r="X26" s="115"/>
      <c r="Y26" s="115"/>
      <c r="Z26" s="115"/>
    </row>
    <row r="27" spans="2:27" s="33" customFormat="1" x14ac:dyDescent="0.25">
      <c r="B27" s="180"/>
      <c r="C27" s="180"/>
      <c r="D27" s="180"/>
      <c r="E27" s="180"/>
      <c r="F27" s="180"/>
      <c r="G27" s="180"/>
      <c r="H27" s="170"/>
      <c r="I27" s="180"/>
      <c r="J27" s="180"/>
      <c r="K27" s="180"/>
      <c r="L27" s="180"/>
      <c r="O27" s="180"/>
      <c r="P27" s="180"/>
      <c r="Q27" s="180"/>
      <c r="S27" s="115"/>
      <c r="T27" s="57" t="str">
        <f>"STR"&amp;Commodities!D48&amp;$T$19&amp;"_ST02"</f>
        <v>STRBIOBGSN_ST02</v>
      </c>
      <c r="U27" s="57" t="s">
        <v>868</v>
      </c>
      <c r="V27" s="58" t="str">
        <f>General!$B$2</f>
        <v>PJ</v>
      </c>
      <c r="W27" s="58" t="str">
        <f>General!$B$3</f>
        <v>PJa</v>
      </c>
      <c r="X27" s="115"/>
      <c r="Y27" s="115"/>
      <c r="Z27" s="115"/>
    </row>
    <row r="28" spans="2:27" s="33" customFormat="1" ht="15" customHeight="1" x14ac:dyDescent="0.3">
      <c r="B28" s="239"/>
      <c r="C28" s="239"/>
      <c r="D28" s="180"/>
      <c r="E28" s="180"/>
      <c r="F28" s="240"/>
      <c r="G28" s="240"/>
      <c r="H28" s="240"/>
      <c r="I28" s="180"/>
      <c r="J28" s="180"/>
      <c r="K28" s="180"/>
      <c r="L28" s="180"/>
      <c r="M28" s="180"/>
      <c r="N28" s="180"/>
      <c r="O28" s="180"/>
      <c r="P28" s="180"/>
      <c r="Q28" s="180"/>
      <c r="S28" s="115"/>
      <c r="T28" s="57" t="str">
        <f>"STR"&amp;Commodities!D48&amp;$T$19&amp;"_ST03"</f>
        <v>STRBIOBGSN_ST03</v>
      </c>
      <c r="U28" s="57" t="s">
        <v>869</v>
      </c>
      <c r="V28" s="58" t="str">
        <f>General!$B$2</f>
        <v>PJ</v>
      </c>
      <c r="W28" s="58" t="str">
        <f>General!$B$3</f>
        <v>PJa</v>
      </c>
      <c r="X28" s="115"/>
      <c r="Y28" s="115"/>
      <c r="Z28" s="115"/>
    </row>
    <row r="29" spans="2:27" s="33" customFormat="1" x14ac:dyDescent="0.25">
      <c r="B29" s="241"/>
      <c r="C29" s="241"/>
      <c r="D29" s="241"/>
      <c r="E29" s="241"/>
      <c r="F29" s="166"/>
      <c r="G29" s="241"/>
      <c r="H29" s="241"/>
      <c r="I29" s="166"/>
      <c r="J29" s="166"/>
      <c r="K29" s="166"/>
      <c r="L29" s="180"/>
      <c r="M29" s="166"/>
      <c r="N29" s="180"/>
      <c r="O29" s="180"/>
      <c r="P29" s="180"/>
      <c r="Q29" s="180"/>
      <c r="S29" s="115"/>
      <c r="T29" s="57" t="str">
        <f>"STRHTH"&amp;Commodities!D48&amp;$T$19&amp;"_ST01"</f>
        <v>STRHTHBIOBGSN_ST01</v>
      </c>
      <c r="U29" s="57" t="s">
        <v>904</v>
      </c>
      <c r="V29" s="58" t="str">
        <f>General!$B$2</f>
        <v>PJ</v>
      </c>
      <c r="W29" s="58" t="str">
        <f>General!$B$3</f>
        <v>PJa</v>
      </c>
      <c r="X29" s="115"/>
      <c r="Y29" s="115"/>
      <c r="Z29" s="115"/>
    </row>
    <row r="30" spans="2:27" s="33" customFormat="1" x14ac:dyDescent="0.25">
      <c r="B30" s="221"/>
      <c r="C30" s="170"/>
      <c r="D30" s="170"/>
      <c r="E30" s="170"/>
      <c r="F30" s="170"/>
      <c r="G30" s="170"/>
      <c r="H30" s="170"/>
      <c r="I30" s="170"/>
      <c r="J30" s="170"/>
      <c r="K30" s="170"/>
      <c r="L30" s="180"/>
      <c r="M30" s="170"/>
      <c r="N30" s="180"/>
      <c r="O30" s="180"/>
      <c r="P30" s="180"/>
      <c r="Q30" s="180"/>
    </row>
    <row r="31" spans="2:27" s="33" customFormat="1" x14ac:dyDescent="0.25">
      <c r="B31" s="242"/>
      <c r="C31" s="170"/>
      <c r="D31" s="170"/>
      <c r="E31" s="170"/>
      <c r="F31" s="170"/>
      <c r="G31" s="170"/>
      <c r="H31" s="170"/>
      <c r="I31" s="170"/>
      <c r="J31" s="170"/>
      <c r="K31" s="170"/>
      <c r="L31" s="180"/>
      <c r="M31" s="170"/>
      <c r="N31" s="180"/>
      <c r="O31" s="180"/>
      <c r="T31" s="34"/>
    </row>
    <row r="32" spans="2:27" s="33" customFormat="1" ht="13.8" x14ac:dyDescent="0.25">
      <c r="B32" s="212"/>
      <c r="C32" s="212"/>
      <c r="D32" s="181"/>
      <c r="E32" s="181"/>
      <c r="F32" s="105"/>
      <c r="G32" s="181"/>
      <c r="H32" s="105"/>
      <c r="I32" s="105"/>
      <c r="J32" s="181"/>
      <c r="K32" s="181"/>
      <c r="L32" s="180"/>
      <c r="M32" s="180"/>
      <c r="N32" s="180"/>
      <c r="O32" s="180"/>
      <c r="T32" s="34"/>
    </row>
    <row r="33" spans="2:22" s="33" customFormat="1" ht="13.8" x14ac:dyDescent="0.25">
      <c r="B33" s="112"/>
      <c r="C33" s="200"/>
      <c r="D33" s="200"/>
      <c r="E33" s="200"/>
      <c r="F33" s="200"/>
      <c r="G33" s="200"/>
      <c r="H33" s="48"/>
      <c r="I33" s="200"/>
      <c r="J33" s="181"/>
      <c r="K33" s="181"/>
      <c r="M33" s="180"/>
      <c r="T33" s="34"/>
    </row>
    <row r="34" spans="2:22" s="33" customFormat="1" ht="13.8" x14ac:dyDescent="0.25">
      <c r="B34" s="112"/>
      <c r="C34" s="200"/>
      <c r="D34" s="200"/>
      <c r="E34" s="200"/>
      <c r="F34" s="200"/>
      <c r="G34" s="200"/>
      <c r="H34" s="48"/>
      <c r="I34" s="200"/>
      <c r="J34" s="181"/>
      <c r="K34" s="181"/>
      <c r="T34" s="34"/>
    </row>
    <row r="35" spans="2:22" s="33" customFormat="1" x14ac:dyDescent="0.25">
      <c r="H35" s="34"/>
      <c r="T35" s="34"/>
    </row>
    <row r="36" spans="2:22" s="33" customFormat="1" x14ac:dyDescent="0.25">
      <c r="H36" s="34"/>
      <c r="T36" s="34"/>
    </row>
    <row r="37" spans="2:22" s="33" customFormat="1" x14ac:dyDescent="0.25">
      <c r="H37" s="34"/>
      <c r="T37" s="34"/>
    </row>
    <row r="38" spans="2:22" s="33" customFormat="1" ht="17.399999999999999" x14ac:dyDescent="0.3">
      <c r="B38" s="51" t="s">
        <v>870</v>
      </c>
      <c r="C38" s="51"/>
      <c r="G38" s="163" t="s">
        <v>0</v>
      </c>
      <c r="H38" s="163"/>
      <c r="I38" s="82"/>
      <c r="U38" s="34"/>
    </row>
    <row r="39" spans="2:22" s="33" customFormat="1" ht="13.8" x14ac:dyDescent="0.25">
      <c r="B39" s="164" t="s">
        <v>1</v>
      </c>
      <c r="C39" s="164" t="s">
        <v>61</v>
      </c>
      <c r="D39" s="164" t="s">
        <v>3</v>
      </c>
      <c r="E39" s="164" t="s">
        <v>4</v>
      </c>
      <c r="F39" s="59" t="s">
        <v>871</v>
      </c>
      <c r="G39" s="165" t="s">
        <v>62</v>
      </c>
      <c r="H39" s="61" t="s">
        <v>15</v>
      </c>
      <c r="I39" s="61" t="s">
        <v>872</v>
      </c>
      <c r="J39" s="61" t="s">
        <v>53</v>
      </c>
      <c r="K39" s="61" t="s">
        <v>54</v>
      </c>
      <c r="L39" s="61" t="s">
        <v>41</v>
      </c>
      <c r="M39" s="62" t="s">
        <v>724</v>
      </c>
      <c r="N39" s="61" t="s">
        <v>47</v>
      </c>
      <c r="O39" s="61" t="s">
        <v>5</v>
      </c>
      <c r="P39" s="61" t="s">
        <v>42</v>
      </c>
      <c r="S39" s="61" t="s">
        <v>52</v>
      </c>
      <c r="V39" s="34"/>
    </row>
    <row r="40" spans="2:22" s="33" customFormat="1" ht="40.200000000000003" thickBot="1" x14ac:dyDescent="0.3">
      <c r="B40" s="167" t="s">
        <v>38</v>
      </c>
      <c r="C40" s="67" t="s">
        <v>32</v>
      </c>
      <c r="D40" s="67" t="s">
        <v>39</v>
      </c>
      <c r="E40" s="67" t="s">
        <v>40</v>
      </c>
      <c r="F40" s="67" t="s">
        <v>897</v>
      </c>
      <c r="G40" s="168"/>
      <c r="H40" s="67" t="s">
        <v>46</v>
      </c>
      <c r="I40" s="169"/>
      <c r="J40" s="67" t="s">
        <v>43</v>
      </c>
      <c r="K40" s="67" t="s">
        <v>44</v>
      </c>
      <c r="L40" s="67" t="s">
        <v>45</v>
      </c>
      <c r="M40" s="169" t="s">
        <v>725</v>
      </c>
      <c r="N40" s="67" t="s">
        <v>48</v>
      </c>
      <c r="O40" s="67" t="s">
        <v>49</v>
      </c>
      <c r="P40" s="67" t="s">
        <v>50</v>
      </c>
      <c r="S40" s="170"/>
      <c r="V40" s="34"/>
    </row>
    <row r="41" spans="2:22" s="33" customFormat="1" x14ac:dyDescent="0.25">
      <c r="B41" s="171" t="s">
        <v>71</v>
      </c>
      <c r="C41" s="172"/>
      <c r="D41" s="172"/>
      <c r="E41" s="172"/>
      <c r="F41" s="172"/>
      <c r="G41" s="173"/>
      <c r="H41" s="172"/>
      <c r="I41" s="174"/>
      <c r="J41" s="174"/>
      <c r="K41" s="174"/>
      <c r="L41" s="172"/>
      <c r="M41" s="170" t="s">
        <v>73</v>
      </c>
      <c r="N41" s="172" t="s">
        <v>1022</v>
      </c>
      <c r="O41" s="172" t="s">
        <v>1022</v>
      </c>
      <c r="P41" s="170" t="s">
        <v>1023</v>
      </c>
      <c r="S41" s="170"/>
      <c r="V41" s="34"/>
    </row>
    <row r="42" spans="2:22" s="33" customFormat="1" ht="13.8" x14ac:dyDescent="0.25">
      <c r="B42" s="188" t="str">
        <f>T26</f>
        <v>STRBIOBGSN_ST01</v>
      </c>
      <c r="C42" s="188" t="str">
        <f>U26</f>
        <v>Biogas production from Animal Waste</v>
      </c>
      <c r="D42" s="176" t="s">
        <v>143</v>
      </c>
      <c r="E42" s="176"/>
      <c r="F42" s="176"/>
      <c r="G42" s="177">
        <f>H42</f>
        <v>2017</v>
      </c>
      <c r="H42" s="178">
        <v>2017</v>
      </c>
      <c r="I42" s="178"/>
      <c r="J42" s="154">
        <v>1.5</v>
      </c>
      <c r="K42" s="178"/>
      <c r="L42" s="178">
        <v>0.9</v>
      </c>
      <c r="M42" s="178">
        <v>20</v>
      </c>
      <c r="N42" s="179">
        <v>9.512937595129376</v>
      </c>
      <c r="O42" s="178">
        <v>1.5696347031963469</v>
      </c>
      <c r="P42" s="154"/>
      <c r="S42" s="180" t="s">
        <v>903</v>
      </c>
      <c r="V42" s="34"/>
    </row>
    <row r="43" spans="2:22" s="33" customFormat="1" ht="13.8" x14ac:dyDescent="0.25">
      <c r="B43" s="181"/>
      <c r="C43" s="181"/>
      <c r="D43" s="97"/>
      <c r="E43" s="97" t="s">
        <v>160</v>
      </c>
      <c r="F43" s="97"/>
      <c r="G43" s="110">
        <f>G42</f>
        <v>2017</v>
      </c>
      <c r="H43" s="105"/>
      <c r="I43" s="105"/>
      <c r="J43" s="182"/>
      <c r="K43" s="105">
        <v>1</v>
      </c>
      <c r="L43" s="105"/>
      <c r="M43" s="105"/>
      <c r="N43" s="105"/>
      <c r="O43" s="105"/>
      <c r="P43" s="182"/>
      <c r="V43" s="34"/>
    </row>
    <row r="44" spans="2:22" s="33" customFormat="1" ht="13.8" x14ac:dyDescent="0.25">
      <c r="B44" s="184"/>
      <c r="C44" s="184"/>
      <c r="D44" s="184"/>
      <c r="E44" s="184"/>
      <c r="F44" s="184" t="s">
        <v>55</v>
      </c>
      <c r="G44" s="125">
        <f>G43</f>
        <v>2017</v>
      </c>
      <c r="H44" s="185"/>
      <c r="I44" s="185">
        <f>3.7/100</f>
        <v>3.7000000000000005E-2</v>
      </c>
      <c r="J44" s="184"/>
      <c r="K44" s="185"/>
      <c r="L44" s="185"/>
      <c r="M44" s="185"/>
      <c r="N44" s="185"/>
      <c r="O44" s="185"/>
      <c r="P44" s="185"/>
      <c r="V44" s="34"/>
    </row>
    <row r="45" spans="2:22" s="33" customFormat="1" ht="13.8" x14ac:dyDescent="0.25">
      <c r="B45" s="188" t="str">
        <f>T27</f>
        <v>STRBIOBGSN_ST02</v>
      </c>
      <c r="C45" s="188" t="str">
        <f>U27</f>
        <v>Biogas production from Agro-food industrial waste</v>
      </c>
      <c r="D45" s="176" t="s">
        <v>141</v>
      </c>
      <c r="E45" s="176"/>
      <c r="F45" s="176"/>
      <c r="G45" s="177">
        <f>H45</f>
        <v>2017</v>
      </c>
      <c r="H45" s="178">
        <v>2017</v>
      </c>
      <c r="I45" s="178"/>
      <c r="J45" s="154">
        <v>1.5</v>
      </c>
      <c r="K45" s="178"/>
      <c r="L45" s="178">
        <v>0.9</v>
      </c>
      <c r="M45" s="178">
        <v>20</v>
      </c>
      <c r="N45" s="179">
        <v>9.512937595129376</v>
      </c>
      <c r="O45" s="178">
        <v>1.5696347031963469</v>
      </c>
      <c r="P45" s="154"/>
      <c r="S45" s="180" t="s">
        <v>903</v>
      </c>
      <c r="V45" s="34"/>
    </row>
    <row r="46" spans="2:22" s="33" customFormat="1" ht="13.8" x14ac:dyDescent="0.25">
      <c r="B46" s="181"/>
      <c r="C46" s="181"/>
      <c r="D46" s="97"/>
      <c r="E46" s="97" t="s">
        <v>160</v>
      </c>
      <c r="F46" s="97"/>
      <c r="G46" s="110">
        <f>G45</f>
        <v>2017</v>
      </c>
      <c r="H46" s="105"/>
      <c r="I46" s="105"/>
      <c r="J46" s="182"/>
      <c r="K46" s="105">
        <v>1</v>
      </c>
      <c r="L46" s="105"/>
      <c r="M46" s="105"/>
      <c r="N46" s="105"/>
      <c r="O46" s="105"/>
      <c r="P46" s="182"/>
      <c r="V46" s="34"/>
    </row>
    <row r="47" spans="2:22" s="33" customFormat="1" ht="13.8" x14ac:dyDescent="0.25">
      <c r="B47" s="184"/>
      <c r="C47" s="184"/>
      <c r="D47" s="184"/>
      <c r="E47" s="184"/>
      <c r="F47" s="184" t="s">
        <v>55</v>
      </c>
      <c r="G47" s="125">
        <f>G46</f>
        <v>2017</v>
      </c>
      <c r="H47" s="185"/>
      <c r="I47" s="185">
        <f>3.7/100</f>
        <v>3.7000000000000005E-2</v>
      </c>
      <c r="J47" s="184"/>
      <c r="K47" s="185"/>
      <c r="L47" s="185"/>
      <c r="M47" s="185"/>
      <c r="N47" s="185"/>
      <c r="O47" s="185"/>
      <c r="P47" s="185"/>
      <c r="V47" s="34"/>
    </row>
    <row r="48" spans="2:22" s="33" customFormat="1" ht="13.8" x14ac:dyDescent="0.25">
      <c r="B48" s="188" t="str">
        <f>T28</f>
        <v>STRBIOBGSN_ST03</v>
      </c>
      <c r="C48" s="188" t="str">
        <f>U28</f>
        <v>Biogas production from MSW</v>
      </c>
      <c r="D48" s="176" t="s">
        <v>139</v>
      </c>
      <c r="E48" s="176"/>
      <c r="F48" s="176"/>
      <c r="G48" s="177">
        <f>H48</f>
        <v>2017</v>
      </c>
      <c r="H48" s="178">
        <v>2017</v>
      </c>
      <c r="I48" s="178"/>
      <c r="J48" s="154">
        <v>1.3496774193548389</v>
      </c>
      <c r="K48" s="178"/>
      <c r="L48" s="178">
        <v>0.9</v>
      </c>
      <c r="M48" s="178">
        <v>20</v>
      </c>
      <c r="N48" s="179">
        <v>57.077625570776256</v>
      </c>
      <c r="O48" s="178">
        <v>6.2785388127853878E-3</v>
      </c>
      <c r="P48" s="154"/>
      <c r="S48" s="180" t="s">
        <v>903</v>
      </c>
      <c r="V48" s="34"/>
    </row>
    <row r="49" spans="2:22" s="33" customFormat="1" ht="13.8" x14ac:dyDescent="0.25">
      <c r="B49" s="181"/>
      <c r="C49" s="181"/>
      <c r="D49" s="97"/>
      <c r="E49" s="97" t="s">
        <v>160</v>
      </c>
      <c r="F49" s="97"/>
      <c r="G49" s="110">
        <f>G48</f>
        <v>2017</v>
      </c>
      <c r="H49" s="105"/>
      <c r="I49" s="105"/>
      <c r="J49" s="182"/>
      <c r="K49" s="105">
        <v>1</v>
      </c>
      <c r="L49" s="105"/>
      <c r="M49" s="105"/>
      <c r="N49" s="105"/>
      <c r="O49" s="105"/>
      <c r="P49" s="182"/>
      <c r="V49" s="34"/>
    </row>
    <row r="50" spans="2:22" s="33" customFormat="1" ht="13.8" x14ac:dyDescent="0.25">
      <c r="B50" s="184"/>
      <c r="C50" s="184"/>
      <c r="D50" s="184"/>
      <c r="E50" s="184"/>
      <c r="F50" s="184" t="s">
        <v>55</v>
      </c>
      <c r="G50" s="125">
        <f>G49</f>
        <v>2017</v>
      </c>
      <c r="H50" s="185"/>
      <c r="I50" s="185">
        <f>3.7/100</f>
        <v>3.7000000000000005E-2</v>
      </c>
      <c r="J50" s="184"/>
      <c r="K50" s="185"/>
      <c r="L50" s="185"/>
      <c r="M50" s="185"/>
      <c r="N50" s="185"/>
      <c r="O50" s="185"/>
      <c r="P50" s="185"/>
      <c r="V50" s="34"/>
    </row>
    <row r="51" spans="2:22" s="33" customFormat="1" ht="13.8" x14ac:dyDescent="0.25">
      <c r="B51" s="188" t="str">
        <f>T25</f>
        <v>STRBIOBGSN_AD01</v>
      </c>
      <c r="C51" s="188" t="str">
        <f>U25</f>
        <v>Gasification Wood Advanced New</v>
      </c>
      <c r="D51" s="176" t="s">
        <v>133</v>
      </c>
      <c r="E51" s="176" t="s">
        <v>160</v>
      </c>
      <c r="F51" s="176"/>
      <c r="G51" s="177">
        <f>H51</f>
        <v>2030</v>
      </c>
      <c r="H51" s="178">
        <v>2030</v>
      </c>
      <c r="I51" s="178"/>
      <c r="J51" s="154">
        <v>1.3066666666666666</v>
      </c>
      <c r="K51" s="178">
        <v>1</v>
      </c>
      <c r="L51" s="178">
        <v>0.92</v>
      </c>
      <c r="M51" s="178">
        <v>20</v>
      </c>
      <c r="N51" s="179">
        <v>63.419583967529171</v>
      </c>
      <c r="O51" s="178">
        <v>0.66590563165905625</v>
      </c>
      <c r="P51" s="154">
        <v>0.72222222222222221</v>
      </c>
      <c r="S51" s="180" t="s">
        <v>903</v>
      </c>
      <c r="V51" s="34"/>
    </row>
    <row r="52" spans="2:22" s="33" customFormat="1" ht="13.8" x14ac:dyDescent="0.25">
      <c r="B52" s="181"/>
      <c r="C52" s="181"/>
      <c r="D52" s="97"/>
      <c r="E52" s="113" t="s">
        <v>1026</v>
      </c>
      <c r="F52" s="97"/>
      <c r="G52" s="110">
        <f>G51</f>
        <v>2030</v>
      </c>
      <c r="H52" s="105"/>
      <c r="I52" s="105"/>
      <c r="J52" s="182"/>
      <c r="K52" s="105">
        <v>0.11764705882352942</v>
      </c>
      <c r="L52" s="105"/>
      <c r="M52" s="105"/>
      <c r="N52" s="105"/>
      <c r="O52" s="105"/>
      <c r="P52" s="182"/>
      <c r="V52" s="34"/>
    </row>
    <row r="53" spans="2:22" s="33" customFormat="1" ht="13.8" x14ac:dyDescent="0.25">
      <c r="B53" s="184"/>
      <c r="C53" s="184"/>
      <c r="D53" s="184"/>
      <c r="E53" s="184"/>
      <c r="F53" s="184" t="s">
        <v>55</v>
      </c>
      <c r="G53" s="125">
        <f>G52</f>
        <v>2030</v>
      </c>
      <c r="H53" s="185"/>
      <c r="I53" s="185">
        <v>0.01</v>
      </c>
      <c r="J53" s="184"/>
      <c r="K53" s="185"/>
      <c r="L53" s="185"/>
      <c r="M53" s="185"/>
      <c r="N53" s="185"/>
      <c r="O53" s="185"/>
      <c r="P53" s="185"/>
      <c r="V53" s="34"/>
    </row>
    <row r="54" spans="2:22" s="33" customFormat="1" ht="13.8" x14ac:dyDescent="0.25">
      <c r="B54" s="243" t="str">
        <f>T29</f>
        <v>STRHTHBIOBGSN_ST01</v>
      </c>
      <c r="C54" s="243" t="str">
        <f>U29</f>
        <v>Production of Heat from Biogas for production of BIOBGS</v>
      </c>
      <c r="D54" s="131" t="s">
        <v>264</v>
      </c>
      <c r="E54" s="205" t="s">
        <v>1026</v>
      </c>
      <c r="F54" s="131"/>
      <c r="G54" s="92">
        <f>H54</f>
        <v>2017</v>
      </c>
      <c r="H54" s="206">
        <v>2017</v>
      </c>
      <c r="I54" s="206"/>
      <c r="J54" s="96">
        <v>1.1111111111111112</v>
      </c>
      <c r="K54" s="206">
        <v>1</v>
      </c>
      <c r="L54" s="206">
        <v>0.9</v>
      </c>
      <c r="M54" s="206">
        <v>25</v>
      </c>
      <c r="N54" s="93">
        <v>1.9025875190258752</v>
      </c>
      <c r="O54" s="206">
        <v>5.7077625570776253E-2</v>
      </c>
      <c r="P54" s="96"/>
      <c r="T54" s="34"/>
    </row>
    <row r="55" spans="2:22" s="33" customFormat="1" x14ac:dyDescent="0.25">
      <c r="T55" s="34"/>
    </row>
    <row r="56" spans="2:22" s="33" customFormat="1" x14ac:dyDescent="0.25">
      <c r="G56" s="34"/>
      <c r="T56" s="34"/>
    </row>
    <row r="57" spans="2:22" s="33" customFormat="1" x14ac:dyDescent="0.25">
      <c r="G57" s="34"/>
      <c r="T57" s="34"/>
    </row>
    <row r="58" spans="2:22" s="33" customFormat="1" x14ac:dyDescent="0.25">
      <c r="G58" s="13"/>
      <c r="T58" s="34"/>
    </row>
    <row r="59" spans="2:22" s="33" customFormat="1" x14ac:dyDescent="0.25">
      <c r="T59" s="34"/>
    </row>
    <row r="60" spans="2:22" s="33" customFormat="1" x14ac:dyDescent="0.25">
      <c r="T60" s="34"/>
    </row>
    <row r="61" spans="2:22" s="33" customFormat="1" x14ac:dyDescent="0.25">
      <c r="T61" s="34"/>
    </row>
    <row r="62" spans="2:22" s="33" customFormat="1" x14ac:dyDescent="0.25">
      <c r="H62" s="34"/>
      <c r="T62" s="34"/>
    </row>
    <row r="63" spans="2:22" s="33" customFormat="1" x14ac:dyDescent="0.25">
      <c r="H63" s="34"/>
      <c r="T63" s="34"/>
    </row>
    <row r="64" spans="2:22" s="33" customFormat="1" x14ac:dyDescent="0.25">
      <c r="H64" s="34"/>
      <c r="T64" s="34"/>
    </row>
    <row r="65" spans="3:20" s="33" customFormat="1" x14ac:dyDescent="0.25">
      <c r="H65" s="34"/>
      <c r="T65" s="34"/>
    </row>
    <row r="66" spans="3:20" s="33" customFormat="1" x14ac:dyDescent="0.25">
      <c r="H66" s="34"/>
      <c r="T66" s="34"/>
    </row>
    <row r="67" spans="3:20" s="33" customFormat="1" x14ac:dyDescent="0.25">
      <c r="H67" s="34"/>
      <c r="T67" s="34"/>
    </row>
    <row r="68" spans="3:20" s="33" customFormat="1" x14ac:dyDescent="0.25">
      <c r="H68" s="34"/>
      <c r="T68" s="34"/>
    </row>
    <row r="69" spans="3:20" s="33" customFormat="1" x14ac:dyDescent="0.25">
      <c r="H69" s="34"/>
      <c r="T69" s="34"/>
    </row>
    <row r="70" spans="3:20" s="33" customFormat="1" x14ac:dyDescent="0.25">
      <c r="H70" s="34"/>
      <c r="T70" s="34"/>
    </row>
    <row r="71" spans="3:20" s="33" customFormat="1" x14ac:dyDescent="0.25">
      <c r="H71" s="34"/>
      <c r="T71" s="34"/>
    </row>
    <row r="72" spans="3:20" s="33" customFormat="1" x14ac:dyDescent="0.25">
      <c r="H72" s="34"/>
      <c r="T72" s="34"/>
    </row>
    <row r="73" spans="3:20" s="33" customFormat="1" x14ac:dyDescent="0.25">
      <c r="H73" s="34"/>
      <c r="T73" s="34"/>
    </row>
    <row r="74" spans="3:20" s="33" customFormat="1" x14ac:dyDescent="0.25">
      <c r="C74" s="244"/>
      <c r="H74" s="34"/>
      <c r="T74" s="34"/>
    </row>
    <row r="75" spans="3:20" s="33" customFormat="1" x14ac:dyDescent="0.25">
      <c r="H75" s="34"/>
      <c r="T75" s="34"/>
    </row>
    <row r="76" spans="3:20" s="33" customFormat="1" x14ac:dyDescent="0.25">
      <c r="H76" s="34"/>
      <c r="T76" s="34"/>
    </row>
    <row r="77" spans="3:20" s="33" customFormat="1" x14ac:dyDescent="0.25">
      <c r="H77" s="34"/>
      <c r="T77" s="34"/>
    </row>
    <row r="78" spans="3:20" s="33" customFormat="1" x14ac:dyDescent="0.25">
      <c r="H78" s="34"/>
      <c r="T78" s="34"/>
    </row>
    <row r="79" spans="3:20" s="33" customFormat="1" x14ac:dyDescent="0.25">
      <c r="H79" s="34"/>
      <c r="T79" s="34"/>
    </row>
    <row r="80" spans="3:20" s="33" customFormat="1" x14ac:dyDescent="0.25">
      <c r="H80" s="34"/>
      <c r="T80" s="34"/>
    </row>
    <row r="81" spans="8:20" s="33" customFormat="1" x14ac:dyDescent="0.25">
      <c r="H81" s="34"/>
      <c r="T81" s="34"/>
    </row>
    <row r="82" spans="8:20" s="33" customFormat="1" x14ac:dyDescent="0.25">
      <c r="H82" s="34"/>
      <c r="T82" s="34"/>
    </row>
    <row r="83" spans="8:20" s="33" customFormat="1" x14ac:dyDescent="0.25">
      <c r="H83" s="34"/>
      <c r="T83" s="34"/>
    </row>
    <row r="84" spans="8:20" s="33" customFormat="1" x14ac:dyDescent="0.25">
      <c r="H84" s="34"/>
      <c r="T84" s="34"/>
    </row>
    <row r="85" spans="8:20" s="33" customFormat="1" x14ac:dyDescent="0.25">
      <c r="H85" s="34"/>
      <c r="T85" s="34"/>
    </row>
    <row r="86" spans="8:20" s="33" customFormat="1" x14ac:dyDescent="0.25">
      <c r="H86" s="34"/>
      <c r="T86" s="34"/>
    </row>
    <row r="87" spans="8:20" s="33" customFormat="1" x14ac:dyDescent="0.25">
      <c r="H87" s="34"/>
      <c r="T87" s="34"/>
    </row>
    <row r="88" spans="8:20" s="33" customFormat="1" x14ac:dyDescent="0.25">
      <c r="H88" s="34"/>
      <c r="T88" s="34"/>
    </row>
    <row r="89" spans="8:20" s="33" customFormat="1" x14ac:dyDescent="0.25">
      <c r="H89" s="34"/>
      <c r="T89" s="34"/>
    </row>
    <row r="90" spans="8:20" s="33" customFormat="1" x14ac:dyDescent="0.25">
      <c r="H90" s="34"/>
      <c r="T90" s="34"/>
    </row>
    <row r="91" spans="8:20" s="33" customFormat="1" x14ac:dyDescent="0.25">
      <c r="H91" s="34"/>
      <c r="T91" s="34"/>
    </row>
    <row r="92" spans="8:20" s="33" customFormat="1" x14ac:dyDescent="0.25">
      <c r="H92" s="34"/>
      <c r="T92" s="34"/>
    </row>
    <row r="93" spans="8:20" s="33" customFormat="1" x14ac:dyDescent="0.25">
      <c r="H93" s="34"/>
      <c r="T93" s="34"/>
    </row>
    <row r="94" spans="8:20" s="33" customFormat="1" x14ac:dyDescent="0.25">
      <c r="H94" s="34"/>
      <c r="T94" s="34"/>
    </row>
    <row r="95" spans="8:20" s="33" customFormat="1" x14ac:dyDescent="0.25">
      <c r="H95" s="34"/>
      <c r="T95" s="34"/>
    </row>
    <row r="96" spans="8:20" s="33" customFormat="1" x14ac:dyDescent="0.25">
      <c r="H96" s="34"/>
      <c r="T96" s="34"/>
    </row>
    <row r="97" spans="8:20" s="33" customFormat="1" x14ac:dyDescent="0.25">
      <c r="H97" s="34"/>
      <c r="T97" s="34"/>
    </row>
    <row r="98" spans="8:20" s="33" customFormat="1" x14ac:dyDescent="0.25">
      <c r="H98" s="34"/>
      <c r="T98" s="34"/>
    </row>
    <row r="99" spans="8:20" s="33" customFormat="1" x14ac:dyDescent="0.25">
      <c r="H99" s="34"/>
      <c r="T99" s="34"/>
    </row>
    <row r="100" spans="8:20" s="33" customFormat="1" x14ac:dyDescent="0.25">
      <c r="H100" s="34"/>
      <c r="T100" s="34"/>
    </row>
    <row r="101" spans="8:20" s="33" customFormat="1" x14ac:dyDescent="0.25">
      <c r="H101" s="34"/>
      <c r="T101" s="34"/>
    </row>
    <row r="102" spans="8:20" s="33" customFormat="1" x14ac:dyDescent="0.25">
      <c r="H102" s="34"/>
      <c r="T102" s="34"/>
    </row>
    <row r="103" spans="8:20" s="33" customFormat="1" x14ac:dyDescent="0.25">
      <c r="H103" s="34"/>
      <c r="T103" s="34"/>
    </row>
    <row r="104" spans="8:20" s="33" customFormat="1" x14ac:dyDescent="0.25">
      <c r="H104" s="34"/>
      <c r="T104" s="34"/>
    </row>
    <row r="105" spans="8:20" s="33" customFormat="1" x14ac:dyDescent="0.25">
      <c r="H105" s="34"/>
      <c r="T105" s="34"/>
    </row>
    <row r="106" spans="8:20" s="33" customFormat="1" x14ac:dyDescent="0.25">
      <c r="H106" s="34"/>
      <c r="T106" s="34"/>
    </row>
    <row r="107" spans="8:20" s="33" customFormat="1" x14ac:dyDescent="0.25">
      <c r="H107" s="34"/>
      <c r="T107" s="34"/>
    </row>
    <row r="108" spans="8:20" s="33" customFormat="1" x14ac:dyDescent="0.25">
      <c r="H108" s="34"/>
      <c r="T108" s="34"/>
    </row>
    <row r="109" spans="8:20" s="33" customFormat="1" x14ac:dyDescent="0.25">
      <c r="H109" s="34"/>
      <c r="T109" s="34"/>
    </row>
    <row r="110" spans="8:20" s="33" customFormat="1" x14ac:dyDescent="0.25">
      <c r="H110" s="34"/>
      <c r="T110" s="34"/>
    </row>
    <row r="111" spans="8:20" s="33" customFormat="1" x14ac:dyDescent="0.25">
      <c r="H111" s="34"/>
      <c r="T111" s="34"/>
    </row>
    <row r="112" spans="8:20" s="33" customFormat="1" x14ac:dyDescent="0.25">
      <c r="H112" s="34"/>
      <c r="T112" s="34"/>
    </row>
    <row r="113" spans="8:20" s="33" customFormat="1" x14ac:dyDescent="0.25">
      <c r="H113" s="34"/>
      <c r="T113" s="34"/>
    </row>
    <row r="114" spans="8:20" s="33" customFormat="1" x14ac:dyDescent="0.25">
      <c r="H114" s="34"/>
      <c r="T114" s="34"/>
    </row>
    <row r="115" spans="8:20" s="33" customFormat="1" x14ac:dyDescent="0.25">
      <c r="H115" s="34"/>
      <c r="T115" s="34"/>
    </row>
    <row r="116" spans="8:20" s="33" customFormat="1" x14ac:dyDescent="0.25">
      <c r="H116" s="34"/>
      <c r="T116" s="34"/>
    </row>
    <row r="117" spans="8:20" s="33" customFormat="1" x14ac:dyDescent="0.25">
      <c r="H117" s="34"/>
      <c r="T117" s="34"/>
    </row>
    <row r="118" spans="8:20" s="33" customFormat="1" x14ac:dyDescent="0.25">
      <c r="H118" s="34"/>
      <c r="T118" s="34"/>
    </row>
    <row r="119" spans="8:20" s="33" customFormat="1" x14ac:dyDescent="0.25">
      <c r="H119" s="34"/>
      <c r="T119" s="34"/>
    </row>
    <row r="120" spans="8:20" s="33" customFormat="1" x14ac:dyDescent="0.25">
      <c r="H120" s="34"/>
      <c r="T120" s="34"/>
    </row>
    <row r="121" spans="8:20" s="33" customFormat="1" x14ac:dyDescent="0.25">
      <c r="H121" s="34"/>
      <c r="T121" s="34"/>
    </row>
    <row r="122" spans="8:20" s="33" customFormat="1" x14ac:dyDescent="0.25">
      <c r="H122" s="34"/>
      <c r="T122" s="34"/>
    </row>
    <row r="123" spans="8:20" s="33" customFormat="1" x14ac:dyDescent="0.25">
      <c r="H123" s="34"/>
      <c r="T123" s="34"/>
    </row>
    <row r="124" spans="8:20" s="33" customFormat="1" x14ac:dyDescent="0.25">
      <c r="H124" s="34"/>
      <c r="T124" s="34"/>
    </row>
    <row r="125" spans="8:20" s="33" customFormat="1" x14ac:dyDescent="0.25">
      <c r="H125" s="34"/>
      <c r="T125" s="34"/>
    </row>
    <row r="126" spans="8:20" s="33" customFormat="1" x14ac:dyDescent="0.25">
      <c r="H126" s="34"/>
      <c r="T126" s="34"/>
    </row>
    <row r="127" spans="8:20" s="33" customFormat="1" x14ac:dyDescent="0.25">
      <c r="H127" s="34"/>
      <c r="T127" s="34"/>
    </row>
    <row r="128" spans="8:20" s="33" customFormat="1" x14ac:dyDescent="0.25">
      <c r="H128" s="34"/>
      <c r="T128" s="34"/>
    </row>
    <row r="129" spans="8:20" s="33" customFormat="1" x14ac:dyDescent="0.25">
      <c r="H129" s="34"/>
      <c r="T129" s="34"/>
    </row>
    <row r="130" spans="8:20" s="33" customFormat="1" x14ac:dyDescent="0.25">
      <c r="H130" s="34"/>
      <c r="T130" s="34"/>
    </row>
    <row r="131" spans="8:20" s="33" customFormat="1" x14ac:dyDescent="0.25">
      <c r="H131" s="34"/>
      <c r="T131" s="34"/>
    </row>
    <row r="132" spans="8:20" s="33" customFormat="1" x14ac:dyDescent="0.25">
      <c r="H132" s="34"/>
      <c r="T132" s="34"/>
    </row>
    <row r="133" spans="8:20" s="33" customFormat="1" x14ac:dyDescent="0.25">
      <c r="H133" s="34"/>
      <c r="T133" s="34"/>
    </row>
    <row r="134" spans="8:20" s="33" customFormat="1" x14ac:dyDescent="0.25">
      <c r="H134" s="34"/>
      <c r="T134" s="34"/>
    </row>
    <row r="135" spans="8:20" s="33" customFormat="1" x14ac:dyDescent="0.25">
      <c r="H135" s="34"/>
      <c r="T135" s="34"/>
    </row>
    <row r="136" spans="8:20" s="33" customFormat="1" x14ac:dyDescent="0.25">
      <c r="H136" s="34"/>
      <c r="T136" s="34"/>
    </row>
    <row r="137" spans="8:20" s="33" customFormat="1" x14ac:dyDescent="0.25">
      <c r="H137" s="34"/>
      <c r="T137" s="34"/>
    </row>
    <row r="138" spans="8:20" s="33" customFormat="1" x14ac:dyDescent="0.25">
      <c r="H138" s="34"/>
      <c r="T138" s="34"/>
    </row>
    <row r="139" spans="8:20" s="33" customFormat="1" x14ac:dyDescent="0.25">
      <c r="H139" s="34"/>
      <c r="T139" s="34"/>
    </row>
    <row r="140" spans="8:20" s="33" customFormat="1" x14ac:dyDescent="0.25">
      <c r="H140" s="34"/>
      <c r="T140" s="34"/>
    </row>
    <row r="141" spans="8:20" s="33" customFormat="1" x14ac:dyDescent="0.25">
      <c r="H141" s="34"/>
      <c r="T141" s="34"/>
    </row>
    <row r="142" spans="8:20" s="33" customFormat="1" x14ac:dyDescent="0.25">
      <c r="H142" s="34"/>
      <c r="T142" s="34"/>
    </row>
    <row r="143" spans="8:20" s="33" customFormat="1" x14ac:dyDescent="0.25">
      <c r="H143" s="34"/>
      <c r="T143" s="34"/>
    </row>
    <row r="144" spans="8:20" s="33" customFormat="1" x14ac:dyDescent="0.25">
      <c r="H144" s="34"/>
      <c r="T144" s="34"/>
    </row>
    <row r="145" spans="8:20" s="33" customFormat="1" x14ac:dyDescent="0.25">
      <c r="H145" s="34"/>
      <c r="T145" s="34"/>
    </row>
    <row r="146" spans="8:20" s="33" customFormat="1" x14ac:dyDescent="0.25">
      <c r="H146" s="34"/>
      <c r="T146" s="34"/>
    </row>
    <row r="147" spans="8:20" s="33" customFormat="1" x14ac:dyDescent="0.25">
      <c r="H147" s="34"/>
      <c r="T147" s="34"/>
    </row>
    <row r="148" spans="8:20" s="33" customFormat="1" x14ac:dyDescent="0.25">
      <c r="H148" s="34"/>
      <c r="T148" s="34"/>
    </row>
    <row r="149" spans="8:20" s="33" customFormat="1" x14ac:dyDescent="0.25">
      <c r="H149" s="34"/>
      <c r="T149" s="34"/>
    </row>
    <row r="150" spans="8:20" s="33" customFormat="1" x14ac:dyDescent="0.25">
      <c r="H150" s="34"/>
      <c r="T150" s="34"/>
    </row>
    <row r="151" spans="8:20" s="33" customFormat="1" x14ac:dyDescent="0.25">
      <c r="H151" s="34"/>
      <c r="T151" s="34"/>
    </row>
    <row r="152" spans="8:20" s="33" customFormat="1" x14ac:dyDescent="0.25">
      <c r="H152" s="34"/>
      <c r="T152" s="34"/>
    </row>
    <row r="153" spans="8:20" s="33" customFormat="1" x14ac:dyDescent="0.25">
      <c r="H153" s="34"/>
      <c r="T153" s="34"/>
    </row>
    <row r="154" spans="8:20" s="33" customFormat="1" x14ac:dyDescent="0.25">
      <c r="H154" s="34"/>
      <c r="T154" s="34"/>
    </row>
    <row r="155" spans="8:20" s="33" customFormat="1" x14ac:dyDescent="0.25">
      <c r="H155" s="34"/>
      <c r="T155" s="34"/>
    </row>
    <row r="156" spans="8:20" s="33" customFormat="1" x14ac:dyDescent="0.25">
      <c r="H156" s="34"/>
      <c r="T156" s="34"/>
    </row>
    <row r="157" spans="8:20" s="33" customFormat="1" x14ac:dyDescent="0.25">
      <c r="H157" s="34"/>
      <c r="T157" s="34"/>
    </row>
    <row r="158" spans="8:20" s="33" customFormat="1" x14ac:dyDescent="0.25">
      <c r="H158" s="34"/>
      <c r="T158" s="34"/>
    </row>
    <row r="159" spans="8:20" s="33" customFormat="1" x14ac:dyDescent="0.25">
      <c r="H159" s="34"/>
      <c r="T159" s="34"/>
    </row>
    <row r="160" spans="8:20" s="33" customFormat="1" x14ac:dyDescent="0.25">
      <c r="H160" s="34"/>
      <c r="T160" s="34"/>
    </row>
    <row r="161" spans="1:27" s="33" customFormat="1" x14ac:dyDescent="0.25">
      <c r="H161" s="34"/>
      <c r="T161" s="34"/>
    </row>
    <row r="162" spans="1:27" s="33" customFormat="1" x14ac:dyDescent="0.25">
      <c r="H162" s="34"/>
      <c r="T162" s="34"/>
    </row>
    <row r="163" spans="1:27" s="33" customFormat="1" x14ac:dyDescent="0.25">
      <c r="H163" s="34"/>
      <c r="T163" s="34"/>
    </row>
    <row r="164" spans="1:27" s="33" customFormat="1" x14ac:dyDescent="0.25">
      <c r="H164" s="34"/>
      <c r="T164" s="34"/>
    </row>
    <row r="165" spans="1:27" s="33" customFormat="1" x14ac:dyDescent="0.25">
      <c r="H165" s="34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s="33" customFormat="1" x14ac:dyDescent="0.25">
      <c r="H166" s="34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x14ac:dyDescent="0.25">
      <c r="A167" s="33"/>
      <c r="B167" s="33"/>
      <c r="C167" s="33"/>
      <c r="D167" s="33"/>
      <c r="E167" s="33"/>
      <c r="F167" s="33"/>
      <c r="G167" s="33"/>
      <c r="H167" s="34"/>
      <c r="I167" s="33"/>
      <c r="J167" s="33"/>
      <c r="K167" s="33"/>
      <c r="L167" s="33"/>
      <c r="M167" s="33"/>
      <c r="N167" s="33"/>
      <c r="O167" s="33"/>
    </row>
    <row r="168" spans="1:27" x14ac:dyDescent="0.25">
      <c r="A168" s="33"/>
      <c r="B168" s="33"/>
      <c r="C168" s="33"/>
      <c r="D168" s="33"/>
      <c r="E168" s="33"/>
      <c r="F168" s="33"/>
      <c r="G168" s="33"/>
      <c r="H168" s="34"/>
      <c r="I168" s="33"/>
      <c r="J168" s="33"/>
      <c r="K168" s="33"/>
      <c r="L168" s="33"/>
      <c r="M168" s="33"/>
      <c r="N168" s="33"/>
      <c r="O168" s="33"/>
    </row>
    <row r="169" spans="1:27" x14ac:dyDescent="0.25">
      <c r="B169" s="33"/>
      <c r="C169" s="33"/>
      <c r="D169" s="33"/>
      <c r="E169" s="33"/>
      <c r="F169" s="33"/>
      <c r="G169" s="33"/>
      <c r="H169" s="34"/>
      <c r="I169" s="33"/>
      <c r="J169" s="33"/>
      <c r="K169" s="33"/>
      <c r="L169" s="33"/>
      <c r="M169" s="33"/>
      <c r="N169" s="33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157"/>
  <sheetViews>
    <sheetView zoomScale="80" zoomScaleNormal="80" workbookViewId="0">
      <selection sqref="A1:XFD1048576"/>
    </sheetView>
  </sheetViews>
  <sheetFormatPr defaultColWidth="9.109375" defaultRowHeight="13.2" x14ac:dyDescent="0.25"/>
  <cols>
    <col min="1" max="1" width="9.88671875" style="12" customWidth="1"/>
    <col min="2" max="2" width="25.44140625" style="12" customWidth="1"/>
    <col min="3" max="3" width="98.6640625" style="12" bestFit="1" customWidth="1"/>
    <col min="4" max="4" width="24.44140625" style="12" customWidth="1"/>
    <col min="5" max="5" width="19.44140625" style="12" customWidth="1"/>
    <col min="6" max="6" width="22.109375" style="12" customWidth="1"/>
    <col min="7" max="7" width="18" style="12" customWidth="1"/>
    <col min="8" max="8" width="17.44140625" style="12" customWidth="1"/>
    <col min="9" max="9" width="17.88671875" style="12" customWidth="1"/>
    <col min="10" max="10" width="21" style="12" customWidth="1"/>
    <col min="11" max="11" width="22.33203125" style="12" bestFit="1" customWidth="1"/>
    <col min="12" max="12" width="17" style="12" bestFit="1" customWidth="1"/>
    <col min="13" max="13" width="17.33203125" style="12" bestFit="1" customWidth="1"/>
    <col min="14" max="14" width="15" style="12" bestFit="1" customWidth="1"/>
    <col min="15" max="15" width="17.33203125" style="12" bestFit="1" customWidth="1"/>
    <col min="16" max="16" width="17.33203125" style="12" customWidth="1"/>
    <col min="17" max="17" width="17" style="12" customWidth="1"/>
    <col min="18" max="18" width="9.44140625" style="12" customWidth="1"/>
    <col min="19" max="19" width="3.44140625" style="12" customWidth="1"/>
    <col min="20" max="20" width="48.33203125" style="12" bestFit="1" customWidth="1"/>
    <col min="21" max="22" width="9.109375" style="12"/>
    <col min="23" max="23" width="25.33203125" style="12" customWidth="1"/>
    <col min="24" max="24" width="31.6640625" style="12" bestFit="1" customWidth="1"/>
    <col min="25" max="25" width="48.6640625" style="12" bestFit="1" customWidth="1"/>
    <col min="26" max="26" width="10.88671875" style="12" bestFit="1" customWidth="1"/>
    <col min="27" max="27" width="12.5546875" style="34" customWidth="1"/>
    <col min="28" max="28" width="13.6640625" style="12" customWidth="1"/>
    <col min="29" max="29" width="15.6640625" style="12" customWidth="1"/>
    <col min="30" max="30" width="15.88671875" style="12" customWidth="1"/>
    <col min="31" max="16384" width="9.109375" style="12"/>
  </cols>
  <sheetData>
    <row r="1" spans="1:30" s="33" customFormat="1" ht="17.399999999999999" x14ac:dyDescent="0.3">
      <c r="A1" s="51"/>
      <c r="B1" s="51" t="s">
        <v>730</v>
      </c>
      <c r="C1" s="51"/>
      <c r="D1" s="51"/>
      <c r="E1" s="51"/>
      <c r="F1" s="51"/>
      <c r="G1" s="51"/>
      <c r="H1" s="34"/>
      <c r="Y1" s="34"/>
      <c r="AA1" s="34"/>
    </row>
    <row r="2" spans="1:30" s="33" customFormat="1" ht="15.6" x14ac:dyDescent="0.3">
      <c r="B2" s="162"/>
      <c r="H2" s="34"/>
      <c r="Y2" s="34"/>
      <c r="AA2" s="34"/>
    </row>
    <row r="3" spans="1:30" s="33" customFormat="1" ht="15.6" x14ac:dyDescent="0.3">
      <c r="B3" s="162"/>
      <c r="H3" s="34"/>
      <c r="Y3" s="34"/>
      <c r="AA3" s="34"/>
    </row>
    <row r="4" spans="1:30" s="33" customFormat="1" x14ac:dyDescent="0.25">
      <c r="F4" s="163"/>
      <c r="G4" s="161"/>
      <c r="H4" s="82"/>
      <c r="I4" s="163"/>
      <c r="Z4" s="34"/>
      <c r="AA4" s="34"/>
    </row>
    <row r="5" spans="1:30" s="33" customFormat="1" ht="17.399999999999999" x14ac:dyDescent="0.3">
      <c r="B5" s="51" t="s">
        <v>739</v>
      </c>
      <c r="C5" s="51"/>
      <c r="D5" s="51"/>
      <c r="F5" s="163" t="s">
        <v>0</v>
      </c>
      <c r="G5" s="163"/>
      <c r="H5" s="82"/>
      <c r="J5" s="163"/>
      <c r="W5" s="16" t="s">
        <v>7</v>
      </c>
      <c r="X5" s="115"/>
      <c r="Y5" s="115"/>
      <c r="Z5" s="58"/>
      <c r="AA5" s="58"/>
      <c r="AB5" s="115"/>
      <c r="AC5" s="115"/>
      <c r="AD5" s="115"/>
    </row>
    <row r="6" spans="1:30" s="33" customFormat="1" x14ac:dyDescent="0.25">
      <c r="B6" s="164" t="s">
        <v>1</v>
      </c>
      <c r="C6" s="164" t="s">
        <v>61</v>
      </c>
      <c r="D6" s="164" t="s">
        <v>3</v>
      </c>
      <c r="E6" s="164" t="s">
        <v>4</v>
      </c>
      <c r="F6" s="165" t="s">
        <v>62</v>
      </c>
      <c r="G6" s="61" t="s">
        <v>15</v>
      </c>
      <c r="H6" s="61" t="s">
        <v>53</v>
      </c>
      <c r="I6" s="61" t="s">
        <v>54</v>
      </c>
      <c r="J6" s="61" t="s">
        <v>41</v>
      </c>
      <c r="K6" s="62" t="s">
        <v>724</v>
      </c>
      <c r="L6" s="61" t="s">
        <v>47</v>
      </c>
      <c r="M6" s="61" t="s">
        <v>5</v>
      </c>
      <c r="N6" s="61" t="s">
        <v>42</v>
      </c>
      <c r="O6" s="61" t="s">
        <v>734</v>
      </c>
      <c r="T6" s="61" t="s">
        <v>52</v>
      </c>
      <c r="U6" s="166"/>
      <c r="W6" s="120" t="s">
        <v>8</v>
      </c>
      <c r="X6" s="120" t="s">
        <v>6</v>
      </c>
      <c r="Y6" s="120" t="s">
        <v>9</v>
      </c>
      <c r="Z6" s="64" t="s">
        <v>10</v>
      </c>
      <c r="AA6" s="64" t="s">
        <v>11</v>
      </c>
      <c r="AB6" s="24" t="s">
        <v>12</v>
      </c>
      <c r="AC6" s="24" t="s">
        <v>13</v>
      </c>
      <c r="AD6" s="24" t="s">
        <v>14</v>
      </c>
    </row>
    <row r="7" spans="1:30" s="33" customFormat="1" ht="13.5" customHeight="1" thickBot="1" x14ac:dyDescent="0.3">
      <c r="B7" s="167" t="s">
        <v>38</v>
      </c>
      <c r="C7" s="67" t="s">
        <v>32</v>
      </c>
      <c r="D7" s="67" t="s">
        <v>39</v>
      </c>
      <c r="E7" s="67" t="s">
        <v>40</v>
      </c>
      <c r="F7" s="168"/>
      <c r="G7" s="67" t="s">
        <v>46</v>
      </c>
      <c r="H7" s="67" t="s">
        <v>43</v>
      </c>
      <c r="I7" s="67" t="s">
        <v>44</v>
      </c>
      <c r="J7" s="67" t="s">
        <v>45</v>
      </c>
      <c r="K7" s="169" t="s">
        <v>725</v>
      </c>
      <c r="L7" s="67" t="s">
        <v>48</v>
      </c>
      <c r="M7" s="67" t="s">
        <v>49</v>
      </c>
      <c r="N7" s="67" t="s">
        <v>50</v>
      </c>
      <c r="O7" s="67" t="s">
        <v>735</v>
      </c>
      <c r="T7" s="170"/>
      <c r="W7" s="31" t="s">
        <v>23</v>
      </c>
      <c r="X7" s="31" t="s">
        <v>24</v>
      </c>
      <c r="Y7" s="31" t="s">
        <v>25</v>
      </c>
      <c r="Z7" s="69" t="s">
        <v>10</v>
      </c>
      <c r="AA7" s="69" t="s">
        <v>26</v>
      </c>
      <c r="AB7" s="31" t="s">
        <v>27</v>
      </c>
      <c r="AC7" s="31" t="s">
        <v>28</v>
      </c>
      <c r="AD7" s="31" t="s">
        <v>29</v>
      </c>
    </row>
    <row r="8" spans="1:30" s="33" customFormat="1" ht="17.25" customHeight="1" x14ac:dyDescent="0.25">
      <c r="B8" s="171" t="s">
        <v>71</v>
      </c>
      <c r="C8" s="172"/>
      <c r="D8" s="172"/>
      <c r="E8" s="172"/>
      <c r="F8" s="173"/>
      <c r="G8" s="172"/>
      <c r="H8" s="174"/>
      <c r="I8" s="174"/>
      <c r="J8" s="172"/>
      <c r="K8" s="170" t="str">
        <f>General!$D$13</f>
        <v>Years</v>
      </c>
      <c r="L8" s="172" t="str">
        <f>General!$D$22</f>
        <v>M$/GW</v>
      </c>
      <c r="M8" s="172" t="str">
        <f>General!$D$22</f>
        <v>M$/GW</v>
      </c>
      <c r="N8" s="170" t="str">
        <f>General!$D$12</f>
        <v>M$/PJ</v>
      </c>
      <c r="O8" s="172" t="str">
        <f>General!$D$14</f>
        <v>PJ/GW</v>
      </c>
      <c r="T8" s="170"/>
      <c r="U8" s="175"/>
      <c r="W8" s="115" t="s">
        <v>58</v>
      </c>
      <c r="X8" s="115" t="s">
        <v>761</v>
      </c>
      <c r="Y8" s="115" t="s">
        <v>845</v>
      </c>
      <c r="Z8" s="58" t="str">
        <f>General!$B$2</f>
        <v>PJ</v>
      </c>
      <c r="AA8" s="58"/>
      <c r="AB8" s="115"/>
      <c r="AC8" s="115"/>
      <c r="AD8" s="115"/>
    </row>
    <row r="9" spans="1:30" s="33" customFormat="1" ht="13.8" x14ac:dyDescent="0.25">
      <c r="B9" s="176" t="str">
        <f>X24</f>
        <v>STRBIODMEN_AD01</v>
      </c>
      <c r="C9" s="176" t="str">
        <f>Y24</f>
        <v>Production of DME from Woody Bio New</v>
      </c>
      <c r="D9" s="176" t="s">
        <v>133</v>
      </c>
      <c r="E9" s="176" t="s">
        <v>155</v>
      </c>
      <c r="F9" s="177">
        <f>G9</f>
        <v>2040</v>
      </c>
      <c r="G9" s="178">
        <v>2040</v>
      </c>
      <c r="H9" s="154">
        <v>1.9</v>
      </c>
      <c r="I9" s="178">
        <v>1</v>
      </c>
      <c r="J9" s="178">
        <v>0.92</v>
      </c>
      <c r="K9" s="178">
        <v>20</v>
      </c>
      <c r="L9" s="179">
        <f>1380*2*(1/0.9)</f>
        <v>3066.666666666667</v>
      </c>
      <c r="M9" s="178">
        <f>L9*0.03</f>
        <v>92</v>
      </c>
      <c r="N9" s="178">
        <f>(1.3+3)*(1/0.9)</f>
        <v>4.7777777777777777</v>
      </c>
      <c r="O9" s="178">
        <v>31.536000000000001</v>
      </c>
      <c r="T9" s="180" t="s">
        <v>896</v>
      </c>
      <c r="U9" s="175"/>
      <c r="W9" s="115"/>
      <c r="X9" s="115" t="s">
        <v>732</v>
      </c>
      <c r="Y9" s="115" t="s">
        <v>846</v>
      </c>
      <c r="Z9" s="58" t="str">
        <f>General!$B$2</f>
        <v>PJ</v>
      </c>
      <c r="AA9" s="58"/>
      <c r="AB9" s="115"/>
      <c r="AC9" s="115"/>
      <c r="AD9" s="115"/>
    </row>
    <row r="10" spans="1:30" s="33" customFormat="1" ht="13.8" x14ac:dyDescent="0.25">
      <c r="B10" s="181"/>
      <c r="C10" s="181"/>
      <c r="D10" s="181"/>
      <c r="E10" s="181"/>
      <c r="F10" s="110">
        <f>F9+15</f>
        <v>2055</v>
      </c>
      <c r="G10" s="105"/>
      <c r="H10" s="182"/>
      <c r="I10" s="105"/>
      <c r="J10" s="105"/>
      <c r="K10" s="105"/>
      <c r="L10" s="183">
        <f>L9*0.844</f>
        <v>2588.2666666666669</v>
      </c>
      <c r="M10" s="105"/>
      <c r="N10" s="105"/>
      <c r="O10" s="181"/>
      <c r="T10" s="180"/>
      <c r="W10" s="115"/>
      <c r="X10" s="115" t="s">
        <v>733</v>
      </c>
      <c r="Y10" s="115" t="s">
        <v>847</v>
      </c>
      <c r="Z10" s="58" t="str">
        <f>General!$B$2</f>
        <v>PJ</v>
      </c>
      <c r="AA10" s="58"/>
      <c r="AB10" s="115"/>
      <c r="AC10" s="115"/>
      <c r="AD10" s="115"/>
    </row>
    <row r="11" spans="1:30" s="33" customFormat="1" ht="13.8" x14ac:dyDescent="0.25">
      <c r="B11" s="184"/>
      <c r="C11" s="184"/>
      <c r="D11" s="184"/>
      <c r="E11" s="184"/>
      <c r="F11" s="125">
        <f>F10+5</f>
        <v>2060</v>
      </c>
      <c r="G11" s="185"/>
      <c r="H11" s="186"/>
      <c r="I11" s="185"/>
      <c r="J11" s="185"/>
      <c r="K11" s="185"/>
      <c r="L11" s="187">
        <f>L10*0.888</f>
        <v>2298.3808000000004</v>
      </c>
      <c r="M11" s="185"/>
      <c r="N11" s="185"/>
      <c r="O11" s="184"/>
      <c r="T11" s="180"/>
      <c r="W11" s="115"/>
      <c r="X11" s="115" t="s">
        <v>757</v>
      </c>
      <c r="Y11" s="33" t="s">
        <v>848</v>
      </c>
      <c r="Z11" s="58" t="str">
        <f>General!$B$2</f>
        <v>PJ</v>
      </c>
      <c r="AA11" s="58"/>
      <c r="AB11" s="115"/>
      <c r="AC11" s="115"/>
      <c r="AD11" s="115"/>
    </row>
    <row r="12" spans="1:30" s="33" customFormat="1" ht="13.8" x14ac:dyDescent="0.25">
      <c r="B12" s="176" t="str">
        <f>X25</f>
        <v>STRBIODSLN_AD01</v>
      </c>
      <c r="C12" s="176" t="str">
        <f>Y25</f>
        <v>Production of FT-Biodiesel from Woody Biomass</v>
      </c>
      <c r="D12" s="176" t="s">
        <v>146</v>
      </c>
      <c r="E12" s="188" t="s">
        <v>761</v>
      </c>
      <c r="F12" s="177">
        <f>G12</f>
        <v>2030</v>
      </c>
      <c r="G12" s="178">
        <v>2030</v>
      </c>
      <c r="H12" s="154">
        <v>2.5</v>
      </c>
      <c r="I12" s="178">
        <v>1</v>
      </c>
      <c r="J12" s="178">
        <v>0.92</v>
      </c>
      <c r="K12" s="178">
        <v>20</v>
      </c>
      <c r="L12" s="179">
        <f>3560*(1/0.9)</f>
        <v>3955.5555555555557</v>
      </c>
      <c r="M12" s="178">
        <f>L12*0.03</f>
        <v>118.66666666666667</v>
      </c>
      <c r="N12" s="178">
        <f>3.72*(1/0.9)</f>
        <v>4.1333333333333337</v>
      </c>
      <c r="O12" s="178">
        <v>31.536000000000001</v>
      </c>
      <c r="T12" s="180" t="s">
        <v>896</v>
      </c>
      <c r="X12" s="115" t="s">
        <v>758</v>
      </c>
      <c r="Y12" s="33" t="s">
        <v>849</v>
      </c>
      <c r="Z12" s="58" t="str">
        <f>General!$B$2</f>
        <v>PJ</v>
      </c>
      <c r="AA12" s="34"/>
    </row>
    <row r="13" spans="1:30" s="33" customFormat="1" ht="13.8" x14ac:dyDescent="0.25">
      <c r="B13" s="181"/>
      <c r="C13" s="181"/>
      <c r="D13" s="181"/>
      <c r="E13" s="181"/>
      <c r="F13" s="110">
        <f>F12+15</f>
        <v>2045</v>
      </c>
      <c r="G13" s="105"/>
      <c r="H13" s="182"/>
      <c r="I13" s="105"/>
      <c r="J13" s="105"/>
      <c r="K13" s="105"/>
      <c r="L13" s="183">
        <f>L12*0.844</f>
        <v>3338.4888888888891</v>
      </c>
      <c r="M13" s="105"/>
      <c r="N13" s="105"/>
      <c r="O13" s="181"/>
      <c r="T13" s="180"/>
      <c r="X13" s="115" t="s">
        <v>759</v>
      </c>
      <c r="Y13" s="115" t="s">
        <v>850</v>
      </c>
      <c r="Z13" s="58" t="str">
        <f>General!$B$2</f>
        <v>PJ</v>
      </c>
      <c r="AA13" s="34"/>
    </row>
    <row r="14" spans="1:30" s="33" customFormat="1" ht="13.8" x14ac:dyDescent="0.25">
      <c r="B14" s="184"/>
      <c r="C14" s="184"/>
      <c r="D14" s="184"/>
      <c r="E14" s="184"/>
      <c r="F14" s="125">
        <f>F13+10</f>
        <v>2055</v>
      </c>
      <c r="G14" s="185"/>
      <c r="H14" s="186"/>
      <c r="I14" s="185"/>
      <c r="J14" s="185"/>
      <c r="K14" s="185"/>
      <c r="L14" s="187">
        <f>L13*0.888</f>
        <v>2964.5781333333334</v>
      </c>
      <c r="M14" s="185"/>
      <c r="N14" s="185"/>
      <c r="O14" s="184"/>
      <c r="T14" s="180"/>
      <c r="X14" s="115" t="s">
        <v>760</v>
      </c>
      <c r="Y14" s="115" t="s">
        <v>851</v>
      </c>
      <c r="Z14" s="58" t="str">
        <f>General!$B$2</f>
        <v>PJ</v>
      </c>
      <c r="AA14" s="34"/>
    </row>
    <row r="15" spans="1:30" s="33" customFormat="1" ht="13.8" x14ac:dyDescent="0.25">
      <c r="B15" s="176" t="str">
        <f>X26</f>
        <v>STRBIOETHN_AD01</v>
      </c>
      <c r="C15" s="176" t="str">
        <f>Y26</f>
        <v>Production of Bioethanol from straw/grass</v>
      </c>
      <c r="D15" s="176" t="s">
        <v>146</v>
      </c>
      <c r="E15" s="188" t="s">
        <v>762</v>
      </c>
      <c r="F15" s="177">
        <f>G15</f>
        <v>2025</v>
      </c>
      <c r="G15" s="178">
        <v>2025</v>
      </c>
      <c r="H15" s="154">
        <v>2.4</v>
      </c>
      <c r="I15" s="178">
        <v>1</v>
      </c>
      <c r="J15" s="178">
        <v>0.92</v>
      </c>
      <c r="K15" s="178">
        <v>20</v>
      </c>
      <c r="L15" s="179">
        <f>2176*(1/0.9)</f>
        <v>2417.7777777777778</v>
      </c>
      <c r="M15" s="178">
        <f>L15*0.03</f>
        <v>72.533333333333331</v>
      </c>
      <c r="N15" s="178">
        <f>5.3*(1/0.9)</f>
        <v>5.8888888888888893</v>
      </c>
      <c r="O15" s="178">
        <v>31.536000000000001</v>
      </c>
      <c r="T15" s="180" t="s">
        <v>896</v>
      </c>
      <c r="X15" s="115" t="s">
        <v>767</v>
      </c>
      <c r="Y15" s="115" t="s">
        <v>852</v>
      </c>
      <c r="Z15" s="58" t="str">
        <f>General!$B$2</f>
        <v>PJ</v>
      </c>
      <c r="AA15" s="34"/>
    </row>
    <row r="16" spans="1:30" s="33" customFormat="1" ht="13.8" x14ac:dyDescent="0.25">
      <c r="B16" s="181"/>
      <c r="C16" s="181"/>
      <c r="D16" s="181"/>
      <c r="E16" s="181"/>
      <c r="F16" s="110">
        <f>F15+15</f>
        <v>2040</v>
      </c>
      <c r="G16" s="105"/>
      <c r="H16" s="182"/>
      <c r="I16" s="105"/>
      <c r="J16" s="105"/>
      <c r="K16" s="105"/>
      <c r="L16" s="183">
        <f>L15*0.8333</f>
        <v>2014.7342222222223</v>
      </c>
      <c r="M16" s="105"/>
      <c r="N16" s="105"/>
      <c r="O16" s="181"/>
      <c r="T16" s="180"/>
      <c r="X16" s="115" t="s">
        <v>762</v>
      </c>
      <c r="Y16" s="33" t="s">
        <v>853</v>
      </c>
      <c r="Z16" s="58" t="str">
        <f>General!$B$2</f>
        <v>PJ</v>
      </c>
      <c r="AA16" s="34"/>
    </row>
    <row r="17" spans="2:31" s="33" customFormat="1" ht="13.8" x14ac:dyDescent="0.25">
      <c r="B17" s="184"/>
      <c r="C17" s="184"/>
      <c r="D17" s="184"/>
      <c r="E17" s="184"/>
      <c r="F17" s="125">
        <f>F16+10</f>
        <v>2050</v>
      </c>
      <c r="G17" s="185"/>
      <c r="H17" s="186"/>
      <c r="I17" s="185"/>
      <c r="J17" s="185"/>
      <c r="K17" s="185"/>
      <c r="L17" s="187">
        <f>L16*0.85</f>
        <v>1712.5240888888889</v>
      </c>
      <c r="M17" s="185"/>
      <c r="N17" s="185"/>
      <c r="O17" s="184"/>
      <c r="T17" s="180"/>
      <c r="X17" s="115" t="s">
        <v>763</v>
      </c>
      <c r="Y17" s="33" t="s">
        <v>854</v>
      </c>
      <c r="Z17" s="58" t="str">
        <f>General!$B$2</f>
        <v>PJ</v>
      </c>
      <c r="AA17" s="34"/>
    </row>
    <row r="18" spans="2:31" s="33" customFormat="1" x14ac:dyDescent="0.25">
      <c r="X18" s="115" t="s">
        <v>764</v>
      </c>
      <c r="Y18" s="33" t="s">
        <v>907</v>
      </c>
      <c r="Z18" s="58" t="str">
        <f>General!$B$2</f>
        <v>PJ</v>
      </c>
      <c r="AA18" s="34"/>
    </row>
    <row r="19" spans="2:31" s="33" customFormat="1" x14ac:dyDescent="0.25">
      <c r="B19" s="180"/>
      <c r="C19" s="180"/>
      <c r="D19" s="28"/>
      <c r="E19" s="28"/>
      <c r="F19" s="180"/>
      <c r="G19" s="180"/>
      <c r="H19" s="170"/>
      <c r="I19" s="180"/>
      <c r="J19" s="180"/>
      <c r="K19" s="180"/>
      <c r="L19" s="180"/>
      <c r="M19" s="180"/>
      <c r="N19" s="180"/>
      <c r="O19" s="180"/>
      <c r="P19" s="180"/>
      <c r="Z19" s="34"/>
      <c r="AA19" s="34"/>
    </row>
    <row r="20" spans="2:31" s="33" customFormat="1" ht="17.399999999999999" x14ac:dyDescent="0.3">
      <c r="F20" s="163"/>
      <c r="G20" s="161"/>
      <c r="H20" s="82"/>
      <c r="I20" s="163"/>
      <c r="Q20" s="180"/>
      <c r="R20" s="180"/>
      <c r="S20" s="180"/>
      <c r="T20" s="180"/>
      <c r="W20" s="189" t="s">
        <v>76</v>
      </c>
      <c r="X20" s="189" t="s">
        <v>77</v>
      </c>
      <c r="Y20" s="57"/>
      <c r="Z20" s="34"/>
      <c r="AA20" s="34"/>
    </row>
    <row r="21" spans="2:31" s="33" customFormat="1" ht="17.399999999999999" x14ac:dyDescent="0.3">
      <c r="B21" s="51" t="s">
        <v>745</v>
      </c>
      <c r="C21" s="51"/>
      <c r="D21" s="51"/>
      <c r="G21" s="163" t="s">
        <v>0</v>
      </c>
      <c r="H21" s="163"/>
      <c r="I21" s="82"/>
      <c r="K21" s="163"/>
      <c r="T21" s="180"/>
      <c r="W21" s="16" t="s">
        <v>17</v>
      </c>
      <c r="X21" s="16"/>
      <c r="Y21" s="115"/>
      <c r="Z21" s="58"/>
      <c r="AA21" s="58"/>
      <c r="AB21" s="115"/>
      <c r="AC21" s="115"/>
      <c r="AD21" s="115"/>
    </row>
    <row r="22" spans="2:31" s="33" customFormat="1" ht="13.8" x14ac:dyDescent="0.25">
      <c r="B22" s="164" t="s">
        <v>1</v>
      </c>
      <c r="C22" s="164" t="s">
        <v>61</v>
      </c>
      <c r="D22" s="190" t="s">
        <v>3</v>
      </c>
      <c r="E22" s="164" t="s">
        <v>4</v>
      </c>
      <c r="F22" s="59" t="s">
        <v>871</v>
      </c>
      <c r="G22" s="165" t="s">
        <v>62</v>
      </c>
      <c r="H22" s="61" t="s">
        <v>15</v>
      </c>
      <c r="I22" s="61" t="s">
        <v>872</v>
      </c>
      <c r="J22" s="61" t="s">
        <v>53</v>
      </c>
      <c r="K22" s="62" t="s">
        <v>54</v>
      </c>
      <c r="L22" s="61" t="s">
        <v>41</v>
      </c>
      <c r="M22" s="62" t="s">
        <v>724</v>
      </c>
      <c r="N22" s="61" t="s">
        <v>47</v>
      </c>
      <c r="O22" s="61" t="s">
        <v>5</v>
      </c>
      <c r="P22" s="61" t="s">
        <v>42</v>
      </c>
      <c r="Q22" s="61" t="s">
        <v>734</v>
      </c>
      <c r="R22" s="180"/>
      <c r="S22" s="180"/>
      <c r="T22" s="61" t="s">
        <v>52</v>
      </c>
      <c r="W22" s="191" t="s">
        <v>16</v>
      </c>
      <c r="X22" s="191" t="s">
        <v>1</v>
      </c>
      <c r="Y22" s="191" t="s">
        <v>2</v>
      </c>
      <c r="Z22" s="192" t="s">
        <v>18</v>
      </c>
      <c r="AA22" s="192" t="s">
        <v>19</v>
      </c>
      <c r="AB22" s="191" t="s">
        <v>20</v>
      </c>
      <c r="AC22" s="191" t="s">
        <v>21</v>
      </c>
      <c r="AD22" s="191" t="s">
        <v>22</v>
      </c>
    </row>
    <row r="23" spans="2:31" s="33" customFormat="1" ht="27" thickBot="1" x14ac:dyDescent="0.3">
      <c r="B23" s="167" t="s">
        <v>38</v>
      </c>
      <c r="C23" s="67" t="s">
        <v>32</v>
      </c>
      <c r="D23" s="167" t="s">
        <v>39</v>
      </c>
      <c r="E23" s="67" t="s">
        <v>40</v>
      </c>
      <c r="F23" s="67" t="s">
        <v>897</v>
      </c>
      <c r="G23" s="168"/>
      <c r="H23" s="67" t="s">
        <v>46</v>
      </c>
      <c r="I23" s="193"/>
      <c r="J23" s="169" t="s">
        <v>721</v>
      </c>
      <c r="K23" s="67" t="s">
        <v>44</v>
      </c>
      <c r="L23" s="67" t="s">
        <v>45</v>
      </c>
      <c r="M23" s="169" t="s">
        <v>725</v>
      </c>
      <c r="N23" s="67" t="s">
        <v>48</v>
      </c>
      <c r="O23" s="67" t="s">
        <v>49</v>
      </c>
      <c r="P23" s="67" t="s">
        <v>50</v>
      </c>
      <c r="Q23" s="67" t="s">
        <v>735</v>
      </c>
      <c r="R23" s="180"/>
      <c r="S23" s="180"/>
      <c r="T23" s="170"/>
      <c r="W23" s="32" t="s">
        <v>30</v>
      </c>
      <c r="X23" s="32" t="s">
        <v>31</v>
      </c>
      <c r="Y23" s="32" t="s">
        <v>32</v>
      </c>
      <c r="Z23" s="194" t="s">
        <v>33</v>
      </c>
      <c r="AA23" s="194" t="s">
        <v>34</v>
      </c>
      <c r="AB23" s="32" t="s">
        <v>35</v>
      </c>
      <c r="AC23" s="32" t="s">
        <v>36</v>
      </c>
      <c r="AD23" s="32" t="s">
        <v>37</v>
      </c>
    </row>
    <row r="24" spans="2:31" s="33" customFormat="1" x14ac:dyDescent="0.25">
      <c r="B24" s="171" t="s">
        <v>71</v>
      </c>
      <c r="C24" s="172"/>
      <c r="D24" s="195"/>
      <c r="E24" s="172"/>
      <c r="F24" s="172"/>
      <c r="G24" s="173"/>
      <c r="H24" s="172"/>
      <c r="I24" s="172"/>
      <c r="J24" s="174"/>
      <c r="K24" s="174"/>
      <c r="L24" s="172"/>
      <c r="M24" s="170" t="str">
        <f>General!$D$13</f>
        <v>Years</v>
      </c>
      <c r="N24" s="172" t="str">
        <f>General!$D$22</f>
        <v>M$/GW</v>
      </c>
      <c r="O24" s="172" t="str">
        <f>General!$D$22</f>
        <v>M$/GW</v>
      </c>
      <c r="P24" s="170" t="str">
        <f>General!$D$12</f>
        <v>M$/PJ</v>
      </c>
      <c r="Q24" s="172" t="str">
        <f>General!$D$14</f>
        <v>PJ/GW</v>
      </c>
      <c r="R24" s="180"/>
      <c r="S24" s="180"/>
      <c r="T24" s="170"/>
      <c r="U24" s="180"/>
      <c r="W24" s="115" t="s">
        <v>60</v>
      </c>
      <c r="X24" s="12" t="s">
        <v>985</v>
      </c>
      <c r="Y24" s="12" t="s">
        <v>855</v>
      </c>
      <c r="Z24" s="58" t="str">
        <f>General!$B$2</f>
        <v>PJ</v>
      </c>
      <c r="AA24" s="34" t="str">
        <f>General!$D$24</f>
        <v>GW</v>
      </c>
      <c r="AB24" s="12"/>
      <c r="AC24" s="12"/>
      <c r="AD24" s="12"/>
    </row>
    <row r="25" spans="2:31" s="33" customFormat="1" ht="13.8" x14ac:dyDescent="0.25">
      <c r="B25" s="176" t="str">
        <f>X27</f>
        <v>STRBIORPSN_ST01</v>
      </c>
      <c r="C25" s="176" t="str">
        <f>Y27</f>
        <v>Extraction of  seed oil from Oil Seed Crops</v>
      </c>
      <c r="D25" s="176" t="s">
        <v>147</v>
      </c>
      <c r="E25" s="176"/>
      <c r="F25" s="176"/>
      <c r="G25" s="177">
        <f>H25</f>
        <v>2022</v>
      </c>
      <c r="H25" s="178">
        <v>2022</v>
      </c>
      <c r="I25" s="178"/>
      <c r="J25" s="154">
        <v>1.74</v>
      </c>
      <c r="K25" s="178"/>
      <c r="L25" s="178">
        <v>0.92</v>
      </c>
      <c r="M25" s="178">
        <v>20</v>
      </c>
      <c r="N25" s="196">
        <f>0.0001*(1/0.9)</f>
        <v>1.1111111111111112E-4</v>
      </c>
      <c r="O25" s="178"/>
      <c r="P25" s="178">
        <f>1.42*(1/0.9)</f>
        <v>1.5777777777777777</v>
      </c>
      <c r="Q25" s="178">
        <v>31.536000000000001</v>
      </c>
      <c r="R25" s="180"/>
      <c r="S25" s="180"/>
      <c r="T25" s="180"/>
      <c r="U25" s="180"/>
      <c r="W25" s="115"/>
      <c r="X25" s="12" t="s">
        <v>986</v>
      </c>
      <c r="Y25" s="12" t="s">
        <v>901</v>
      </c>
      <c r="Z25" s="58" t="str">
        <f>General!$B$2</f>
        <v>PJ</v>
      </c>
      <c r="AA25" s="34" t="str">
        <f>General!$D$24</f>
        <v>GW</v>
      </c>
      <c r="AB25" s="12"/>
      <c r="AC25" s="12"/>
      <c r="AD25" s="12"/>
    </row>
    <row r="26" spans="2:31" s="33" customFormat="1" ht="14.25" customHeight="1" x14ac:dyDescent="0.25">
      <c r="B26" s="181"/>
      <c r="C26" s="181"/>
      <c r="D26" s="181"/>
      <c r="E26" s="181" t="s">
        <v>166</v>
      </c>
      <c r="F26" s="181"/>
      <c r="G26" s="110">
        <f>G25</f>
        <v>2022</v>
      </c>
      <c r="H26" s="105"/>
      <c r="I26" s="105"/>
      <c r="J26" s="105"/>
      <c r="K26" s="105">
        <v>1</v>
      </c>
      <c r="L26" s="105"/>
      <c r="M26" s="105"/>
      <c r="N26" s="197"/>
      <c r="O26" s="105"/>
      <c r="P26" s="105"/>
      <c r="Q26" s="105"/>
      <c r="R26" s="180"/>
      <c r="S26" s="180"/>
      <c r="T26" s="180"/>
      <c r="U26" s="180"/>
      <c r="W26" s="115"/>
      <c r="X26" s="12" t="s">
        <v>987</v>
      </c>
      <c r="Y26" s="12" t="s">
        <v>899</v>
      </c>
      <c r="Z26" s="58" t="str">
        <f>General!$B$2</f>
        <v>PJ</v>
      </c>
      <c r="AA26" s="34" t="str">
        <f>General!$D$24</f>
        <v>GW</v>
      </c>
      <c r="AB26" s="12"/>
      <c r="AC26" s="115"/>
      <c r="AD26" s="115"/>
    </row>
    <row r="27" spans="2:31" s="33" customFormat="1" ht="17.25" customHeight="1" x14ac:dyDescent="0.25">
      <c r="B27" s="181"/>
      <c r="C27" s="181"/>
      <c r="D27" s="181"/>
      <c r="E27" s="198" t="s">
        <v>733</v>
      </c>
      <c r="F27" s="181"/>
      <c r="G27" s="110">
        <f>G25</f>
        <v>2022</v>
      </c>
      <c r="H27" s="105"/>
      <c r="I27" s="105"/>
      <c r="J27" s="105"/>
      <c r="K27" s="105">
        <v>0.74</v>
      </c>
      <c r="L27" s="105"/>
      <c r="M27" s="105"/>
      <c r="N27" s="197"/>
      <c r="O27" s="105"/>
      <c r="P27" s="105"/>
      <c r="Q27" s="105"/>
      <c r="R27" s="180"/>
      <c r="S27" s="180"/>
      <c r="T27" s="180"/>
      <c r="U27" s="180"/>
      <c r="W27" s="115"/>
      <c r="X27" s="12" t="s">
        <v>988</v>
      </c>
      <c r="Y27" s="12" t="s">
        <v>900</v>
      </c>
      <c r="Z27" s="58" t="str">
        <f>General!$B$2</f>
        <v>PJ</v>
      </c>
      <c r="AA27" s="34" t="str">
        <f>General!$D$24</f>
        <v>GW</v>
      </c>
      <c r="AB27" s="115"/>
      <c r="AC27" s="115" t="str">
        <f>E26</f>
        <v>BIORPS</v>
      </c>
      <c r="AD27" s="115"/>
      <c r="AE27" s="12"/>
    </row>
    <row r="28" spans="2:31" s="33" customFormat="1" ht="13.8" x14ac:dyDescent="0.25">
      <c r="B28" s="181"/>
      <c r="C28" s="181"/>
      <c r="D28" s="181"/>
      <c r="E28" s="181"/>
      <c r="F28" s="181"/>
      <c r="G28" s="110">
        <f>G25+5</f>
        <v>2027</v>
      </c>
      <c r="H28" s="105"/>
      <c r="I28" s="105"/>
      <c r="J28" s="182"/>
      <c r="K28" s="105"/>
      <c r="L28" s="105"/>
      <c r="M28" s="105"/>
      <c r="N28" s="197">
        <f>N25</f>
        <v>1.1111111111111112E-4</v>
      </c>
      <c r="O28" s="105"/>
      <c r="P28" s="105"/>
      <c r="Q28" s="181"/>
      <c r="U28" s="180"/>
      <c r="W28" s="115"/>
      <c r="X28" s="12" t="s">
        <v>989</v>
      </c>
      <c r="Y28" s="12" t="s">
        <v>886</v>
      </c>
      <c r="Z28" s="58" t="str">
        <f>General!$B$2</f>
        <v>PJ</v>
      </c>
      <c r="AA28" s="34" t="str">
        <f>General!$D$24</f>
        <v>GW</v>
      </c>
      <c r="AB28" s="115"/>
      <c r="AC28" s="115" t="str">
        <f>E31</f>
        <v>BIORME</v>
      </c>
      <c r="AD28" s="115"/>
    </row>
    <row r="29" spans="2:31" s="33" customFormat="1" ht="13.8" x14ac:dyDescent="0.25">
      <c r="B29" s="184"/>
      <c r="C29" s="184"/>
      <c r="D29" s="184"/>
      <c r="E29" s="184"/>
      <c r="F29" s="184"/>
      <c r="G29" s="125">
        <f>G28+5</f>
        <v>2032</v>
      </c>
      <c r="H29" s="185"/>
      <c r="I29" s="185"/>
      <c r="J29" s="186"/>
      <c r="K29" s="185"/>
      <c r="L29" s="185"/>
      <c r="M29" s="185"/>
      <c r="N29" s="199">
        <f>N28</f>
        <v>1.1111111111111112E-4</v>
      </c>
      <c r="O29" s="185"/>
      <c r="P29" s="185"/>
      <c r="Q29" s="184"/>
      <c r="U29" s="180"/>
      <c r="W29" s="58"/>
      <c r="X29" s="12" t="s">
        <v>990</v>
      </c>
      <c r="Y29" s="12" t="s">
        <v>887</v>
      </c>
      <c r="Z29" s="58" t="str">
        <f>General!$B$2</f>
        <v>PJ</v>
      </c>
      <c r="AA29" s="34" t="str">
        <f>General!$D$24</f>
        <v>GW</v>
      </c>
      <c r="AB29" s="115"/>
      <c r="AC29" s="115"/>
      <c r="AD29" s="115"/>
    </row>
    <row r="30" spans="2:31" s="33" customFormat="1" ht="13.8" x14ac:dyDescent="0.25">
      <c r="B30" s="176" t="str">
        <f>X28</f>
        <v>STRBIORMEN_ST01</v>
      </c>
      <c r="C30" s="176" t="str">
        <f>Y28</f>
        <v>Transesterification of seed oil New</v>
      </c>
      <c r="D30" s="176" t="s">
        <v>166</v>
      </c>
      <c r="E30" s="200"/>
      <c r="F30" s="176"/>
      <c r="G30" s="177">
        <f>H30</f>
        <v>2022</v>
      </c>
      <c r="H30" s="178">
        <v>2022</v>
      </c>
      <c r="I30" s="178"/>
      <c r="J30" s="154">
        <v>1</v>
      </c>
      <c r="K30" s="178"/>
      <c r="L30" s="178">
        <v>0.92</v>
      </c>
      <c r="M30" s="178">
        <v>20</v>
      </c>
      <c r="N30" s="179">
        <f>140*(1/0.9)</f>
        <v>155.55555555555557</v>
      </c>
      <c r="O30" s="178"/>
      <c r="P30" s="178">
        <f>0.13*(1/0.9)</f>
        <v>0.14444444444444446</v>
      </c>
      <c r="Q30" s="178">
        <v>31.536000000000001</v>
      </c>
      <c r="T30" s="180" t="s">
        <v>896</v>
      </c>
      <c r="U30" s="180"/>
      <c r="X30" s="12" t="s">
        <v>991</v>
      </c>
      <c r="Y30" s="12" t="s">
        <v>856</v>
      </c>
      <c r="Z30" s="58" t="str">
        <f>General!$B$2</f>
        <v>PJ</v>
      </c>
      <c r="AA30" s="34" t="str">
        <f>General!$D$24</f>
        <v>GW</v>
      </c>
    </row>
    <row r="31" spans="2:31" s="33" customFormat="1" ht="13.8" x14ac:dyDescent="0.25">
      <c r="B31" s="181"/>
      <c r="C31" s="181"/>
      <c r="D31" s="181"/>
      <c r="E31" s="181" t="s">
        <v>151</v>
      </c>
      <c r="F31" s="181"/>
      <c r="G31" s="110">
        <f>G30</f>
        <v>2022</v>
      </c>
      <c r="H31" s="105"/>
      <c r="I31" s="105"/>
      <c r="J31" s="48"/>
      <c r="K31" s="105">
        <v>1</v>
      </c>
      <c r="L31" s="105"/>
      <c r="M31" s="105"/>
      <c r="N31" s="183"/>
      <c r="O31" s="105"/>
      <c r="P31" s="105"/>
      <c r="Q31" s="105"/>
      <c r="T31" s="180"/>
      <c r="U31" s="180"/>
      <c r="W31" s="34"/>
      <c r="X31" s="12" t="s">
        <v>992</v>
      </c>
      <c r="Y31" s="12" t="s">
        <v>902</v>
      </c>
      <c r="Z31" s="58" t="str">
        <f>General!$B$2</f>
        <v>PJ</v>
      </c>
      <c r="AA31" s="34" t="str">
        <f>General!$D$24</f>
        <v>GW</v>
      </c>
      <c r="AC31" s="33" t="str">
        <f>E50</f>
        <v>BIOETF</v>
      </c>
    </row>
    <row r="32" spans="2:31" s="33" customFormat="1" ht="13.8" x14ac:dyDescent="0.25">
      <c r="B32" s="181"/>
      <c r="C32" s="181"/>
      <c r="D32" s="181"/>
      <c r="E32" s="198" t="s">
        <v>732</v>
      </c>
      <c r="F32" s="200"/>
      <c r="G32" s="110">
        <f>G30</f>
        <v>2022</v>
      </c>
      <c r="H32" s="105"/>
      <c r="I32" s="105"/>
      <c r="J32" s="48"/>
      <c r="K32" s="105">
        <v>0.05</v>
      </c>
      <c r="L32" s="105"/>
      <c r="M32" s="105"/>
      <c r="N32" s="183"/>
      <c r="O32" s="105"/>
      <c r="P32" s="105"/>
      <c r="Q32" s="105"/>
      <c r="U32" s="180"/>
      <c r="W32" s="34"/>
      <c r="X32" s="12" t="s">
        <v>993</v>
      </c>
      <c r="Y32" s="12" t="s">
        <v>891</v>
      </c>
      <c r="Z32" s="58" t="str">
        <f>General!$B$2</f>
        <v>PJ</v>
      </c>
      <c r="AA32" s="34" t="str">
        <f>General!$D$24</f>
        <v>GW</v>
      </c>
      <c r="AC32" s="115" t="str">
        <f>E54</f>
        <v>BIOETS</v>
      </c>
    </row>
    <row r="33" spans="1:32" s="33" customFormat="1" ht="13.8" x14ac:dyDescent="0.25">
      <c r="B33" s="181"/>
      <c r="C33" s="181"/>
      <c r="D33" s="181"/>
      <c r="E33" s="181"/>
      <c r="F33" s="181" t="s">
        <v>55</v>
      </c>
      <c r="G33" s="110">
        <f>G32</f>
        <v>2022</v>
      </c>
      <c r="H33" s="105"/>
      <c r="I33" s="105">
        <v>6.0000000000000001E-3</v>
      </c>
      <c r="J33" s="182"/>
      <c r="K33" s="105"/>
      <c r="L33" s="105"/>
      <c r="M33" s="105"/>
      <c r="N33" s="183"/>
      <c r="O33" s="105"/>
      <c r="P33" s="105"/>
      <c r="Q33" s="181"/>
      <c r="W33" s="201"/>
      <c r="X33" s="77" t="s">
        <v>994</v>
      </c>
      <c r="Y33" s="77" t="s">
        <v>892</v>
      </c>
      <c r="Z33" s="202" t="str">
        <f>General!$B$2</f>
        <v>PJ</v>
      </c>
      <c r="AA33" s="203" t="str">
        <f>General!$D$24</f>
        <v>GW</v>
      </c>
      <c r="AB33" s="201"/>
      <c r="AC33" s="204" t="str">
        <f>E54</f>
        <v>BIOETS</v>
      </c>
      <c r="AD33" s="201"/>
      <c r="AE33" s="180"/>
    </row>
    <row r="34" spans="1:32" s="33" customFormat="1" ht="13.8" x14ac:dyDescent="0.25">
      <c r="B34" s="184"/>
      <c r="C34" s="184"/>
      <c r="D34" s="184"/>
      <c r="E34" s="184"/>
      <c r="F34" s="205" t="s">
        <v>729</v>
      </c>
      <c r="G34" s="125">
        <f>G33</f>
        <v>2022</v>
      </c>
      <c r="H34" s="185"/>
      <c r="I34" s="185">
        <v>0.04</v>
      </c>
      <c r="J34" s="186"/>
      <c r="K34" s="185"/>
      <c r="L34" s="185"/>
      <c r="M34" s="185"/>
      <c r="N34" s="187"/>
      <c r="O34" s="185"/>
      <c r="P34" s="185"/>
      <c r="Q34" s="184"/>
      <c r="X34" s="12" t="s">
        <v>995</v>
      </c>
      <c r="Y34" s="12" t="s">
        <v>895</v>
      </c>
      <c r="Z34" s="58" t="str">
        <f>General!$B$2</f>
        <v>PJ</v>
      </c>
      <c r="AA34" s="58" t="str">
        <f>General!$B$2&amp;"a"</f>
        <v>PJa</v>
      </c>
      <c r="AE34" s="180"/>
    </row>
    <row r="35" spans="1:32" s="33" customFormat="1" ht="13.8" x14ac:dyDescent="0.25">
      <c r="B35" s="176" t="str">
        <f>X29</f>
        <v>STRBIOHVON_ST01</v>
      </c>
      <c r="C35" s="176" t="str">
        <f>Y29</f>
        <v>Hydrotreating of seed oil New</v>
      </c>
      <c r="D35" s="176" t="s">
        <v>166</v>
      </c>
      <c r="E35" s="176" t="s">
        <v>153</v>
      </c>
      <c r="F35" s="181"/>
      <c r="G35" s="177">
        <f>H35</f>
        <v>2025</v>
      </c>
      <c r="H35" s="178">
        <v>2025</v>
      </c>
      <c r="I35" s="178"/>
      <c r="J35" s="154">
        <v>1.04</v>
      </c>
      <c r="K35" s="178">
        <v>1</v>
      </c>
      <c r="L35" s="178">
        <v>0.92</v>
      </c>
      <c r="M35" s="178">
        <v>20</v>
      </c>
      <c r="N35" s="179">
        <f>612*(1/0.9)</f>
        <v>680</v>
      </c>
      <c r="O35" s="178"/>
      <c r="P35" s="178">
        <f>0.58*(1/0.9)</f>
        <v>0.64444444444444438</v>
      </c>
      <c r="Q35" s="178">
        <v>31.536000000000001</v>
      </c>
      <c r="T35" s="180" t="s">
        <v>896</v>
      </c>
      <c r="X35" s="12" t="s">
        <v>996</v>
      </c>
      <c r="Y35" s="12" t="s">
        <v>898</v>
      </c>
      <c r="Z35" s="58" t="str">
        <f>General!$B$2</f>
        <v>PJ</v>
      </c>
      <c r="AA35" s="58" t="str">
        <f>General!$B$2&amp;"a"</f>
        <v>PJa</v>
      </c>
      <c r="AE35" s="180"/>
    </row>
    <row r="36" spans="1:32" s="33" customFormat="1" ht="13.8" x14ac:dyDescent="0.25">
      <c r="B36" s="181" t="str">
        <f>IF(I36=0,"*","")</f>
        <v>*</v>
      </c>
      <c r="C36" s="181"/>
      <c r="D36" s="181"/>
      <c r="E36" s="181"/>
      <c r="F36" s="181" t="s">
        <v>55</v>
      </c>
      <c r="G36" s="110">
        <f>G35</f>
        <v>2025</v>
      </c>
      <c r="H36" s="105"/>
      <c r="I36" s="105">
        <v>0</v>
      </c>
      <c r="J36" s="182"/>
      <c r="K36" s="105"/>
      <c r="L36" s="105"/>
      <c r="M36" s="105"/>
      <c r="N36" s="183"/>
      <c r="O36" s="105"/>
      <c r="P36" s="105"/>
      <c r="Q36" s="181"/>
      <c r="X36" s="12" t="s">
        <v>997</v>
      </c>
      <c r="Y36" s="12" t="s">
        <v>888</v>
      </c>
      <c r="Z36" s="58" t="str">
        <f>General!$B$2</f>
        <v>PJ</v>
      </c>
      <c r="AA36" s="58" t="str">
        <f>General!$B$2&amp;"a"</f>
        <v>PJa</v>
      </c>
      <c r="AE36" s="180"/>
    </row>
    <row r="37" spans="1:32" s="33" customFormat="1" ht="13.8" x14ac:dyDescent="0.25">
      <c r="B37" s="181" t="str">
        <f>IF(I37=0,"*","")</f>
        <v>*</v>
      </c>
      <c r="C37" s="184"/>
      <c r="D37" s="184"/>
      <c r="E37" s="184"/>
      <c r="F37" s="205" t="s">
        <v>729</v>
      </c>
      <c r="G37" s="125">
        <f>G36</f>
        <v>2025</v>
      </c>
      <c r="H37" s="185"/>
      <c r="I37" s="185">
        <v>0</v>
      </c>
      <c r="J37" s="186"/>
      <c r="K37" s="185"/>
      <c r="L37" s="185"/>
      <c r="M37" s="185"/>
      <c r="N37" s="187"/>
      <c r="O37" s="185"/>
      <c r="P37" s="185"/>
      <c r="Q37" s="184"/>
      <c r="X37" s="12" t="s">
        <v>998</v>
      </c>
      <c r="Y37" s="12" t="s">
        <v>889</v>
      </c>
      <c r="Z37" s="58" t="str">
        <f>General!$B$2</f>
        <v>PJ</v>
      </c>
      <c r="AA37" s="58" t="str">
        <f>General!$B$2&amp;"a"</f>
        <v>PJa</v>
      </c>
      <c r="AE37" s="180"/>
    </row>
    <row r="38" spans="1:32" s="33" customFormat="1" ht="13.8" x14ac:dyDescent="0.25">
      <c r="B38" s="131" t="str">
        <f>$X$30</f>
        <v>STRBIOUCON01</v>
      </c>
      <c r="C38" s="131" t="str">
        <f>$Y$30</f>
        <v xml:space="preserve">Collection of Waste cooking oils </v>
      </c>
      <c r="D38" s="131" t="s">
        <v>982</v>
      </c>
      <c r="E38" s="176" t="s">
        <v>151</v>
      </c>
      <c r="F38" s="131"/>
      <c r="G38" s="92">
        <f>H38</f>
        <v>2020</v>
      </c>
      <c r="H38" s="206">
        <v>2020</v>
      </c>
      <c r="I38" s="206"/>
      <c r="J38" s="206">
        <v>1</v>
      </c>
      <c r="K38" s="131">
        <v>1</v>
      </c>
      <c r="L38" s="131"/>
      <c r="M38" s="131"/>
      <c r="N38" s="206">
        <f>0.929*(1/0.9)</f>
        <v>1.0322222222222224</v>
      </c>
      <c r="O38" s="131"/>
      <c r="P38" s="131"/>
      <c r="Q38" s="131">
        <v>1</v>
      </c>
      <c r="X38" s="12" t="s">
        <v>999</v>
      </c>
      <c r="Y38" s="12" t="s">
        <v>857</v>
      </c>
      <c r="Z38" s="58" t="str">
        <f>General!$B$2</f>
        <v>PJ</v>
      </c>
      <c r="AA38" s="58" t="str">
        <f>General!$B$2&amp;"a"</f>
        <v>PJa</v>
      </c>
      <c r="AE38" s="180"/>
    </row>
    <row r="39" spans="1:32" s="33" customFormat="1" ht="13.8" x14ac:dyDescent="0.25">
      <c r="B39" s="176" t="str">
        <f t="shared" ref="B39:C40" si="0">X40</f>
        <v>D-UseBIOGLY</v>
      </c>
      <c r="C39" s="207" t="str">
        <f t="shared" si="0"/>
        <v>Dummy Utilisation of Bio-Glycerol</v>
      </c>
      <c r="D39" s="188" t="s">
        <v>732</v>
      </c>
      <c r="E39" s="176"/>
      <c r="F39" s="176"/>
      <c r="G39" s="177">
        <f>H39</f>
        <v>2020</v>
      </c>
      <c r="H39" s="178">
        <v>2020</v>
      </c>
      <c r="I39" s="178"/>
      <c r="J39" s="178">
        <v>1</v>
      </c>
      <c r="K39" s="176"/>
      <c r="L39" s="176"/>
      <c r="M39" s="176"/>
      <c r="N39" s="176"/>
      <c r="O39" s="176"/>
      <c r="P39" s="208"/>
      <c r="Q39" s="176">
        <v>1</v>
      </c>
      <c r="T39" s="180"/>
      <c r="W39" s="201"/>
      <c r="X39" s="77" t="s">
        <v>1000</v>
      </c>
      <c r="Y39" s="77" t="s">
        <v>890</v>
      </c>
      <c r="Z39" s="202" t="str">
        <f>General!$B$2</f>
        <v>PJ</v>
      </c>
      <c r="AA39" s="202" t="str">
        <f>General!$B$2&amp;"a"</f>
        <v>PJa</v>
      </c>
      <c r="AB39" s="201"/>
      <c r="AC39" s="201"/>
      <c r="AD39" s="201"/>
      <c r="AE39" s="180"/>
    </row>
    <row r="40" spans="1:32" s="33" customFormat="1" ht="13.8" x14ac:dyDescent="0.25">
      <c r="B40" s="184" t="str">
        <f t="shared" si="0"/>
        <v>D-UseBIOPLPOIL</v>
      </c>
      <c r="C40" s="209" t="str">
        <f t="shared" si="0"/>
        <v>Dummy Utilisation of Bio Oil Pulp</v>
      </c>
      <c r="D40" s="210" t="s">
        <v>733</v>
      </c>
      <c r="E40" s="184"/>
      <c r="F40" s="184"/>
      <c r="G40" s="125">
        <f>H40</f>
        <v>2020</v>
      </c>
      <c r="H40" s="185">
        <f>H39</f>
        <v>2020</v>
      </c>
      <c r="I40" s="185"/>
      <c r="J40" s="187">
        <v>1</v>
      </c>
      <c r="K40" s="184"/>
      <c r="L40" s="184"/>
      <c r="M40" s="184"/>
      <c r="N40" s="184"/>
      <c r="O40" s="184"/>
      <c r="P40" s="211"/>
      <c r="Q40" s="184">
        <v>1</v>
      </c>
      <c r="X40" s="117" t="s">
        <v>1001</v>
      </c>
      <c r="Y40" s="175" t="s">
        <v>893</v>
      </c>
      <c r="Z40" s="58" t="str">
        <f>General!$B$2</f>
        <v>PJ</v>
      </c>
      <c r="AA40" s="58" t="str">
        <f>General!$B$2&amp;"a"</f>
        <v>PJa</v>
      </c>
      <c r="AE40" s="180"/>
    </row>
    <row r="41" spans="1:32" s="33" customFormat="1" ht="13.8" x14ac:dyDescent="0.25">
      <c r="A41" s="180"/>
      <c r="B41" s="181"/>
      <c r="C41" s="181"/>
      <c r="D41" s="212"/>
      <c r="E41" s="181"/>
      <c r="F41" s="181"/>
      <c r="G41" s="105"/>
      <c r="H41" s="105"/>
      <c r="I41" s="105"/>
      <c r="J41" s="183"/>
      <c r="K41" s="181"/>
      <c r="L41" s="181"/>
      <c r="M41" s="181"/>
      <c r="N41" s="181"/>
      <c r="O41" s="181"/>
      <c r="P41" s="213"/>
      <c r="Q41" s="181"/>
      <c r="X41" s="117" t="s">
        <v>1002</v>
      </c>
      <c r="Y41" s="175" t="s">
        <v>894</v>
      </c>
      <c r="Z41" s="58" t="str">
        <f>General!$B$2</f>
        <v>PJ</v>
      </c>
      <c r="AA41" s="58" t="str">
        <f>General!$B$2&amp;"a"</f>
        <v>PJa</v>
      </c>
      <c r="AE41" s="180"/>
    </row>
    <row r="42" spans="1:32" s="33" customFormat="1" x14ac:dyDescent="0.25">
      <c r="H42" s="34"/>
      <c r="W42" s="115"/>
      <c r="X42" s="57" t="s">
        <v>1003</v>
      </c>
      <c r="Y42" s="57" t="s">
        <v>858</v>
      </c>
      <c r="Z42" s="58" t="str">
        <f>General!$B$2</f>
        <v>PJ</v>
      </c>
      <c r="AA42" s="58" t="str">
        <f>General!$B$2&amp;"a"</f>
        <v>PJa</v>
      </c>
      <c r="AB42" s="115"/>
      <c r="AC42" s="115"/>
      <c r="AD42" s="115"/>
      <c r="AE42" s="180"/>
    </row>
    <row r="43" spans="1:32" s="33" customFormat="1" x14ac:dyDescent="0.25">
      <c r="H43" s="34"/>
      <c r="X43" s="214" t="s">
        <v>1004</v>
      </c>
      <c r="Y43" s="214" t="s">
        <v>859</v>
      </c>
      <c r="Z43" s="58" t="str">
        <f>General!$B$2</f>
        <v>PJ</v>
      </c>
      <c r="AA43" s="58" t="str">
        <f>General!$B$2&amp;"a"</f>
        <v>PJa</v>
      </c>
      <c r="AE43" s="180"/>
    </row>
    <row r="44" spans="1:32" s="215" customFormat="1" ht="18.75" customHeight="1" x14ac:dyDescent="0.25">
      <c r="A44" s="33"/>
      <c r="B44" s="33"/>
      <c r="C44" s="33"/>
      <c r="D44" s="33"/>
      <c r="E44" s="33"/>
      <c r="F44" s="33"/>
      <c r="G44" s="33"/>
      <c r="H44" s="34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180"/>
      <c r="X44" s="57" t="s">
        <v>1005</v>
      </c>
      <c r="Y44" s="57" t="s">
        <v>860</v>
      </c>
      <c r="Z44" s="58" t="str">
        <f>General!$B$2</f>
        <v>PJ</v>
      </c>
      <c r="AA44" s="58" t="str">
        <f>General!$B$2&amp;"a"</f>
        <v>PJa</v>
      </c>
      <c r="AB44" s="180"/>
      <c r="AC44" s="180"/>
      <c r="AD44" s="180"/>
      <c r="AE44" s="180"/>
      <c r="AF44" s="33"/>
    </row>
    <row r="45" spans="1:32" s="14" customFormat="1" ht="18.75" customHeight="1" x14ac:dyDescent="0.3">
      <c r="A45" s="33"/>
      <c r="B45" s="51" t="s">
        <v>746</v>
      </c>
      <c r="C45" s="51"/>
      <c r="D45" s="51"/>
      <c r="E45" s="33"/>
      <c r="F45" s="33"/>
      <c r="G45" s="163" t="s">
        <v>0</v>
      </c>
      <c r="H45" s="163"/>
      <c r="I45" s="82"/>
      <c r="J45" s="33"/>
      <c r="K45" s="163"/>
      <c r="L45" s="33"/>
      <c r="M45" s="33"/>
      <c r="N45" s="33"/>
      <c r="O45" s="33"/>
      <c r="P45" s="33"/>
      <c r="Q45" s="33"/>
      <c r="R45" s="33"/>
      <c r="S45" s="33"/>
      <c r="T45" s="180"/>
      <c r="U45" s="33"/>
      <c r="V45" s="33"/>
      <c r="W45" s="115"/>
      <c r="X45" s="57" t="s">
        <v>1006</v>
      </c>
      <c r="Y45" s="57" t="s">
        <v>861</v>
      </c>
      <c r="Z45" s="58" t="str">
        <f>General!$B$2</f>
        <v>PJ</v>
      </c>
      <c r="AA45" s="58" t="str">
        <f>General!$B$2&amp;"a"</f>
        <v>PJa</v>
      </c>
      <c r="AB45" s="115"/>
      <c r="AC45" s="115"/>
      <c r="AD45" s="115"/>
      <c r="AE45" s="180"/>
      <c r="AF45" s="33"/>
    </row>
    <row r="46" spans="1:32" s="14" customFormat="1" ht="15" customHeight="1" x14ac:dyDescent="0.25">
      <c r="A46" s="33"/>
      <c r="B46" s="164" t="s">
        <v>1</v>
      </c>
      <c r="C46" s="164" t="s">
        <v>61</v>
      </c>
      <c r="D46" s="164" t="s">
        <v>3</v>
      </c>
      <c r="E46" s="164" t="s">
        <v>4</v>
      </c>
      <c r="F46" s="59" t="s">
        <v>871</v>
      </c>
      <c r="G46" s="165" t="s">
        <v>62</v>
      </c>
      <c r="H46" s="61" t="s">
        <v>15</v>
      </c>
      <c r="I46" s="61" t="s">
        <v>872</v>
      </c>
      <c r="J46" s="61" t="s">
        <v>53</v>
      </c>
      <c r="K46" s="62" t="s">
        <v>54</v>
      </c>
      <c r="L46" s="61" t="s">
        <v>41</v>
      </c>
      <c r="M46" s="61" t="s">
        <v>724</v>
      </c>
      <c r="N46" s="61" t="s">
        <v>47</v>
      </c>
      <c r="O46" s="61" t="s">
        <v>5</v>
      </c>
      <c r="P46" s="61" t="s">
        <v>42</v>
      </c>
      <c r="Q46" s="61" t="s">
        <v>734</v>
      </c>
      <c r="R46" s="180"/>
      <c r="S46" s="180"/>
      <c r="T46" s="61" t="s">
        <v>52</v>
      </c>
      <c r="U46" s="33"/>
      <c r="V46" s="33"/>
      <c r="W46" s="180"/>
      <c r="X46" s="214" t="s">
        <v>1007</v>
      </c>
      <c r="Y46" s="214" t="s">
        <v>862</v>
      </c>
      <c r="Z46" s="58" t="str">
        <f>General!$B$2</f>
        <v>PJ</v>
      </c>
      <c r="AA46" s="58" t="str">
        <f>General!$B$2&amp;"a"</f>
        <v>PJa</v>
      </c>
      <c r="AB46" s="180"/>
      <c r="AC46" s="180"/>
      <c r="AD46" s="180"/>
      <c r="AE46" s="180"/>
      <c r="AF46" s="215"/>
    </row>
    <row r="47" spans="1:32" s="14" customFormat="1" ht="15" customHeight="1" thickBot="1" x14ac:dyDescent="0.3">
      <c r="A47" s="33"/>
      <c r="B47" s="167" t="s">
        <v>38</v>
      </c>
      <c r="C47" s="67" t="s">
        <v>32</v>
      </c>
      <c r="D47" s="67" t="s">
        <v>39</v>
      </c>
      <c r="E47" s="67" t="s">
        <v>40</v>
      </c>
      <c r="F47" s="67" t="s">
        <v>897</v>
      </c>
      <c r="G47" s="168"/>
      <c r="H47" s="67" t="s">
        <v>46</v>
      </c>
      <c r="I47" s="169"/>
      <c r="J47" s="169" t="s">
        <v>721</v>
      </c>
      <c r="K47" s="67" t="s">
        <v>44</v>
      </c>
      <c r="L47" s="67" t="s">
        <v>45</v>
      </c>
      <c r="M47" s="67" t="s">
        <v>725</v>
      </c>
      <c r="N47" s="67" t="s">
        <v>48</v>
      </c>
      <c r="O47" s="67" t="s">
        <v>49</v>
      </c>
      <c r="P47" s="67" t="s">
        <v>50</v>
      </c>
      <c r="Q47" s="67" t="s">
        <v>735</v>
      </c>
      <c r="R47" s="180"/>
      <c r="S47" s="180"/>
      <c r="T47" s="170"/>
      <c r="U47" s="33"/>
      <c r="V47" s="33"/>
      <c r="W47" s="180"/>
      <c r="X47" s="214" t="s">
        <v>1008</v>
      </c>
      <c r="Y47" s="214" t="s">
        <v>863</v>
      </c>
      <c r="Z47" s="58" t="str">
        <f>General!$B$2</f>
        <v>PJ</v>
      </c>
      <c r="AA47" s="58" t="str">
        <f>General!$B$2&amp;"a"</f>
        <v>PJa</v>
      </c>
      <c r="AB47" s="216"/>
      <c r="AC47" s="180"/>
      <c r="AD47" s="180"/>
      <c r="AE47" s="180"/>
    </row>
    <row r="48" spans="1:32" s="14" customFormat="1" ht="15" customHeight="1" x14ac:dyDescent="0.25">
      <c r="A48" s="33"/>
      <c r="B48" s="171" t="s">
        <v>71</v>
      </c>
      <c r="C48" s="172"/>
      <c r="D48" s="172"/>
      <c r="E48" s="172"/>
      <c r="F48" s="172"/>
      <c r="G48" s="173"/>
      <c r="H48" s="172"/>
      <c r="I48" s="174"/>
      <c r="J48" s="174"/>
      <c r="K48" s="174"/>
      <c r="L48" s="172"/>
      <c r="M48" s="172" t="str">
        <f>General!$D$13</f>
        <v>Years</v>
      </c>
      <c r="N48" s="172" t="str">
        <f>General!$D$22</f>
        <v>M$/GW</v>
      </c>
      <c r="O48" s="172" t="str">
        <f>General!$D$22</f>
        <v>M$/GW</v>
      </c>
      <c r="P48" s="172" t="str">
        <f>General!$D$12</f>
        <v>M$/PJ</v>
      </c>
      <c r="Q48" s="172" t="str">
        <f>General!$D$14</f>
        <v>PJ/GW</v>
      </c>
      <c r="R48" s="180"/>
      <c r="S48" s="180"/>
      <c r="T48" s="170"/>
      <c r="U48" s="33"/>
      <c r="V48" s="33"/>
      <c r="W48" s="180"/>
      <c r="X48" s="214" t="s">
        <v>1009</v>
      </c>
      <c r="Y48" s="214" t="s">
        <v>864</v>
      </c>
      <c r="Z48" s="58" t="str">
        <f>General!$B$2</f>
        <v>PJ</v>
      </c>
      <c r="AA48" s="58" t="str">
        <f>General!$B$2&amp;"a"</f>
        <v>PJa</v>
      </c>
      <c r="AB48" s="216"/>
      <c r="AC48" s="180"/>
      <c r="AD48" s="180"/>
      <c r="AE48" s="180"/>
    </row>
    <row r="49" spans="1:32" s="14" customFormat="1" ht="15" customHeight="1" x14ac:dyDescent="0.25">
      <c r="A49" s="33"/>
      <c r="B49" s="181" t="str">
        <f>X31</f>
        <v>STRBIOETHN_IM01</v>
      </c>
      <c r="C49" s="181" t="str">
        <f>Y31</f>
        <v>Production of Bioethanol from cereals</v>
      </c>
      <c r="D49" s="181" t="s">
        <v>983</v>
      </c>
      <c r="E49" s="198" t="str">
        <f>E50</f>
        <v>BIOETF</v>
      </c>
      <c r="F49" s="181"/>
      <c r="G49" s="110">
        <f>H49</f>
        <v>2022</v>
      </c>
      <c r="H49" s="105">
        <v>2022</v>
      </c>
      <c r="I49" s="105"/>
      <c r="J49" s="105">
        <v>1.74</v>
      </c>
      <c r="K49" s="105">
        <f>K50</f>
        <v>1</v>
      </c>
      <c r="L49" s="105">
        <v>0.92</v>
      </c>
      <c r="M49" s="105">
        <v>20</v>
      </c>
      <c r="N49" s="182">
        <f>587*(1/0.9)</f>
        <v>652.22222222222229</v>
      </c>
      <c r="O49" s="182"/>
      <c r="P49" s="182">
        <f>2.05*(1/0.9)</f>
        <v>2.2777777777777777</v>
      </c>
      <c r="Q49" s="105">
        <v>31.536000000000001</v>
      </c>
      <c r="R49" s="180"/>
      <c r="S49" s="180"/>
      <c r="T49" s="180" t="s">
        <v>896</v>
      </c>
      <c r="U49" s="33"/>
      <c r="V49" s="33"/>
      <c r="W49" s="12" t="s">
        <v>754</v>
      </c>
      <c r="X49" s="12" t="s">
        <v>1010</v>
      </c>
      <c r="Y49" s="12" t="s">
        <v>865</v>
      </c>
      <c r="Z49" s="58" t="str">
        <f>General!$B$2</f>
        <v>PJ</v>
      </c>
      <c r="AA49" s="58" t="str">
        <f>General!$B$2&amp;"a"</f>
        <v>PJa</v>
      </c>
      <c r="AB49" s="12"/>
      <c r="AC49" s="12"/>
      <c r="AD49" s="33"/>
      <c r="AE49" s="180"/>
    </row>
    <row r="50" spans="1:32" s="14" customFormat="1" ht="15" customHeight="1" x14ac:dyDescent="0.25">
      <c r="A50" s="33"/>
      <c r="B50" s="181" t="s">
        <v>1015</v>
      </c>
      <c r="C50" s="181"/>
      <c r="D50" s="181"/>
      <c r="E50" s="198" t="s">
        <v>763</v>
      </c>
      <c r="F50" s="200"/>
      <c r="G50" s="110">
        <f>G49</f>
        <v>2022</v>
      </c>
      <c r="H50" s="105"/>
      <c r="I50" s="105"/>
      <c r="J50" s="105"/>
      <c r="K50" s="48">
        <v>1</v>
      </c>
      <c r="L50" s="105"/>
      <c r="M50" s="105"/>
      <c r="N50" s="182"/>
      <c r="O50" s="182"/>
      <c r="P50" s="182"/>
      <c r="Q50" s="105"/>
      <c r="R50" s="180"/>
      <c r="S50" s="180"/>
      <c r="T50" s="180"/>
      <c r="U50" s="33"/>
      <c r="V50" s="33"/>
      <c r="W50" s="12"/>
      <c r="X50" s="12" t="s">
        <v>1011</v>
      </c>
      <c r="Y50" s="12" t="s">
        <v>866</v>
      </c>
      <c r="Z50" s="58" t="str">
        <f>General!$B$2</f>
        <v>PJ</v>
      </c>
      <c r="AA50" s="58" t="str">
        <f>General!$B$2&amp;"a"</f>
        <v>PJa</v>
      </c>
      <c r="AB50" s="12"/>
      <c r="AC50" s="12"/>
      <c r="AD50" s="215"/>
      <c r="AE50" s="33"/>
    </row>
    <row r="51" spans="1:32" s="14" customFormat="1" ht="15" customHeight="1" x14ac:dyDescent="0.25">
      <c r="A51" s="33"/>
      <c r="B51" s="181"/>
      <c r="C51" s="181"/>
      <c r="D51" s="181"/>
      <c r="E51" s="181"/>
      <c r="F51" s="181" t="s">
        <v>55</v>
      </c>
      <c r="G51" s="110">
        <f>G50</f>
        <v>2022</v>
      </c>
      <c r="H51" s="105"/>
      <c r="I51" s="105">
        <v>3.1E-2</v>
      </c>
      <c r="J51" s="105"/>
      <c r="K51" s="182"/>
      <c r="L51" s="105"/>
      <c r="M51" s="105"/>
      <c r="N51" s="182"/>
      <c r="O51" s="182"/>
      <c r="P51" s="182"/>
      <c r="Q51" s="105"/>
      <c r="R51" s="180"/>
      <c r="S51" s="180"/>
      <c r="T51" s="180"/>
      <c r="U51" s="33"/>
      <c r="V51" s="33"/>
      <c r="AE51" s="33"/>
    </row>
    <row r="52" spans="1:32" s="14" customFormat="1" ht="15" customHeight="1" x14ac:dyDescent="0.25">
      <c r="A52" s="33"/>
      <c r="B52" s="184"/>
      <c r="C52" s="184"/>
      <c r="D52" s="184"/>
      <c r="E52" s="184"/>
      <c r="F52" s="205" t="s">
        <v>729</v>
      </c>
      <c r="G52" s="125">
        <f>G51</f>
        <v>2022</v>
      </c>
      <c r="H52" s="185"/>
      <c r="I52" s="185">
        <v>0.43</v>
      </c>
      <c r="J52" s="185"/>
      <c r="K52" s="186"/>
      <c r="L52" s="185"/>
      <c r="M52" s="185"/>
      <c r="N52" s="186"/>
      <c r="O52" s="186"/>
      <c r="P52" s="186"/>
      <c r="Q52" s="185"/>
      <c r="R52" s="180"/>
      <c r="S52" s="180"/>
      <c r="T52" s="180"/>
      <c r="U52" s="33"/>
      <c r="V52" s="33"/>
      <c r="W52" s="33"/>
      <c r="X52" s="215"/>
      <c r="AA52" s="13"/>
      <c r="AE52" s="215"/>
    </row>
    <row r="53" spans="1:32" s="14" customFormat="1" ht="15" customHeight="1" x14ac:dyDescent="0.25">
      <c r="A53" s="33"/>
      <c r="B53" s="181" t="str">
        <f>X32</f>
        <v>STRBIOETHN_IM02</v>
      </c>
      <c r="C53" s="181" t="str">
        <f>Y32</f>
        <v>Production of Bioethanol from Sugar beets</v>
      </c>
      <c r="D53" s="181" t="s">
        <v>145</v>
      </c>
      <c r="E53" s="212" t="str">
        <f>E54</f>
        <v>BIOETS</v>
      </c>
      <c r="F53" s="181"/>
      <c r="G53" s="110">
        <f>H53</f>
        <v>2022</v>
      </c>
      <c r="H53" s="105">
        <v>2022</v>
      </c>
      <c r="I53" s="182"/>
      <c r="J53" s="182">
        <v>1.7</v>
      </c>
      <c r="K53" s="105">
        <f>K54</f>
        <v>1</v>
      </c>
      <c r="L53" s="105">
        <v>0.92</v>
      </c>
      <c r="M53" s="105">
        <v>20</v>
      </c>
      <c r="N53" s="182">
        <f>587*(1/0.9)</f>
        <v>652.22222222222229</v>
      </c>
      <c r="O53" s="182"/>
      <c r="P53" s="182">
        <f>2.05*(1/0.9)</f>
        <v>2.2777777777777777</v>
      </c>
      <c r="Q53" s="105">
        <v>31.536000000000001</v>
      </c>
      <c r="R53" s="180"/>
      <c r="S53" s="180"/>
      <c r="T53" s="180" t="s">
        <v>896</v>
      </c>
      <c r="U53" s="33"/>
      <c r="V53" s="33"/>
      <c r="W53" s="33"/>
      <c r="AA53" s="13"/>
    </row>
    <row r="54" spans="1:32" s="14" customFormat="1" ht="15" customHeight="1" x14ac:dyDescent="0.25">
      <c r="A54" s="33"/>
      <c r="B54" s="181" t="s">
        <v>1015</v>
      </c>
      <c r="C54" s="181"/>
      <c r="D54" s="181"/>
      <c r="E54" s="212" t="s">
        <v>764</v>
      </c>
      <c r="F54" s="181"/>
      <c r="G54" s="110">
        <f>G53</f>
        <v>2022</v>
      </c>
      <c r="H54" s="105"/>
      <c r="I54" s="181"/>
      <c r="J54" s="181"/>
      <c r="K54" s="105">
        <v>1</v>
      </c>
      <c r="L54" s="105"/>
      <c r="M54" s="105"/>
      <c r="N54" s="182"/>
      <c r="O54" s="182"/>
      <c r="P54" s="182"/>
      <c r="Q54" s="105"/>
      <c r="R54" s="180"/>
      <c r="S54" s="180"/>
      <c r="T54" s="180"/>
      <c r="U54" s="33"/>
      <c r="V54" s="33"/>
      <c r="W54" s="33"/>
      <c r="AA54" s="13"/>
    </row>
    <row r="55" spans="1:32" s="14" customFormat="1" ht="15" customHeight="1" x14ac:dyDescent="0.25">
      <c r="A55" s="33"/>
      <c r="B55" s="181"/>
      <c r="C55" s="181"/>
      <c r="D55" s="181"/>
      <c r="E55" s="181"/>
      <c r="F55" s="181" t="s">
        <v>55</v>
      </c>
      <c r="G55" s="110">
        <f>G54</f>
        <v>2022</v>
      </c>
      <c r="H55" s="105"/>
      <c r="I55" s="181">
        <v>3.1E-2</v>
      </c>
      <c r="J55" s="181"/>
      <c r="K55" s="181"/>
      <c r="L55" s="181"/>
      <c r="M55" s="181"/>
      <c r="N55" s="182"/>
      <c r="O55" s="198"/>
      <c r="P55" s="198"/>
      <c r="Q55" s="181"/>
      <c r="R55" s="33"/>
      <c r="S55" s="33"/>
      <c r="T55" s="33"/>
      <c r="U55" s="33"/>
      <c r="V55" s="33"/>
      <c r="W55" s="33"/>
      <c r="AA55" s="13"/>
    </row>
    <row r="56" spans="1:32" s="14" customFormat="1" ht="15" customHeight="1" x14ac:dyDescent="0.25">
      <c r="A56" s="33"/>
      <c r="B56" s="184"/>
      <c r="C56" s="184"/>
      <c r="D56" s="184"/>
      <c r="E56" s="184"/>
      <c r="F56" s="205" t="s">
        <v>729</v>
      </c>
      <c r="G56" s="125">
        <f>G55</f>
        <v>2022</v>
      </c>
      <c r="H56" s="185"/>
      <c r="I56" s="184">
        <v>0.43</v>
      </c>
      <c r="J56" s="184"/>
      <c r="K56" s="184"/>
      <c r="L56" s="184"/>
      <c r="M56" s="184"/>
      <c r="N56" s="186"/>
      <c r="O56" s="209"/>
      <c r="P56" s="209"/>
      <c r="Q56" s="184"/>
      <c r="R56" s="33"/>
      <c r="S56" s="33"/>
      <c r="T56" s="33"/>
      <c r="U56" s="33"/>
      <c r="V56" s="33"/>
      <c r="W56" s="33"/>
      <c r="AA56" s="13"/>
    </row>
    <row r="57" spans="1:32" s="14" customFormat="1" ht="15" customHeight="1" x14ac:dyDescent="0.3">
      <c r="A57" s="33"/>
      <c r="B57" s="181" t="str">
        <f>X33</f>
        <v>STRBIOWIRN_IM02</v>
      </c>
      <c r="C57" s="181" t="str">
        <f>Y33</f>
        <v>Production of Bioethanol from Wine Residues</v>
      </c>
      <c r="D57" s="181" t="s">
        <v>984</v>
      </c>
      <c r="E57" s="212" t="str">
        <f>E58</f>
        <v>BIOETS</v>
      </c>
      <c r="F57" s="181"/>
      <c r="G57" s="110">
        <f>H57</f>
        <v>2022</v>
      </c>
      <c r="H57" s="105">
        <v>2022</v>
      </c>
      <c r="I57" s="182"/>
      <c r="J57" s="182">
        <v>1.7</v>
      </c>
      <c r="K57" s="105">
        <f>K58</f>
        <v>1</v>
      </c>
      <c r="L57" s="105">
        <v>0.92</v>
      </c>
      <c r="M57" s="105">
        <v>20</v>
      </c>
      <c r="N57" s="182">
        <f>587*(1/0.9)</f>
        <v>652.22222222222229</v>
      </c>
      <c r="O57" s="182"/>
      <c r="P57" s="182">
        <f>2.05*(1/0.9)</f>
        <v>2.2777777777777777</v>
      </c>
      <c r="Q57" s="105">
        <v>31.536000000000001</v>
      </c>
      <c r="R57" s="180"/>
      <c r="S57" s="180"/>
      <c r="T57" s="180" t="s">
        <v>896</v>
      </c>
      <c r="U57" s="33"/>
      <c r="V57" s="33"/>
      <c r="W57" s="39" t="s">
        <v>766</v>
      </c>
      <c r="AA57" s="13"/>
    </row>
    <row r="58" spans="1:32" s="14" customFormat="1" ht="15" customHeight="1" x14ac:dyDescent="0.25">
      <c r="A58" s="33"/>
      <c r="B58" s="181" t="s">
        <v>1015</v>
      </c>
      <c r="C58" s="181"/>
      <c r="D58" s="181"/>
      <c r="E58" s="212" t="s">
        <v>764</v>
      </c>
      <c r="F58" s="181"/>
      <c r="G58" s="110">
        <f>G57</f>
        <v>2022</v>
      </c>
      <c r="H58" s="105"/>
      <c r="I58" s="181"/>
      <c r="J58" s="181"/>
      <c r="K58" s="105">
        <v>1</v>
      </c>
      <c r="L58" s="105"/>
      <c r="M58" s="105"/>
      <c r="N58" s="183"/>
      <c r="O58" s="105"/>
      <c r="P58" s="105"/>
      <c r="Q58" s="105"/>
      <c r="R58" s="180"/>
      <c r="S58" s="180"/>
      <c r="T58" s="180"/>
      <c r="U58" s="33"/>
      <c r="V58" s="33"/>
      <c r="W58" s="33"/>
      <c r="AA58" s="13"/>
    </row>
    <row r="59" spans="1:32" s="33" customFormat="1" ht="13.8" x14ac:dyDescent="0.25">
      <c r="B59" s="181"/>
      <c r="C59" s="181"/>
      <c r="D59" s="181"/>
      <c r="E59" s="181"/>
      <c r="F59" s="181" t="s">
        <v>55</v>
      </c>
      <c r="G59" s="110">
        <f>G58</f>
        <v>2022</v>
      </c>
      <c r="H59" s="105"/>
      <c r="I59" s="181">
        <v>3.1E-2</v>
      </c>
      <c r="J59" s="181"/>
      <c r="K59" s="181"/>
      <c r="L59" s="181"/>
      <c r="M59" s="181"/>
      <c r="N59" s="183"/>
      <c r="O59" s="181"/>
      <c r="P59" s="181"/>
      <c r="Q59" s="181"/>
      <c r="W59" s="163" t="s">
        <v>765</v>
      </c>
      <c r="X59" s="14"/>
      <c r="Y59" s="14"/>
      <c r="Z59" s="14"/>
      <c r="AA59" s="13"/>
      <c r="AB59" s="14"/>
      <c r="AC59" s="14"/>
      <c r="AD59" s="14"/>
      <c r="AE59" s="14"/>
      <c r="AF59" s="14"/>
    </row>
    <row r="60" spans="1:32" s="33" customFormat="1" ht="13.8" x14ac:dyDescent="0.25">
      <c r="B60" s="184"/>
      <c r="C60" s="184"/>
      <c r="D60" s="184"/>
      <c r="E60" s="184"/>
      <c r="F60" s="205" t="s">
        <v>729</v>
      </c>
      <c r="G60" s="125">
        <f>G59</f>
        <v>2022</v>
      </c>
      <c r="H60" s="185"/>
      <c r="I60" s="184">
        <v>0.43</v>
      </c>
      <c r="J60" s="184"/>
      <c r="K60" s="184"/>
      <c r="L60" s="184"/>
      <c r="M60" s="184"/>
      <c r="N60" s="187"/>
      <c r="O60" s="184"/>
      <c r="P60" s="184"/>
      <c r="Q60" s="184"/>
      <c r="W60" s="217" t="s">
        <v>6</v>
      </c>
      <c r="X60" s="218" t="str">
        <f>X11</f>
        <v>TRABIODSLG1</v>
      </c>
      <c r="Y60" s="14"/>
      <c r="Z60" s="14"/>
      <c r="AA60" s="13"/>
      <c r="AB60" s="14"/>
      <c r="AC60" s="14"/>
      <c r="AD60" s="14"/>
      <c r="AE60" s="14"/>
      <c r="AF60" s="14"/>
    </row>
    <row r="61" spans="1:32" s="33" customFormat="1" ht="13.8" x14ac:dyDescent="0.25">
      <c r="H61" s="34"/>
      <c r="W61" s="219" t="str">
        <f>E31</f>
        <v>BIORME</v>
      </c>
      <c r="X61" s="108">
        <v>1</v>
      </c>
      <c r="Y61" s="14"/>
      <c r="Z61" s="14"/>
      <c r="AA61" s="13"/>
      <c r="AB61" s="14"/>
      <c r="AC61" s="14"/>
      <c r="AD61" s="14"/>
      <c r="AE61" s="14"/>
    </row>
    <row r="62" spans="1:32" s="33" customFormat="1" ht="13.8" x14ac:dyDescent="0.25">
      <c r="H62" s="34"/>
      <c r="W62" s="219" t="str">
        <f>E35</f>
        <v>BIOHVO</v>
      </c>
      <c r="X62" s="108">
        <v>1</v>
      </c>
      <c r="Y62" s="14"/>
      <c r="Z62" s="14"/>
      <c r="AA62" s="13"/>
      <c r="AB62" s="14"/>
      <c r="AC62" s="14"/>
      <c r="AD62" s="14"/>
      <c r="AE62" s="14"/>
    </row>
    <row r="63" spans="1:32" s="33" customFormat="1" ht="13.8" x14ac:dyDescent="0.25">
      <c r="H63" s="34"/>
      <c r="W63" s="98"/>
      <c r="X63" s="112"/>
      <c r="Y63" s="14"/>
      <c r="Z63" s="14"/>
      <c r="AA63" s="13"/>
      <c r="AB63" s="14"/>
      <c r="AC63" s="14"/>
      <c r="AD63" s="14"/>
      <c r="AE63" s="14"/>
    </row>
    <row r="64" spans="1:32" s="33" customFormat="1" ht="17.399999999999999" x14ac:dyDescent="0.3">
      <c r="B64" s="51" t="s">
        <v>747</v>
      </c>
      <c r="C64" s="51"/>
      <c r="D64" s="51"/>
      <c r="E64" s="163" t="s">
        <v>0</v>
      </c>
      <c r="F64" s="163"/>
      <c r="G64" s="163"/>
      <c r="N64" s="180"/>
      <c r="O64" s="180"/>
      <c r="W64" s="163" t="s">
        <v>765</v>
      </c>
      <c r="X64" s="14"/>
      <c r="Y64" s="14"/>
      <c r="Z64" s="14"/>
      <c r="AA64" s="13"/>
      <c r="AB64" s="14"/>
      <c r="AC64" s="14"/>
      <c r="AD64" s="14"/>
      <c r="AE64" s="14"/>
    </row>
    <row r="65" spans="1:32" s="33" customFormat="1" x14ac:dyDescent="0.25">
      <c r="B65" s="164" t="s">
        <v>1</v>
      </c>
      <c r="C65" s="164" t="s">
        <v>61</v>
      </c>
      <c r="D65" s="61" t="s">
        <v>3</v>
      </c>
      <c r="E65" s="220" t="s">
        <v>4</v>
      </c>
      <c r="F65" s="61" t="s">
        <v>15</v>
      </c>
      <c r="G65" s="62" t="s">
        <v>755</v>
      </c>
      <c r="H65" s="62" t="s">
        <v>768</v>
      </c>
      <c r="I65" s="62" t="s">
        <v>826</v>
      </c>
      <c r="J65" s="62" t="s">
        <v>722</v>
      </c>
      <c r="K65" s="166"/>
      <c r="N65" s="166"/>
      <c r="O65" s="180"/>
      <c r="W65" s="217" t="s">
        <v>6</v>
      </c>
      <c r="X65" s="218" t="str">
        <f>X12</f>
        <v>TRABIODSLG2</v>
      </c>
      <c r="Y65" s="14"/>
      <c r="Z65" s="14"/>
      <c r="AA65" s="13"/>
      <c r="AB65" s="14"/>
      <c r="AC65" s="14"/>
      <c r="AD65" s="14"/>
      <c r="AE65" s="14"/>
    </row>
    <row r="66" spans="1:32" s="33" customFormat="1" ht="14.4" thickBot="1" x14ac:dyDescent="0.3">
      <c r="B66" s="167" t="s">
        <v>38</v>
      </c>
      <c r="C66" s="67" t="s">
        <v>32</v>
      </c>
      <c r="D66" s="67" t="s">
        <v>39</v>
      </c>
      <c r="E66" s="168" t="s">
        <v>40</v>
      </c>
      <c r="F66" s="67" t="s">
        <v>46</v>
      </c>
      <c r="G66" s="169" t="s">
        <v>756</v>
      </c>
      <c r="H66" s="169" t="s">
        <v>756</v>
      </c>
      <c r="I66" s="169" t="s">
        <v>756</v>
      </c>
      <c r="J66" s="169" t="s">
        <v>723</v>
      </c>
      <c r="K66" s="170"/>
      <c r="N66" s="170"/>
      <c r="O66" s="180"/>
      <c r="W66" s="219" t="str">
        <f>E9</f>
        <v>BIODME</v>
      </c>
      <c r="X66" s="108">
        <v>1</v>
      </c>
      <c r="AA66" s="34"/>
      <c r="AE66" s="14"/>
    </row>
    <row r="67" spans="1:32" s="33" customFormat="1" ht="13.8" x14ac:dyDescent="0.25">
      <c r="B67" s="221" t="s">
        <v>71</v>
      </c>
      <c r="C67" s="221"/>
      <c r="D67" s="221"/>
      <c r="E67" s="222"/>
      <c r="F67" s="170"/>
      <c r="G67" s="170"/>
      <c r="H67" s="170"/>
      <c r="I67" s="170"/>
      <c r="J67" s="170" t="s">
        <v>814</v>
      </c>
      <c r="K67" s="170"/>
      <c r="N67" s="170"/>
      <c r="O67" s="180"/>
      <c r="W67" s="219" t="str">
        <f>E12</f>
        <v>BIOFTD</v>
      </c>
      <c r="X67" s="108">
        <v>1</v>
      </c>
      <c r="AA67" s="34"/>
    </row>
    <row r="68" spans="1:32" s="33" customFormat="1" ht="13.8" x14ac:dyDescent="0.25">
      <c r="B68" s="188" t="str">
        <f>X42</f>
        <v>FT-BIOETHN01</v>
      </c>
      <c r="C68" s="188" t="str">
        <f>Y42</f>
        <v xml:space="preserve">Fuel Tech - Pure Bioethanol </v>
      </c>
      <c r="D68" s="223" t="s">
        <v>762</v>
      </c>
      <c r="E68" s="224"/>
      <c r="F68" s="178">
        <v>2020</v>
      </c>
      <c r="G68" s="178">
        <v>1</v>
      </c>
      <c r="H68" s="178"/>
      <c r="I68" s="178"/>
      <c r="J68" s="178">
        <v>1</v>
      </c>
      <c r="K68" s="181"/>
      <c r="N68" s="180"/>
      <c r="X68" s="34"/>
      <c r="AA68" s="34"/>
    </row>
    <row r="69" spans="1:32" s="33" customFormat="1" ht="13.8" x14ac:dyDescent="0.25">
      <c r="B69" s="212"/>
      <c r="C69" s="212"/>
      <c r="D69" s="225" t="s">
        <v>763</v>
      </c>
      <c r="E69" s="226"/>
      <c r="F69" s="105"/>
      <c r="G69" s="105">
        <v>1</v>
      </c>
      <c r="H69" s="105"/>
      <c r="I69" s="105"/>
      <c r="J69" s="105"/>
      <c r="K69" s="181"/>
      <c r="N69" s="180"/>
      <c r="W69" s="163" t="s">
        <v>765</v>
      </c>
      <c r="X69" s="14"/>
      <c r="AA69" s="34"/>
    </row>
    <row r="70" spans="1:32" s="33" customFormat="1" ht="13.8" x14ac:dyDescent="0.25">
      <c r="B70" s="212"/>
      <c r="C70" s="212"/>
      <c r="D70" s="225" t="s">
        <v>764</v>
      </c>
      <c r="E70" s="226"/>
      <c r="F70" s="105"/>
      <c r="G70" s="105">
        <v>1</v>
      </c>
      <c r="H70" s="105"/>
      <c r="I70" s="105"/>
      <c r="J70" s="105"/>
      <c r="K70" s="181"/>
      <c r="N70" s="180"/>
      <c r="W70" s="217" t="s">
        <v>6</v>
      </c>
      <c r="X70" s="218" t="str">
        <f>X13</f>
        <v>TRABIOETHG1</v>
      </c>
      <c r="AA70" s="34"/>
    </row>
    <row r="71" spans="1:32" s="33" customFormat="1" ht="13.8" x14ac:dyDescent="0.25">
      <c r="B71" s="210"/>
      <c r="C71" s="210"/>
      <c r="D71" s="185"/>
      <c r="E71" s="227" t="s">
        <v>149</v>
      </c>
      <c r="F71" s="185"/>
      <c r="G71" s="185"/>
      <c r="H71" s="185"/>
      <c r="I71" s="185"/>
      <c r="J71" s="185"/>
      <c r="K71" s="181"/>
      <c r="N71" s="180"/>
      <c r="W71" s="219" t="str">
        <f>E50</f>
        <v>BIOETF</v>
      </c>
      <c r="X71" s="108">
        <v>1</v>
      </c>
      <c r="AA71" s="34"/>
    </row>
    <row r="72" spans="1:32" s="33" customFormat="1" ht="13.8" x14ac:dyDescent="0.25">
      <c r="B72" s="188" t="str">
        <f>X43</f>
        <v>FT-BIODSLN01</v>
      </c>
      <c r="C72" s="188" t="str">
        <f>Y43</f>
        <v xml:space="preserve">Fuel Tech - Biodiesel </v>
      </c>
      <c r="D72" s="223" t="s">
        <v>155</v>
      </c>
      <c r="E72" s="224"/>
      <c r="F72" s="178">
        <v>2020</v>
      </c>
      <c r="G72" s="178">
        <v>1</v>
      </c>
      <c r="H72" s="178"/>
      <c r="I72" s="178"/>
      <c r="J72" s="178">
        <v>1</v>
      </c>
      <c r="K72" s="181"/>
      <c r="N72" s="180"/>
      <c r="W72" s="228" t="str">
        <f>X18</f>
        <v>BIOETS</v>
      </c>
      <c r="X72" s="108">
        <v>1</v>
      </c>
      <c r="AA72" s="34"/>
    </row>
    <row r="73" spans="1:32" s="33" customFormat="1" ht="13.8" x14ac:dyDescent="0.25">
      <c r="B73" s="212"/>
      <c r="C73" s="212"/>
      <c r="D73" s="225" t="s">
        <v>761</v>
      </c>
      <c r="E73" s="110"/>
      <c r="F73" s="105"/>
      <c r="G73" s="105">
        <v>1</v>
      </c>
      <c r="H73" s="105"/>
      <c r="I73" s="105"/>
      <c r="J73" s="105"/>
      <c r="K73" s="181"/>
      <c r="N73" s="180"/>
      <c r="X73" s="34"/>
      <c r="AA73" s="34"/>
    </row>
    <row r="74" spans="1:32" s="33" customFormat="1" ht="13.8" x14ac:dyDescent="0.25">
      <c r="B74" s="212"/>
      <c r="C74" s="212"/>
      <c r="D74" s="105" t="s">
        <v>151</v>
      </c>
      <c r="E74" s="110"/>
      <c r="F74" s="105"/>
      <c r="G74" s="105">
        <v>1</v>
      </c>
      <c r="H74" s="105"/>
      <c r="I74" s="105"/>
      <c r="J74" s="105"/>
      <c r="K74" s="181"/>
      <c r="N74" s="180"/>
      <c r="W74" s="163" t="s">
        <v>765</v>
      </c>
      <c r="X74" s="14"/>
      <c r="AA74" s="34"/>
    </row>
    <row r="75" spans="1:32" s="33" customFormat="1" ht="13.8" x14ac:dyDescent="0.25">
      <c r="B75" s="212"/>
      <c r="C75" s="212"/>
      <c r="D75" s="105" t="s">
        <v>153</v>
      </c>
      <c r="E75" s="110"/>
      <c r="F75" s="105"/>
      <c r="G75" s="105">
        <v>1</v>
      </c>
      <c r="H75" s="105"/>
      <c r="I75" s="105"/>
      <c r="J75" s="105"/>
      <c r="K75" s="181"/>
      <c r="N75" s="180"/>
      <c r="U75" s="12"/>
      <c r="W75" s="217" t="s">
        <v>6</v>
      </c>
      <c r="X75" s="218" t="str">
        <f>X14</f>
        <v>TRABIOETHG2</v>
      </c>
      <c r="AA75" s="34"/>
    </row>
    <row r="76" spans="1:32" ht="14.25" customHeight="1" x14ac:dyDescent="0.25">
      <c r="A76" s="33"/>
      <c r="B76" s="210"/>
      <c r="C76" s="210"/>
      <c r="D76" s="229"/>
      <c r="E76" s="125" t="s">
        <v>157</v>
      </c>
      <c r="F76" s="185"/>
      <c r="G76" s="185"/>
      <c r="H76" s="185"/>
      <c r="I76" s="185"/>
      <c r="J76" s="185"/>
      <c r="K76" s="181"/>
      <c r="L76" s="33"/>
      <c r="M76" s="33"/>
      <c r="N76" s="180"/>
      <c r="O76" s="33"/>
      <c r="P76" s="33"/>
      <c r="Q76" s="33"/>
      <c r="R76" s="33"/>
      <c r="S76" s="33"/>
      <c r="T76" s="33"/>
      <c r="V76" s="33"/>
      <c r="W76" s="219" t="str">
        <f>E15</f>
        <v>BIOETW</v>
      </c>
      <c r="X76" s="108">
        <v>1</v>
      </c>
      <c r="Y76" s="33"/>
      <c r="Z76" s="33"/>
      <c r="AB76" s="33"/>
      <c r="AC76" s="33"/>
      <c r="AD76" s="33"/>
      <c r="AE76" s="33"/>
      <c r="AF76" s="33"/>
    </row>
    <row r="77" spans="1:32" ht="17.25" customHeight="1" x14ac:dyDescent="0.25">
      <c r="A77" s="33"/>
      <c r="B77" s="212" t="str">
        <f>X44</f>
        <v>FT-TRABIOKERN01</v>
      </c>
      <c r="C77" s="212" t="str">
        <f>Y44</f>
        <v xml:space="preserve">Fuel Tech - Biofuel for Jet Fuel Blend </v>
      </c>
      <c r="D77" s="223" t="s">
        <v>155</v>
      </c>
      <c r="E77" s="110"/>
      <c r="F77" s="105">
        <v>2020</v>
      </c>
      <c r="G77" s="105">
        <v>1</v>
      </c>
      <c r="H77" s="105"/>
      <c r="I77" s="105"/>
      <c r="J77" s="105">
        <v>1</v>
      </c>
      <c r="K77" s="181"/>
      <c r="L77" s="33"/>
      <c r="M77" s="33"/>
      <c r="N77" s="180"/>
      <c r="O77" s="33"/>
      <c r="P77" s="33"/>
      <c r="Q77" s="33"/>
      <c r="R77" s="33"/>
      <c r="S77" s="33"/>
      <c r="T77" s="33"/>
      <c r="U77" s="33"/>
      <c r="V77" s="33"/>
      <c r="W77" s="219"/>
      <c r="X77" s="108"/>
      <c r="Y77" s="33"/>
      <c r="Z77" s="33"/>
      <c r="AB77" s="33"/>
      <c r="AC77" s="33"/>
      <c r="AD77" s="33"/>
      <c r="AE77" s="33"/>
      <c r="AF77" s="33"/>
    </row>
    <row r="78" spans="1:32" ht="17.25" customHeight="1" x14ac:dyDescent="0.25">
      <c r="A78" s="33"/>
      <c r="B78" s="212"/>
      <c r="C78" s="212"/>
      <c r="D78" s="225" t="s">
        <v>761</v>
      </c>
      <c r="E78" s="110"/>
      <c r="F78" s="105"/>
      <c r="G78" s="105">
        <v>1</v>
      </c>
      <c r="H78" s="105"/>
      <c r="I78" s="105"/>
      <c r="J78" s="105"/>
      <c r="K78" s="181"/>
      <c r="L78" s="33"/>
      <c r="M78" s="33"/>
      <c r="N78" s="180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B78" s="33"/>
      <c r="AC78" s="33"/>
      <c r="AD78" s="33"/>
      <c r="AE78" s="33"/>
      <c r="AF78" s="33"/>
    </row>
    <row r="79" spans="1:32" ht="17.25" customHeight="1" x14ac:dyDescent="0.25">
      <c r="A79" s="33"/>
      <c r="B79" s="212"/>
      <c r="C79" s="212"/>
      <c r="D79" s="105" t="s">
        <v>153</v>
      </c>
      <c r="E79" s="110"/>
      <c r="F79" s="105"/>
      <c r="G79" s="105">
        <v>1</v>
      </c>
      <c r="H79" s="105"/>
      <c r="I79" s="105"/>
      <c r="J79" s="105"/>
      <c r="K79" s="181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B79" s="33"/>
      <c r="AC79" s="33"/>
      <c r="AD79" s="33"/>
      <c r="AE79" s="33"/>
      <c r="AF79" s="33"/>
    </row>
    <row r="80" spans="1:32" ht="17.25" customHeight="1" x14ac:dyDescent="0.25">
      <c r="A80" s="33"/>
      <c r="B80" s="212"/>
      <c r="C80" s="212"/>
      <c r="D80" s="225" t="s">
        <v>114</v>
      </c>
      <c r="E80" s="226"/>
      <c r="F80" s="105"/>
      <c r="G80" s="105">
        <v>0.5</v>
      </c>
      <c r="H80" s="105">
        <v>0.45</v>
      </c>
      <c r="I80" s="105"/>
      <c r="J80" s="105"/>
      <c r="K80" s="181"/>
      <c r="L80" s="33"/>
      <c r="U80" s="33"/>
      <c r="V80" s="33"/>
      <c r="W80" s="33"/>
      <c r="X80" s="33"/>
      <c r="Y80" s="33"/>
      <c r="Z80" s="33"/>
      <c r="AB80" s="33"/>
      <c r="AC80" s="33"/>
      <c r="AD80" s="33"/>
      <c r="AE80" s="33"/>
      <c r="AF80" s="33"/>
    </row>
    <row r="81" spans="1:32" ht="17.25" customHeight="1" x14ac:dyDescent="0.25">
      <c r="A81" s="33"/>
      <c r="B81" s="210"/>
      <c r="C81" s="210"/>
      <c r="D81" s="229"/>
      <c r="E81" s="227" t="s">
        <v>918</v>
      </c>
      <c r="F81" s="185"/>
      <c r="G81" s="185"/>
      <c r="H81" s="185"/>
      <c r="I81" s="185"/>
      <c r="J81" s="185"/>
      <c r="K81" s="181"/>
      <c r="L81" s="33"/>
      <c r="U81" s="33"/>
      <c r="V81" s="33"/>
      <c r="W81" s="33"/>
      <c r="X81" s="33"/>
      <c r="Y81" s="33"/>
      <c r="Z81" s="33"/>
      <c r="AB81" s="33"/>
      <c r="AC81" s="33"/>
      <c r="AD81" s="33"/>
      <c r="AE81" s="33"/>
      <c r="AF81" s="33"/>
    </row>
    <row r="82" spans="1:32" ht="17.25" customHeight="1" x14ac:dyDescent="0.25">
      <c r="A82" s="33"/>
      <c r="B82" s="212" t="str">
        <f>X45</f>
        <v>FT-TRABIOB20N01</v>
      </c>
      <c r="C82" s="212" t="str">
        <f>Y45</f>
        <v xml:space="preserve">Fuel Tech Biodiesel (TRA) Blend B20 </v>
      </c>
      <c r="D82" s="225" t="s">
        <v>157</v>
      </c>
      <c r="E82" s="177"/>
      <c r="F82" s="105">
        <v>2020</v>
      </c>
      <c r="G82" s="105">
        <v>0.2</v>
      </c>
      <c r="H82" s="105"/>
      <c r="I82" s="105"/>
      <c r="J82" s="105">
        <v>1</v>
      </c>
      <c r="K82" s="181"/>
      <c r="L82" s="33"/>
      <c r="U82" s="33"/>
      <c r="V82" s="33"/>
      <c r="W82" s="33"/>
      <c r="X82" s="33"/>
      <c r="Y82" s="33"/>
      <c r="Z82" s="33"/>
      <c r="AB82" s="33"/>
      <c r="AC82" s="33"/>
      <c r="AD82" s="33"/>
      <c r="AE82" s="33"/>
      <c r="AF82" s="33"/>
    </row>
    <row r="83" spans="1:32" ht="17.25" customHeight="1" x14ac:dyDescent="0.25">
      <c r="A83" s="33"/>
      <c r="B83" s="212"/>
      <c r="C83" s="212"/>
      <c r="D83" s="225" t="s">
        <v>102</v>
      </c>
      <c r="E83" s="110"/>
      <c r="F83" s="105"/>
      <c r="G83" s="105">
        <v>0.8</v>
      </c>
      <c r="H83" s="105"/>
      <c r="I83" s="105"/>
      <c r="J83" s="105"/>
      <c r="K83" s="181"/>
      <c r="L83" s="33"/>
      <c r="U83" s="33"/>
      <c r="V83" s="33"/>
      <c r="W83" s="33"/>
      <c r="X83" s="33"/>
      <c r="Y83" s="33"/>
      <c r="Z83" s="33"/>
      <c r="AB83" s="33"/>
      <c r="AC83" s="33"/>
      <c r="AD83" s="33"/>
      <c r="AE83" s="33"/>
      <c r="AF83" s="33"/>
    </row>
    <row r="84" spans="1:32" ht="17.25" customHeight="1" x14ac:dyDescent="0.25">
      <c r="A84" s="33"/>
      <c r="B84" s="210"/>
      <c r="C84" s="210"/>
      <c r="D84" s="229"/>
      <c r="E84" s="227" t="s">
        <v>919</v>
      </c>
      <c r="F84" s="185"/>
      <c r="G84" s="185"/>
      <c r="H84" s="185"/>
      <c r="I84" s="185"/>
      <c r="J84" s="185"/>
      <c r="K84" s="181"/>
      <c r="L84" s="33"/>
      <c r="U84" s="33"/>
      <c r="V84" s="33"/>
      <c r="W84" s="33"/>
      <c r="X84" s="33"/>
      <c r="Y84" s="33"/>
      <c r="Z84" s="33"/>
      <c r="AB84" s="33"/>
      <c r="AC84" s="33"/>
      <c r="AD84" s="33"/>
      <c r="AE84" s="33"/>
      <c r="AF84" s="33"/>
    </row>
    <row r="85" spans="1:32" ht="17.25" customHeight="1" x14ac:dyDescent="0.25">
      <c r="A85" s="33"/>
      <c r="B85" s="212" t="str">
        <f>X47</f>
        <v>FT-TRABIOE85N01</v>
      </c>
      <c r="C85" s="212" t="str">
        <f>Y47</f>
        <v xml:space="preserve">Fuel Tech - Bioethanol (TRA) E85 </v>
      </c>
      <c r="D85" s="225" t="s">
        <v>149</v>
      </c>
      <c r="E85" s="110"/>
      <c r="F85" s="105"/>
      <c r="G85" s="105">
        <v>0.85</v>
      </c>
      <c r="H85" s="105"/>
      <c r="I85" s="105"/>
      <c r="J85" s="105">
        <v>1</v>
      </c>
      <c r="K85" s="181"/>
      <c r="L85" s="33"/>
      <c r="U85" s="33"/>
      <c r="V85" s="33"/>
      <c r="W85" s="33"/>
      <c r="X85" s="33"/>
      <c r="Y85" s="33"/>
      <c r="Z85" s="33"/>
      <c r="AB85" s="33"/>
      <c r="AC85" s="33"/>
      <c r="AD85" s="33"/>
      <c r="AE85" s="33"/>
      <c r="AF85" s="33"/>
    </row>
    <row r="86" spans="1:32" ht="17.25" customHeight="1" x14ac:dyDescent="0.25">
      <c r="A86" s="33"/>
      <c r="B86" s="212"/>
      <c r="C86" s="212"/>
      <c r="D86" s="225" t="s">
        <v>104</v>
      </c>
      <c r="E86" s="110"/>
      <c r="F86" s="105"/>
      <c r="G86" s="105">
        <v>0.15</v>
      </c>
      <c r="H86" s="105"/>
      <c r="I86" s="105"/>
      <c r="J86" s="105"/>
      <c r="K86" s="181"/>
      <c r="L86" s="33"/>
      <c r="U86" s="33"/>
      <c r="V86" s="33"/>
      <c r="W86" s="33"/>
      <c r="X86" s="33"/>
      <c r="Y86" s="33"/>
      <c r="Z86" s="33"/>
      <c r="AB86" s="33"/>
      <c r="AC86" s="33"/>
      <c r="AD86" s="33"/>
      <c r="AE86" s="33"/>
      <c r="AF86" s="33"/>
    </row>
    <row r="87" spans="1:32" ht="17.25" customHeight="1" x14ac:dyDescent="0.25">
      <c r="B87" s="210"/>
      <c r="C87" s="210"/>
      <c r="D87" s="229"/>
      <c r="E87" s="227" t="s">
        <v>767</v>
      </c>
      <c r="F87" s="185"/>
      <c r="G87" s="185"/>
      <c r="H87" s="185"/>
      <c r="I87" s="185"/>
      <c r="J87" s="185"/>
      <c r="K87" s="181"/>
      <c r="L87" s="33"/>
      <c r="U87" s="33"/>
      <c r="V87" s="33"/>
      <c r="W87" s="33"/>
      <c r="X87" s="33"/>
      <c r="Y87" s="33"/>
      <c r="Z87" s="33"/>
      <c r="AB87" s="33"/>
      <c r="AC87" s="33"/>
      <c r="AD87" s="33"/>
      <c r="AE87" s="33"/>
      <c r="AF87" s="33"/>
    </row>
    <row r="88" spans="1:32" ht="17.25" customHeight="1" x14ac:dyDescent="0.25">
      <c r="B88" s="230" t="str">
        <f>X46</f>
        <v>FT-TRABIODSLN01</v>
      </c>
      <c r="C88" s="230" t="str">
        <f>Y46</f>
        <v xml:space="preserve">Fuel Tech - Biodiesel (TRA) B100 </v>
      </c>
      <c r="D88" s="48" t="s">
        <v>157</v>
      </c>
      <c r="E88" s="110" t="s">
        <v>549</v>
      </c>
      <c r="F88" s="105">
        <v>2020</v>
      </c>
      <c r="G88" s="105"/>
      <c r="H88" s="105"/>
      <c r="I88" s="105"/>
      <c r="J88" s="105">
        <v>1</v>
      </c>
      <c r="K88" s="33"/>
      <c r="L88" s="33"/>
      <c r="V88" s="33"/>
      <c r="W88" s="33"/>
      <c r="X88" s="33"/>
      <c r="Y88" s="33"/>
      <c r="Z88" s="33"/>
      <c r="AB88" s="33"/>
      <c r="AC88" s="33"/>
      <c r="AD88" s="33"/>
      <c r="AE88" s="33"/>
    </row>
    <row r="89" spans="1:32" ht="17.25" customHeight="1" x14ac:dyDescent="0.25">
      <c r="B89" s="231" t="str">
        <f>X48</f>
        <v>FT-TRABIOETHN01</v>
      </c>
      <c r="C89" s="231" t="str">
        <f>Y48</f>
        <v xml:space="preserve">Fuel Tech - Bioethanol (TRA)E100 </v>
      </c>
      <c r="D89" s="185" t="s">
        <v>149</v>
      </c>
      <c r="E89" s="125" t="s">
        <v>548</v>
      </c>
      <c r="F89" s="185">
        <v>2020</v>
      </c>
      <c r="G89" s="185"/>
      <c r="H89" s="185"/>
      <c r="I89" s="185"/>
      <c r="J89" s="185">
        <v>1</v>
      </c>
      <c r="K89" s="33"/>
      <c r="L89" s="33"/>
      <c r="V89" s="33"/>
      <c r="W89" s="33"/>
      <c r="X89" s="34"/>
      <c r="Y89" s="33"/>
      <c r="Z89" s="33"/>
      <c r="AB89" s="33"/>
      <c r="AC89" s="33"/>
      <c r="AD89" s="33"/>
      <c r="AE89" s="33"/>
    </row>
    <row r="90" spans="1:32" ht="17.25" customHeight="1" x14ac:dyDescent="0.25">
      <c r="B90" s="13"/>
      <c r="C90" s="33"/>
      <c r="D90" s="34"/>
      <c r="E90" s="34"/>
      <c r="F90" s="33"/>
      <c r="G90" s="33"/>
      <c r="H90" s="34"/>
      <c r="I90" s="33"/>
      <c r="J90" s="33"/>
      <c r="K90" s="33"/>
      <c r="L90" s="33"/>
      <c r="V90" s="33"/>
      <c r="W90" s="33"/>
      <c r="X90" s="34"/>
      <c r="Y90" s="33"/>
      <c r="Z90" s="33"/>
      <c r="AB90" s="33"/>
      <c r="AC90" s="33"/>
      <c r="AD90" s="33"/>
      <c r="AE90" s="33"/>
    </row>
    <row r="91" spans="1:32" ht="17.25" customHeight="1" x14ac:dyDescent="0.25">
      <c r="B91" s="13"/>
      <c r="C91" s="33"/>
      <c r="D91" s="33"/>
      <c r="E91" s="33"/>
      <c r="F91" s="33"/>
      <c r="G91" s="33"/>
      <c r="H91" s="34"/>
      <c r="I91" s="33"/>
      <c r="J91" s="33"/>
      <c r="K91" s="33"/>
      <c r="L91" s="33"/>
      <c r="V91" s="33"/>
      <c r="W91" s="33"/>
      <c r="X91" s="34"/>
      <c r="Y91" s="33"/>
      <c r="Z91" s="33"/>
      <c r="AB91" s="33"/>
      <c r="AC91" s="33"/>
      <c r="AD91" s="33"/>
    </row>
    <row r="92" spans="1:32" ht="17.25" customHeight="1" x14ac:dyDescent="0.3">
      <c r="B92" s="51" t="s">
        <v>753</v>
      </c>
      <c r="C92" s="51"/>
      <c r="D92" s="51"/>
      <c r="G92" s="166"/>
      <c r="H92" s="166"/>
      <c r="V92" s="33"/>
      <c r="W92" s="33"/>
      <c r="X92" s="34"/>
      <c r="Y92" s="33"/>
      <c r="Z92" s="33"/>
      <c r="AB92" s="33"/>
      <c r="AC92" s="33"/>
      <c r="AD92" s="33"/>
    </row>
    <row r="93" spans="1:32" ht="17.25" customHeight="1" x14ac:dyDescent="0.25">
      <c r="G93" s="232"/>
      <c r="H93" s="232"/>
      <c r="W93" s="33"/>
      <c r="X93" s="34"/>
      <c r="Y93" s="33"/>
    </row>
    <row r="94" spans="1:32" ht="17.25" customHeight="1" x14ac:dyDescent="0.25">
      <c r="D94" s="161" t="s">
        <v>0</v>
      </c>
      <c r="E94" s="161"/>
      <c r="F94" s="233"/>
    </row>
    <row r="95" spans="1:32" ht="17.25" customHeight="1" x14ac:dyDescent="0.25">
      <c r="B95" s="164" t="s">
        <v>1</v>
      </c>
      <c r="C95" s="164" t="s">
        <v>61</v>
      </c>
      <c r="D95" s="165" t="s">
        <v>4</v>
      </c>
      <c r="E95" s="61" t="s">
        <v>15</v>
      </c>
      <c r="F95" s="61" t="s">
        <v>74</v>
      </c>
      <c r="G95" s="61" t="s">
        <v>748</v>
      </c>
      <c r="H95" s="166"/>
    </row>
    <row r="96" spans="1:32" ht="17.25" customHeight="1" thickBot="1" x14ac:dyDescent="0.3">
      <c r="A96" s="33"/>
      <c r="B96" s="169" t="s">
        <v>749</v>
      </c>
      <c r="C96" s="169" t="s">
        <v>32</v>
      </c>
      <c r="D96" s="234" t="s">
        <v>40</v>
      </c>
      <c r="E96" s="169"/>
      <c r="F96" s="169" t="s">
        <v>750</v>
      </c>
      <c r="G96" s="169" t="s">
        <v>751</v>
      </c>
      <c r="H96" s="232"/>
    </row>
    <row r="97" spans="1:32" ht="17.25" customHeight="1" x14ac:dyDescent="0.25">
      <c r="A97" s="33"/>
      <c r="B97" s="171"/>
      <c r="C97" s="171"/>
      <c r="D97" s="235" t="s">
        <v>71</v>
      </c>
      <c r="E97" s="236"/>
      <c r="F97" s="236" t="str">
        <f>General!$E$12</f>
        <v>$/GJ</v>
      </c>
      <c r="G97" s="174" t="str">
        <f>General!$D$23</f>
        <v>PJ/year</v>
      </c>
      <c r="H97" s="232"/>
    </row>
    <row r="98" spans="1:32" ht="17.25" customHeight="1" x14ac:dyDescent="0.25">
      <c r="A98" s="33"/>
      <c r="B98" s="47" t="str">
        <f>$X$49</f>
        <v>IMPBIODSL01</v>
      </c>
      <c r="C98" s="47" t="str">
        <f>$Y$49</f>
        <v xml:space="preserve">Import Biodiesel </v>
      </c>
      <c r="D98" s="129" t="s">
        <v>157</v>
      </c>
      <c r="E98" s="48">
        <v>2017</v>
      </c>
      <c r="F98" s="48">
        <f>26*1.1*1.5</f>
        <v>42.900000000000006</v>
      </c>
      <c r="G98" s="48"/>
      <c r="H98" s="34"/>
      <c r="I98" s="12" t="s">
        <v>1024</v>
      </c>
    </row>
    <row r="99" spans="1:32" ht="17.25" customHeight="1" x14ac:dyDescent="0.25">
      <c r="A99" s="33"/>
      <c r="B99" s="47" t="str">
        <f>$X$50</f>
        <v>IMPBIOETH01</v>
      </c>
      <c r="C99" s="47" t="str">
        <f>$Y$50</f>
        <v xml:space="preserve">Import Bioethanol </v>
      </c>
      <c r="D99" s="129" t="s">
        <v>149</v>
      </c>
      <c r="E99" s="48">
        <v>2017</v>
      </c>
      <c r="F99" s="48">
        <f>33*1.1*1.5</f>
        <v>54.45</v>
      </c>
      <c r="G99" s="48"/>
      <c r="H99" s="34"/>
      <c r="I99" s="12" t="s">
        <v>1024</v>
      </c>
      <c r="U99" s="33"/>
    </row>
    <row r="100" spans="1:32" s="33" customFormat="1" x14ac:dyDescent="0.25">
      <c r="H100" s="34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V100" s="12"/>
      <c r="W100" s="12"/>
      <c r="X100" s="12"/>
      <c r="Y100" s="12"/>
      <c r="Z100" s="12"/>
      <c r="AA100" s="34"/>
      <c r="AB100" s="12"/>
      <c r="AC100" s="12"/>
      <c r="AD100" s="12"/>
      <c r="AE100" s="12"/>
      <c r="AF100" s="12"/>
    </row>
    <row r="101" spans="1:32" s="33" customFormat="1" x14ac:dyDescent="0.25">
      <c r="H101" s="34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V101" s="12"/>
      <c r="W101" s="12"/>
      <c r="X101" s="12"/>
      <c r="Y101" s="12"/>
      <c r="Z101" s="12"/>
      <c r="AA101" s="34"/>
      <c r="AB101" s="12"/>
      <c r="AC101" s="12"/>
      <c r="AD101" s="12"/>
      <c r="AE101" s="12"/>
      <c r="AF101" s="12"/>
    </row>
    <row r="102" spans="1:32" s="33" customFormat="1" ht="17.399999999999999" x14ac:dyDescent="0.3">
      <c r="B102" s="39" t="s">
        <v>752</v>
      </c>
      <c r="H102" s="34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V102" s="12"/>
      <c r="W102" s="12"/>
      <c r="X102" s="12"/>
      <c r="Y102" s="12"/>
      <c r="Z102" s="12"/>
      <c r="AA102" s="34"/>
      <c r="AB102" s="12"/>
      <c r="AC102" s="12"/>
      <c r="AD102" s="12"/>
      <c r="AE102" s="12"/>
    </row>
    <row r="103" spans="1:32" s="33" customFormat="1" x14ac:dyDescent="0.25">
      <c r="B103" s="12"/>
      <c r="C103" s="12"/>
      <c r="D103" s="161" t="s">
        <v>0</v>
      </c>
      <c r="F103" s="161"/>
      <c r="G103" s="233"/>
      <c r="H103" s="34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V103" s="12"/>
      <c r="W103" s="12"/>
      <c r="X103" s="12"/>
      <c r="Y103" s="12"/>
      <c r="Z103" s="12"/>
      <c r="AA103" s="34"/>
      <c r="AB103" s="12"/>
      <c r="AC103" s="12"/>
      <c r="AD103" s="12"/>
      <c r="AE103" s="12"/>
    </row>
    <row r="104" spans="1:32" s="33" customFormat="1" x14ac:dyDescent="0.25">
      <c r="B104" s="164" t="s">
        <v>1</v>
      </c>
      <c r="C104" s="164" t="s">
        <v>61</v>
      </c>
      <c r="D104" s="220" t="s">
        <v>4</v>
      </c>
      <c r="E104" s="61" t="s">
        <v>74</v>
      </c>
      <c r="F104" s="61" t="str">
        <f>"ACT_BND"</f>
        <v>ACT_BND</v>
      </c>
      <c r="H104" s="34"/>
      <c r="I104" s="12"/>
      <c r="J104" s="12"/>
      <c r="K104" s="12"/>
      <c r="L104" s="12"/>
      <c r="N104" s="34"/>
      <c r="V104" s="12"/>
      <c r="W104" s="12"/>
      <c r="X104" s="12"/>
      <c r="Y104" s="12"/>
      <c r="Z104" s="12"/>
      <c r="AA104" s="34"/>
      <c r="AB104" s="12"/>
      <c r="AC104" s="12"/>
      <c r="AD104" s="12"/>
      <c r="AE104" s="12"/>
    </row>
    <row r="105" spans="1:32" s="33" customFormat="1" ht="13.8" thickBot="1" x14ac:dyDescent="0.3">
      <c r="B105" s="169" t="s">
        <v>749</v>
      </c>
      <c r="C105" s="169" t="s">
        <v>740</v>
      </c>
      <c r="D105" s="234" t="s">
        <v>741</v>
      </c>
      <c r="E105" s="169" t="s">
        <v>742</v>
      </c>
      <c r="F105" s="169" t="s">
        <v>743</v>
      </c>
      <c r="H105" s="34"/>
      <c r="I105" s="12"/>
      <c r="J105" s="12"/>
      <c r="K105" s="12"/>
      <c r="L105" s="12"/>
      <c r="N105" s="34"/>
      <c r="V105" s="12"/>
      <c r="W105" s="12"/>
      <c r="X105" s="12"/>
      <c r="Y105" s="12"/>
      <c r="Z105" s="12"/>
      <c r="AA105" s="34"/>
      <c r="AB105" s="12"/>
      <c r="AC105" s="12"/>
      <c r="AD105" s="12"/>
    </row>
    <row r="106" spans="1:32" s="33" customFormat="1" x14ac:dyDescent="0.25">
      <c r="B106" s="171"/>
      <c r="C106" s="174"/>
      <c r="D106" s="235" t="s">
        <v>71</v>
      </c>
      <c r="E106" s="236" t="str">
        <f>General!$E$12</f>
        <v>$/GJ</v>
      </c>
      <c r="F106" s="174" t="str">
        <f>General!$D$23</f>
        <v>PJ/year</v>
      </c>
      <c r="U106" s="34"/>
      <c r="V106" s="12"/>
      <c r="W106" s="12"/>
      <c r="X106" s="12"/>
      <c r="Y106" s="12"/>
      <c r="Z106" s="12"/>
      <c r="AA106" s="34"/>
      <c r="AB106" s="12"/>
      <c r="AC106" s="12"/>
      <c r="AD106" s="12"/>
    </row>
    <row r="107" spans="1:32" s="33" customFormat="1" ht="13.8" x14ac:dyDescent="0.25">
      <c r="B107" s="97" t="str">
        <f>$X$34</f>
        <v>MINBIOUCO01</v>
      </c>
      <c r="C107" s="97" t="str">
        <f>$Y$34</f>
        <v xml:space="preserve">Used cooking oils Potential </v>
      </c>
      <c r="D107" s="156" t="s">
        <v>982</v>
      </c>
      <c r="E107" s="182">
        <v>0</v>
      </c>
      <c r="F107" s="105">
        <v>0</v>
      </c>
      <c r="U107" s="34"/>
      <c r="V107" s="12"/>
      <c r="W107" s="12"/>
      <c r="X107" s="12"/>
      <c r="Y107" s="12"/>
    </row>
    <row r="108" spans="1:32" s="33" customFormat="1" ht="13.8" x14ac:dyDescent="0.25">
      <c r="B108" s="97" t="str">
        <f>$X$35</f>
        <v>MINBIOSTA01</v>
      </c>
      <c r="C108" s="97" t="str">
        <f>$Y$35</f>
        <v>Cereal Crops (wheat, corn) Potential</v>
      </c>
      <c r="D108" s="156" t="s">
        <v>983</v>
      </c>
      <c r="E108" s="182">
        <v>0</v>
      </c>
      <c r="F108" s="105">
        <v>0</v>
      </c>
      <c r="U108" s="34"/>
      <c r="W108" s="12"/>
      <c r="X108" s="12"/>
    </row>
    <row r="109" spans="1:32" s="33" customFormat="1" ht="13.8" x14ac:dyDescent="0.25">
      <c r="B109" s="97" t="str">
        <f>$X$36</f>
        <v>MINBIOBGC01</v>
      </c>
      <c r="C109" s="97" t="str">
        <f>$Y$36</f>
        <v xml:space="preserve">Grass/Straw Residues Potential </v>
      </c>
      <c r="D109" s="156" t="s">
        <v>146</v>
      </c>
      <c r="E109" s="182">
        <v>0</v>
      </c>
      <c r="F109" s="105">
        <v>0</v>
      </c>
      <c r="H109" s="34"/>
      <c r="U109" s="34"/>
    </row>
    <row r="110" spans="1:32" s="33" customFormat="1" ht="13.8" x14ac:dyDescent="0.25">
      <c r="B110" s="97" t="str">
        <f>$X$37</f>
        <v>MINBIOBST01</v>
      </c>
      <c r="C110" s="97" t="str">
        <f>$Y$37</f>
        <v xml:space="preserve">Sugar beet Residues Potential </v>
      </c>
      <c r="D110" s="156" t="s">
        <v>145</v>
      </c>
      <c r="E110" s="182">
        <v>0</v>
      </c>
      <c r="F110" s="105">
        <v>0</v>
      </c>
      <c r="H110" s="34"/>
      <c r="AA110" s="34"/>
    </row>
    <row r="111" spans="1:32" s="33" customFormat="1" ht="13.8" x14ac:dyDescent="0.25">
      <c r="B111" s="97" t="str">
        <f>$X$38</f>
        <v>MINBIOBOS01</v>
      </c>
      <c r="C111" s="97" t="str">
        <f>$Y$38</f>
        <v xml:space="preserve">Oilseed Crops Potential </v>
      </c>
      <c r="D111" s="156" t="s">
        <v>147</v>
      </c>
      <c r="E111" s="182">
        <v>0</v>
      </c>
      <c r="F111" s="105">
        <v>0</v>
      </c>
      <c r="H111" s="34"/>
      <c r="X111" s="34"/>
      <c r="AA111" s="34"/>
    </row>
    <row r="112" spans="1:32" s="33" customFormat="1" ht="13.8" x14ac:dyDescent="0.25">
      <c r="B112" s="97" t="str">
        <f>X39</f>
        <v>MINBIOWIR01</v>
      </c>
      <c r="C112" s="97" t="str">
        <f>Y39</f>
        <v xml:space="preserve">Wine Residues Potential </v>
      </c>
      <c r="D112" s="156" t="s">
        <v>984</v>
      </c>
      <c r="E112" s="182">
        <v>0</v>
      </c>
      <c r="F112" s="105">
        <v>0</v>
      </c>
      <c r="O112" s="12"/>
      <c r="P112" s="12"/>
      <c r="Q112" s="12"/>
      <c r="R112" s="12"/>
      <c r="S112" s="12"/>
      <c r="T112" s="12"/>
      <c r="X112" s="34"/>
      <c r="AA112" s="34"/>
    </row>
    <row r="113" spans="2:28" s="33" customFormat="1" x14ac:dyDescent="0.25">
      <c r="B113" s="34"/>
      <c r="X113" s="34"/>
      <c r="AA113" s="34"/>
    </row>
    <row r="114" spans="2:28" s="33" customFormat="1" x14ac:dyDescent="0.25">
      <c r="B114" s="34"/>
      <c r="X114" s="34"/>
      <c r="AA114" s="34"/>
    </row>
    <row r="115" spans="2:28" s="33" customFormat="1" x14ac:dyDescent="0.25">
      <c r="B115" s="28"/>
      <c r="C115" s="28"/>
      <c r="D115" s="237"/>
      <c r="E115" s="238"/>
      <c r="F115" s="170"/>
      <c r="H115" s="34"/>
      <c r="X115" s="34"/>
      <c r="AB115" s="34"/>
    </row>
    <row r="116" spans="2:28" s="33" customFormat="1" x14ac:dyDescent="0.25">
      <c r="B116" s="28"/>
      <c r="C116" s="28"/>
      <c r="D116" s="237"/>
      <c r="E116" s="238"/>
      <c r="F116" s="170"/>
      <c r="H116" s="34"/>
      <c r="Y116" s="34"/>
      <c r="AB116" s="34"/>
    </row>
    <row r="117" spans="2:28" s="33" customFormat="1" x14ac:dyDescent="0.25">
      <c r="H117" s="34"/>
      <c r="Y117" s="34"/>
      <c r="AB117" s="34"/>
    </row>
    <row r="118" spans="2:28" s="33" customFormat="1" x14ac:dyDescent="0.25">
      <c r="H118" s="34"/>
      <c r="Y118" s="34"/>
      <c r="AB118" s="34"/>
    </row>
    <row r="119" spans="2:28" s="33" customFormat="1" x14ac:dyDescent="0.25">
      <c r="H119" s="34"/>
      <c r="Y119" s="34"/>
      <c r="AB119" s="34"/>
    </row>
    <row r="120" spans="2:28" s="33" customFormat="1" x14ac:dyDescent="0.25">
      <c r="I120" s="34"/>
      <c r="Y120" s="34"/>
      <c r="AB120" s="34"/>
    </row>
    <row r="121" spans="2:28" s="33" customFormat="1" x14ac:dyDescent="0.25">
      <c r="I121" s="34"/>
      <c r="Y121" s="34"/>
      <c r="AB121" s="34"/>
    </row>
    <row r="122" spans="2:28" s="33" customFormat="1" x14ac:dyDescent="0.25">
      <c r="I122" s="34"/>
      <c r="Y122" s="34"/>
      <c r="AB122" s="34"/>
    </row>
    <row r="123" spans="2:28" s="33" customFormat="1" x14ac:dyDescent="0.25">
      <c r="I123" s="34"/>
      <c r="Y123" s="34"/>
      <c r="AB123" s="34"/>
    </row>
    <row r="124" spans="2:28" s="33" customFormat="1" x14ac:dyDescent="0.25">
      <c r="I124" s="34"/>
      <c r="Y124" s="34"/>
      <c r="AB124" s="34"/>
    </row>
    <row r="125" spans="2:28" s="33" customFormat="1" x14ac:dyDescent="0.25">
      <c r="I125" s="34"/>
      <c r="Y125" s="34"/>
      <c r="AB125" s="34"/>
    </row>
    <row r="126" spans="2:28" s="33" customFormat="1" x14ac:dyDescent="0.25">
      <c r="H126" s="34"/>
      <c r="I126" s="34"/>
      <c r="Y126" s="34"/>
      <c r="AB126" s="34"/>
    </row>
    <row r="127" spans="2:28" s="33" customFormat="1" ht="17.25" customHeight="1" x14ac:dyDescent="0.25">
      <c r="H127" s="34"/>
      <c r="I127" s="34"/>
      <c r="Y127" s="34"/>
      <c r="AA127" s="34"/>
    </row>
    <row r="128" spans="2:28" s="33" customFormat="1" ht="17.25" customHeight="1" x14ac:dyDescent="0.25">
      <c r="H128" s="34"/>
      <c r="I128" s="34"/>
      <c r="X128" s="34"/>
      <c r="AA128" s="34"/>
    </row>
    <row r="129" spans="2:27" s="33" customFormat="1" ht="17.25" customHeight="1" x14ac:dyDescent="0.25">
      <c r="H129" s="34"/>
      <c r="I129" s="34"/>
      <c r="X129" s="34"/>
      <c r="AA129" s="34"/>
    </row>
    <row r="130" spans="2:27" s="33" customFormat="1" ht="17.25" customHeight="1" x14ac:dyDescent="0.25">
      <c r="H130" s="34"/>
      <c r="I130" s="34"/>
      <c r="X130" s="34"/>
      <c r="AA130" s="34"/>
    </row>
    <row r="131" spans="2:27" s="33" customFormat="1" ht="17.25" customHeight="1" x14ac:dyDescent="0.25">
      <c r="H131" s="34"/>
      <c r="I131" s="34"/>
      <c r="X131" s="34"/>
      <c r="AA131" s="34"/>
    </row>
    <row r="132" spans="2:27" s="33" customFormat="1" ht="17.25" customHeight="1" x14ac:dyDescent="0.25">
      <c r="H132" s="34"/>
      <c r="X132" s="34"/>
      <c r="AA132" s="34"/>
    </row>
    <row r="133" spans="2:27" s="33" customFormat="1" ht="17.25" customHeight="1" x14ac:dyDescent="0.25">
      <c r="H133" s="34"/>
      <c r="X133" s="34"/>
      <c r="AA133" s="34"/>
    </row>
    <row r="134" spans="2:27" s="33" customFormat="1" ht="17.25" customHeight="1" x14ac:dyDescent="0.25">
      <c r="H134" s="34"/>
      <c r="X134" s="34"/>
      <c r="AA134" s="34"/>
    </row>
    <row r="135" spans="2:27" s="33" customFormat="1" ht="17.25" customHeight="1" x14ac:dyDescent="0.25">
      <c r="H135" s="34"/>
      <c r="X135" s="34"/>
      <c r="AA135" s="34"/>
    </row>
    <row r="136" spans="2:27" s="33" customFormat="1" ht="17.25" customHeight="1" x14ac:dyDescent="0.25">
      <c r="H136" s="34"/>
      <c r="X136" s="34"/>
      <c r="AA136" s="34"/>
    </row>
    <row r="137" spans="2:27" s="33" customFormat="1" ht="17.25" customHeight="1" x14ac:dyDescent="0.25">
      <c r="H137" s="34"/>
      <c r="X137" s="34"/>
      <c r="AA137" s="34"/>
    </row>
    <row r="138" spans="2:27" s="33" customFormat="1" ht="17.25" customHeight="1" x14ac:dyDescent="0.25">
      <c r="H138" s="34"/>
      <c r="X138" s="34"/>
      <c r="AA138" s="34"/>
    </row>
    <row r="139" spans="2:27" s="33" customFormat="1" ht="17.25" customHeight="1" x14ac:dyDescent="0.25">
      <c r="B139" s="12"/>
      <c r="C139" s="12"/>
      <c r="D139" s="12"/>
      <c r="E139" s="12"/>
      <c r="F139" s="12"/>
      <c r="G139" s="12"/>
      <c r="H139" s="34"/>
      <c r="X139" s="34"/>
      <c r="AA139" s="34"/>
    </row>
    <row r="140" spans="2:27" s="33" customFormat="1" ht="17.25" customHeight="1" x14ac:dyDescent="0.25">
      <c r="B140" s="12"/>
      <c r="C140" s="12"/>
      <c r="D140" s="12"/>
      <c r="E140" s="12"/>
      <c r="F140" s="12"/>
      <c r="G140" s="12"/>
      <c r="H140" s="34"/>
      <c r="X140" s="34"/>
      <c r="AA140" s="34"/>
    </row>
    <row r="141" spans="2:27" s="33" customFormat="1" x14ac:dyDescent="0.25">
      <c r="B141" s="12"/>
      <c r="C141" s="12"/>
      <c r="D141" s="12"/>
      <c r="E141" s="12"/>
      <c r="F141" s="12"/>
      <c r="G141" s="12"/>
      <c r="H141" s="34"/>
      <c r="X141" s="34"/>
      <c r="AA141" s="34"/>
    </row>
    <row r="142" spans="2:27" s="33" customFormat="1" x14ac:dyDescent="0.25">
      <c r="B142" s="12"/>
      <c r="C142" s="12"/>
      <c r="D142" s="12"/>
      <c r="E142" s="12"/>
      <c r="F142" s="12"/>
      <c r="G142" s="12"/>
      <c r="H142" s="34"/>
      <c r="X142" s="34"/>
      <c r="AA142" s="34"/>
    </row>
    <row r="143" spans="2:27" s="33" customFormat="1" x14ac:dyDescent="0.25">
      <c r="B143" s="12"/>
      <c r="C143" s="12"/>
      <c r="D143" s="12"/>
      <c r="E143" s="12"/>
      <c r="F143" s="12"/>
      <c r="G143" s="12"/>
      <c r="H143" s="34"/>
      <c r="X143" s="34"/>
      <c r="AA143" s="34"/>
    </row>
    <row r="144" spans="2:27" s="33" customFormat="1" x14ac:dyDescent="0.25">
      <c r="B144" s="12"/>
      <c r="C144" s="12"/>
      <c r="D144" s="12"/>
      <c r="E144" s="12"/>
      <c r="F144" s="12"/>
      <c r="G144" s="12"/>
      <c r="H144" s="34"/>
      <c r="X144" s="34"/>
      <c r="AA144" s="34"/>
    </row>
    <row r="145" spans="1:32" s="33" customFormat="1" x14ac:dyDescent="0.25">
      <c r="A145" s="12"/>
      <c r="B145" s="12"/>
      <c r="C145" s="12"/>
      <c r="D145" s="12"/>
      <c r="E145" s="12"/>
      <c r="F145" s="12"/>
      <c r="G145" s="12"/>
      <c r="H145" s="34"/>
      <c r="X145" s="34"/>
      <c r="AA145" s="34"/>
    </row>
    <row r="146" spans="1:32" s="33" customFormat="1" x14ac:dyDescent="0.25">
      <c r="A146" s="12"/>
      <c r="B146" s="12"/>
      <c r="C146" s="12"/>
      <c r="D146" s="12"/>
      <c r="E146" s="12"/>
      <c r="F146" s="12"/>
      <c r="G146" s="12"/>
      <c r="H146" s="34"/>
      <c r="X146" s="34"/>
      <c r="AA146" s="34"/>
    </row>
    <row r="147" spans="1:32" s="33" customFormat="1" x14ac:dyDescent="0.25">
      <c r="A147" s="12"/>
      <c r="B147" s="12"/>
      <c r="C147" s="12"/>
      <c r="D147" s="12"/>
      <c r="E147" s="12"/>
      <c r="F147" s="12"/>
      <c r="G147" s="12"/>
      <c r="H147" s="34"/>
      <c r="X147" s="34"/>
      <c r="AA147" s="34"/>
    </row>
    <row r="148" spans="1:32" x14ac:dyDescent="0.25"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4"/>
      <c r="Y148" s="33"/>
      <c r="Z148" s="33"/>
      <c r="AB148" s="33"/>
      <c r="AC148" s="33"/>
      <c r="AD148" s="33"/>
      <c r="AE148" s="33"/>
      <c r="AF148" s="33"/>
    </row>
    <row r="149" spans="1:32" x14ac:dyDescent="0.25"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4"/>
      <c r="Y149" s="33"/>
      <c r="Z149" s="33"/>
      <c r="AB149" s="33"/>
      <c r="AC149" s="33"/>
      <c r="AD149" s="33"/>
      <c r="AE149" s="33"/>
      <c r="AF149" s="33"/>
    </row>
    <row r="150" spans="1:32" x14ac:dyDescent="0.25"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V150" s="33"/>
      <c r="W150" s="33"/>
      <c r="X150" s="34"/>
      <c r="Y150" s="33"/>
      <c r="Z150" s="33"/>
      <c r="AB150" s="33"/>
      <c r="AC150" s="33"/>
      <c r="AD150" s="33"/>
      <c r="AE150" s="33"/>
    </row>
    <row r="151" spans="1:32" x14ac:dyDescent="0.25">
      <c r="I151" s="33"/>
      <c r="J151" s="33"/>
      <c r="K151" s="33"/>
      <c r="L151" s="33"/>
      <c r="M151" s="33"/>
      <c r="N151" s="33"/>
      <c r="O151" s="33"/>
      <c r="P151" s="33"/>
      <c r="V151" s="33"/>
      <c r="W151" s="33"/>
      <c r="X151" s="34"/>
      <c r="Y151" s="33"/>
      <c r="Z151" s="33"/>
      <c r="AB151" s="33"/>
      <c r="AC151" s="33"/>
      <c r="AD151" s="33"/>
      <c r="AE151" s="33"/>
    </row>
    <row r="152" spans="1:32" x14ac:dyDescent="0.25">
      <c r="I152" s="33"/>
      <c r="J152" s="33"/>
      <c r="K152" s="33"/>
      <c r="L152" s="33"/>
      <c r="V152" s="33"/>
      <c r="W152" s="33"/>
      <c r="X152" s="34"/>
      <c r="Y152" s="33"/>
      <c r="Z152" s="33"/>
      <c r="AB152" s="33"/>
      <c r="AC152" s="33"/>
      <c r="AD152" s="33"/>
      <c r="AE152" s="33"/>
    </row>
    <row r="153" spans="1:32" x14ac:dyDescent="0.25">
      <c r="I153" s="33"/>
      <c r="J153" s="33"/>
      <c r="K153" s="33"/>
      <c r="L153" s="33"/>
      <c r="V153" s="33"/>
      <c r="W153" s="33"/>
      <c r="X153" s="34"/>
      <c r="Y153" s="33"/>
      <c r="AE153" s="33"/>
    </row>
    <row r="154" spans="1:32" x14ac:dyDescent="0.25">
      <c r="V154" s="33"/>
      <c r="W154" s="33"/>
      <c r="X154" s="34"/>
    </row>
    <row r="155" spans="1:32" x14ac:dyDescent="0.25">
      <c r="V155" s="33"/>
      <c r="W155" s="33"/>
    </row>
    <row r="156" spans="1:32" x14ac:dyDescent="0.25">
      <c r="V156" s="33"/>
      <c r="W156" s="33"/>
    </row>
    <row r="157" spans="1:32" x14ac:dyDescent="0.25">
      <c r="V157" s="33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5F67-6E79-43F9-A310-8585509597E9}">
  <dimension ref="B3:N13"/>
  <sheetViews>
    <sheetView zoomScale="90" zoomScaleNormal="90" workbookViewId="0">
      <selection sqref="A1:XFD1048576"/>
    </sheetView>
  </sheetViews>
  <sheetFormatPr defaultRowHeight="13.2" x14ac:dyDescent="0.25"/>
  <cols>
    <col min="1" max="1" width="3.5546875" style="12" customWidth="1"/>
    <col min="2" max="2" width="13.88671875" style="12" bestFit="1" customWidth="1"/>
    <col min="3" max="4" width="29.5546875" style="12" bestFit="1" customWidth="1"/>
    <col min="5" max="5" width="11.6640625" style="12" bestFit="1" customWidth="1"/>
    <col min="6" max="6" width="6.33203125" style="12" bestFit="1" customWidth="1"/>
    <col min="7" max="7" width="5" style="12" bestFit="1" customWidth="1"/>
    <col min="8" max="8" width="10.5546875" style="12" bestFit="1" customWidth="1"/>
    <col min="9" max="9" width="14" style="12" customWidth="1"/>
    <col min="10" max="11" width="9.33203125" style="12" customWidth="1"/>
    <col min="12" max="12" width="9.33203125" style="12" bestFit="1" customWidth="1"/>
    <col min="13" max="13" width="9.109375" style="12"/>
    <col min="14" max="14" width="14.33203125" style="12" customWidth="1"/>
    <col min="15" max="256" width="9.109375" style="12"/>
    <col min="257" max="257" width="3.5546875" style="12" customWidth="1"/>
    <col min="258" max="258" width="17.109375" style="12" customWidth="1"/>
    <col min="259" max="259" width="48" style="12" bestFit="1" customWidth="1"/>
    <col min="260" max="260" width="50.88671875" style="12" customWidth="1"/>
    <col min="261" max="261" width="11.33203125" style="12" bestFit="1" customWidth="1"/>
    <col min="262" max="263" width="9.109375" style="12"/>
    <col min="264" max="264" width="13.33203125" style="12" customWidth="1"/>
    <col min="265" max="265" width="14" style="12" customWidth="1"/>
    <col min="266" max="267" width="9.33203125" style="12" customWidth="1"/>
    <col min="268" max="268" width="9.33203125" style="12" bestFit="1" customWidth="1"/>
    <col min="269" max="269" width="9.109375" style="12"/>
    <col min="270" max="270" width="14.33203125" style="12" customWidth="1"/>
    <col min="271" max="512" width="9.109375" style="12"/>
    <col min="513" max="513" width="3.5546875" style="12" customWidth="1"/>
    <col min="514" max="514" width="17.109375" style="12" customWidth="1"/>
    <col min="515" max="515" width="48" style="12" bestFit="1" customWidth="1"/>
    <col min="516" max="516" width="50.88671875" style="12" customWidth="1"/>
    <col min="517" max="517" width="11.33203125" style="12" bestFit="1" customWidth="1"/>
    <col min="518" max="519" width="9.109375" style="12"/>
    <col min="520" max="520" width="13.33203125" style="12" customWidth="1"/>
    <col min="521" max="521" width="14" style="12" customWidth="1"/>
    <col min="522" max="523" width="9.33203125" style="12" customWidth="1"/>
    <col min="524" max="524" width="9.33203125" style="12" bestFit="1" customWidth="1"/>
    <col min="525" max="525" width="9.109375" style="12"/>
    <col min="526" max="526" width="14.33203125" style="12" customWidth="1"/>
    <col min="527" max="768" width="9.109375" style="12"/>
    <col min="769" max="769" width="3.5546875" style="12" customWidth="1"/>
    <col min="770" max="770" width="17.109375" style="12" customWidth="1"/>
    <col min="771" max="771" width="48" style="12" bestFit="1" customWidth="1"/>
    <col min="772" max="772" width="50.88671875" style="12" customWidth="1"/>
    <col min="773" max="773" width="11.33203125" style="12" bestFit="1" customWidth="1"/>
    <col min="774" max="775" width="9.109375" style="12"/>
    <col min="776" max="776" width="13.33203125" style="12" customWidth="1"/>
    <col min="777" max="777" width="14" style="12" customWidth="1"/>
    <col min="778" max="779" width="9.33203125" style="12" customWidth="1"/>
    <col min="780" max="780" width="9.33203125" style="12" bestFit="1" customWidth="1"/>
    <col min="781" max="781" width="9.109375" style="12"/>
    <col min="782" max="782" width="14.33203125" style="12" customWidth="1"/>
    <col min="783" max="1024" width="9.109375" style="12"/>
    <col min="1025" max="1025" width="3.5546875" style="12" customWidth="1"/>
    <col min="1026" max="1026" width="17.109375" style="12" customWidth="1"/>
    <col min="1027" max="1027" width="48" style="12" bestFit="1" customWidth="1"/>
    <col min="1028" max="1028" width="50.88671875" style="12" customWidth="1"/>
    <col min="1029" max="1029" width="11.33203125" style="12" bestFit="1" customWidth="1"/>
    <col min="1030" max="1031" width="9.109375" style="12"/>
    <col min="1032" max="1032" width="13.33203125" style="12" customWidth="1"/>
    <col min="1033" max="1033" width="14" style="12" customWidth="1"/>
    <col min="1034" max="1035" width="9.33203125" style="12" customWidth="1"/>
    <col min="1036" max="1036" width="9.33203125" style="12" bestFit="1" customWidth="1"/>
    <col min="1037" max="1037" width="9.109375" style="12"/>
    <col min="1038" max="1038" width="14.33203125" style="12" customWidth="1"/>
    <col min="1039" max="1280" width="9.109375" style="12"/>
    <col min="1281" max="1281" width="3.5546875" style="12" customWidth="1"/>
    <col min="1282" max="1282" width="17.109375" style="12" customWidth="1"/>
    <col min="1283" max="1283" width="48" style="12" bestFit="1" customWidth="1"/>
    <col min="1284" max="1284" width="50.88671875" style="12" customWidth="1"/>
    <col min="1285" max="1285" width="11.33203125" style="12" bestFit="1" customWidth="1"/>
    <col min="1286" max="1287" width="9.109375" style="12"/>
    <col min="1288" max="1288" width="13.33203125" style="12" customWidth="1"/>
    <col min="1289" max="1289" width="14" style="12" customWidth="1"/>
    <col min="1290" max="1291" width="9.33203125" style="12" customWidth="1"/>
    <col min="1292" max="1292" width="9.33203125" style="12" bestFit="1" customWidth="1"/>
    <col min="1293" max="1293" width="9.109375" style="12"/>
    <col min="1294" max="1294" width="14.33203125" style="12" customWidth="1"/>
    <col min="1295" max="1536" width="9.109375" style="12"/>
    <col min="1537" max="1537" width="3.5546875" style="12" customWidth="1"/>
    <col min="1538" max="1538" width="17.109375" style="12" customWidth="1"/>
    <col min="1539" max="1539" width="48" style="12" bestFit="1" customWidth="1"/>
    <col min="1540" max="1540" width="50.88671875" style="12" customWidth="1"/>
    <col min="1541" max="1541" width="11.33203125" style="12" bestFit="1" customWidth="1"/>
    <col min="1542" max="1543" width="9.109375" style="12"/>
    <col min="1544" max="1544" width="13.33203125" style="12" customWidth="1"/>
    <col min="1545" max="1545" width="14" style="12" customWidth="1"/>
    <col min="1546" max="1547" width="9.33203125" style="12" customWidth="1"/>
    <col min="1548" max="1548" width="9.33203125" style="12" bestFit="1" customWidth="1"/>
    <col min="1549" max="1549" width="9.109375" style="12"/>
    <col min="1550" max="1550" width="14.33203125" style="12" customWidth="1"/>
    <col min="1551" max="1792" width="9.109375" style="12"/>
    <col min="1793" max="1793" width="3.5546875" style="12" customWidth="1"/>
    <col min="1794" max="1794" width="17.109375" style="12" customWidth="1"/>
    <col min="1795" max="1795" width="48" style="12" bestFit="1" customWidth="1"/>
    <col min="1796" max="1796" width="50.88671875" style="12" customWidth="1"/>
    <col min="1797" max="1797" width="11.33203125" style="12" bestFit="1" customWidth="1"/>
    <col min="1798" max="1799" width="9.109375" style="12"/>
    <col min="1800" max="1800" width="13.33203125" style="12" customWidth="1"/>
    <col min="1801" max="1801" width="14" style="12" customWidth="1"/>
    <col min="1802" max="1803" width="9.33203125" style="12" customWidth="1"/>
    <col min="1804" max="1804" width="9.33203125" style="12" bestFit="1" customWidth="1"/>
    <col min="1805" max="1805" width="9.109375" style="12"/>
    <col min="1806" max="1806" width="14.33203125" style="12" customWidth="1"/>
    <col min="1807" max="2048" width="9.109375" style="12"/>
    <col min="2049" max="2049" width="3.5546875" style="12" customWidth="1"/>
    <col min="2050" max="2050" width="17.109375" style="12" customWidth="1"/>
    <col min="2051" max="2051" width="48" style="12" bestFit="1" customWidth="1"/>
    <col min="2052" max="2052" width="50.88671875" style="12" customWidth="1"/>
    <col min="2053" max="2053" width="11.33203125" style="12" bestFit="1" customWidth="1"/>
    <col min="2054" max="2055" width="9.109375" style="12"/>
    <col min="2056" max="2056" width="13.33203125" style="12" customWidth="1"/>
    <col min="2057" max="2057" width="14" style="12" customWidth="1"/>
    <col min="2058" max="2059" width="9.33203125" style="12" customWidth="1"/>
    <col min="2060" max="2060" width="9.33203125" style="12" bestFit="1" customWidth="1"/>
    <col min="2061" max="2061" width="9.109375" style="12"/>
    <col min="2062" max="2062" width="14.33203125" style="12" customWidth="1"/>
    <col min="2063" max="2304" width="9.109375" style="12"/>
    <col min="2305" max="2305" width="3.5546875" style="12" customWidth="1"/>
    <col min="2306" max="2306" width="17.109375" style="12" customWidth="1"/>
    <col min="2307" max="2307" width="48" style="12" bestFit="1" customWidth="1"/>
    <col min="2308" max="2308" width="50.88671875" style="12" customWidth="1"/>
    <col min="2309" max="2309" width="11.33203125" style="12" bestFit="1" customWidth="1"/>
    <col min="2310" max="2311" width="9.109375" style="12"/>
    <col min="2312" max="2312" width="13.33203125" style="12" customWidth="1"/>
    <col min="2313" max="2313" width="14" style="12" customWidth="1"/>
    <col min="2314" max="2315" width="9.33203125" style="12" customWidth="1"/>
    <col min="2316" max="2316" width="9.33203125" style="12" bestFit="1" customWidth="1"/>
    <col min="2317" max="2317" width="9.109375" style="12"/>
    <col min="2318" max="2318" width="14.33203125" style="12" customWidth="1"/>
    <col min="2319" max="2560" width="9.109375" style="12"/>
    <col min="2561" max="2561" width="3.5546875" style="12" customWidth="1"/>
    <col min="2562" max="2562" width="17.109375" style="12" customWidth="1"/>
    <col min="2563" max="2563" width="48" style="12" bestFit="1" customWidth="1"/>
    <col min="2564" max="2564" width="50.88671875" style="12" customWidth="1"/>
    <col min="2565" max="2565" width="11.33203125" style="12" bestFit="1" customWidth="1"/>
    <col min="2566" max="2567" width="9.109375" style="12"/>
    <col min="2568" max="2568" width="13.33203125" style="12" customWidth="1"/>
    <col min="2569" max="2569" width="14" style="12" customWidth="1"/>
    <col min="2570" max="2571" width="9.33203125" style="12" customWidth="1"/>
    <col min="2572" max="2572" width="9.33203125" style="12" bestFit="1" customWidth="1"/>
    <col min="2573" max="2573" width="9.109375" style="12"/>
    <col min="2574" max="2574" width="14.33203125" style="12" customWidth="1"/>
    <col min="2575" max="2816" width="9.109375" style="12"/>
    <col min="2817" max="2817" width="3.5546875" style="12" customWidth="1"/>
    <col min="2818" max="2818" width="17.109375" style="12" customWidth="1"/>
    <col min="2819" max="2819" width="48" style="12" bestFit="1" customWidth="1"/>
    <col min="2820" max="2820" width="50.88671875" style="12" customWidth="1"/>
    <col min="2821" max="2821" width="11.33203125" style="12" bestFit="1" customWidth="1"/>
    <col min="2822" max="2823" width="9.109375" style="12"/>
    <col min="2824" max="2824" width="13.33203125" style="12" customWidth="1"/>
    <col min="2825" max="2825" width="14" style="12" customWidth="1"/>
    <col min="2826" max="2827" width="9.33203125" style="12" customWidth="1"/>
    <col min="2828" max="2828" width="9.33203125" style="12" bestFit="1" customWidth="1"/>
    <col min="2829" max="2829" width="9.109375" style="12"/>
    <col min="2830" max="2830" width="14.33203125" style="12" customWidth="1"/>
    <col min="2831" max="3072" width="9.109375" style="12"/>
    <col min="3073" max="3073" width="3.5546875" style="12" customWidth="1"/>
    <col min="3074" max="3074" width="17.109375" style="12" customWidth="1"/>
    <col min="3075" max="3075" width="48" style="12" bestFit="1" customWidth="1"/>
    <col min="3076" max="3076" width="50.88671875" style="12" customWidth="1"/>
    <col min="3077" max="3077" width="11.33203125" style="12" bestFit="1" customWidth="1"/>
    <col min="3078" max="3079" width="9.109375" style="12"/>
    <col min="3080" max="3080" width="13.33203125" style="12" customWidth="1"/>
    <col min="3081" max="3081" width="14" style="12" customWidth="1"/>
    <col min="3082" max="3083" width="9.33203125" style="12" customWidth="1"/>
    <col min="3084" max="3084" width="9.33203125" style="12" bestFit="1" customWidth="1"/>
    <col min="3085" max="3085" width="9.109375" style="12"/>
    <col min="3086" max="3086" width="14.33203125" style="12" customWidth="1"/>
    <col min="3087" max="3328" width="9.109375" style="12"/>
    <col min="3329" max="3329" width="3.5546875" style="12" customWidth="1"/>
    <col min="3330" max="3330" width="17.109375" style="12" customWidth="1"/>
    <col min="3331" max="3331" width="48" style="12" bestFit="1" customWidth="1"/>
    <col min="3332" max="3332" width="50.88671875" style="12" customWidth="1"/>
    <col min="3333" max="3333" width="11.33203125" style="12" bestFit="1" customWidth="1"/>
    <col min="3334" max="3335" width="9.109375" style="12"/>
    <col min="3336" max="3336" width="13.33203125" style="12" customWidth="1"/>
    <col min="3337" max="3337" width="14" style="12" customWidth="1"/>
    <col min="3338" max="3339" width="9.33203125" style="12" customWidth="1"/>
    <col min="3340" max="3340" width="9.33203125" style="12" bestFit="1" customWidth="1"/>
    <col min="3341" max="3341" width="9.109375" style="12"/>
    <col min="3342" max="3342" width="14.33203125" style="12" customWidth="1"/>
    <col min="3343" max="3584" width="9.109375" style="12"/>
    <col min="3585" max="3585" width="3.5546875" style="12" customWidth="1"/>
    <col min="3586" max="3586" width="17.109375" style="12" customWidth="1"/>
    <col min="3587" max="3587" width="48" style="12" bestFit="1" customWidth="1"/>
    <col min="3588" max="3588" width="50.88671875" style="12" customWidth="1"/>
    <col min="3589" max="3589" width="11.33203125" style="12" bestFit="1" customWidth="1"/>
    <col min="3590" max="3591" width="9.109375" style="12"/>
    <col min="3592" max="3592" width="13.33203125" style="12" customWidth="1"/>
    <col min="3593" max="3593" width="14" style="12" customWidth="1"/>
    <col min="3594" max="3595" width="9.33203125" style="12" customWidth="1"/>
    <col min="3596" max="3596" width="9.33203125" style="12" bestFit="1" customWidth="1"/>
    <col min="3597" max="3597" width="9.109375" style="12"/>
    <col min="3598" max="3598" width="14.33203125" style="12" customWidth="1"/>
    <col min="3599" max="3840" width="9.109375" style="12"/>
    <col min="3841" max="3841" width="3.5546875" style="12" customWidth="1"/>
    <col min="3842" max="3842" width="17.109375" style="12" customWidth="1"/>
    <col min="3843" max="3843" width="48" style="12" bestFit="1" customWidth="1"/>
    <col min="3844" max="3844" width="50.88671875" style="12" customWidth="1"/>
    <col min="3845" max="3845" width="11.33203125" style="12" bestFit="1" customWidth="1"/>
    <col min="3846" max="3847" width="9.109375" style="12"/>
    <col min="3848" max="3848" width="13.33203125" style="12" customWidth="1"/>
    <col min="3849" max="3849" width="14" style="12" customWidth="1"/>
    <col min="3850" max="3851" width="9.33203125" style="12" customWidth="1"/>
    <col min="3852" max="3852" width="9.33203125" style="12" bestFit="1" customWidth="1"/>
    <col min="3853" max="3853" width="9.109375" style="12"/>
    <col min="3854" max="3854" width="14.33203125" style="12" customWidth="1"/>
    <col min="3855" max="4096" width="9.109375" style="12"/>
    <col min="4097" max="4097" width="3.5546875" style="12" customWidth="1"/>
    <col min="4098" max="4098" width="17.109375" style="12" customWidth="1"/>
    <col min="4099" max="4099" width="48" style="12" bestFit="1" customWidth="1"/>
    <col min="4100" max="4100" width="50.88671875" style="12" customWidth="1"/>
    <col min="4101" max="4101" width="11.33203125" style="12" bestFit="1" customWidth="1"/>
    <col min="4102" max="4103" width="9.109375" style="12"/>
    <col min="4104" max="4104" width="13.33203125" style="12" customWidth="1"/>
    <col min="4105" max="4105" width="14" style="12" customWidth="1"/>
    <col min="4106" max="4107" width="9.33203125" style="12" customWidth="1"/>
    <col min="4108" max="4108" width="9.33203125" style="12" bestFit="1" customWidth="1"/>
    <col min="4109" max="4109" width="9.109375" style="12"/>
    <col min="4110" max="4110" width="14.33203125" style="12" customWidth="1"/>
    <col min="4111" max="4352" width="9.109375" style="12"/>
    <col min="4353" max="4353" width="3.5546875" style="12" customWidth="1"/>
    <col min="4354" max="4354" width="17.109375" style="12" customWidth="1"/>
    <col min="4355" max="4355" width="48" style="12" bestFit="1" customWidth="1"/>
    <col min="4356" max="4356" width="50.88671875" style="12" customWidth="1"/>
    <col min="4357" max="4357" width="11.33203125" style="12" bestFit="1" customWidth="1"/>
    <col min="4358" max="4359" width="9.109375" style="12"/>
    <col min="4360" max="4360" width="13.33203125" style="12" customWidth="1"/>
    <col min="4361" max="4361" width="14" style="12" customWidth="1"/>
    <col min="4362" max="4363" width="9.33203125" style="12" customWidth="1"/>
    <col min="4364" max="4364" width="9.33203125" style="12" bestFit="1" customWidth="1"/>
    <col min="4365" max="4365" width="9.109375" style="12"/>
    <col min="4366" max="4366" width="14.33203125" style="12" customWidth="1"/>
    <col min="4367" max="4608" width="9.109375" style="12"/>
    <col min="4609" max="4609" width="3.5546875" style="12" customWidth="1"/>
    <col min="4610" max="4610" width="17.109375" style="12" customWidth="1"/>
    <col min="4611" max="4611" width="48" style="12" bestFit="1" customWidth="1"/>
    <col min="4612" max="4612" width="50.88671875" style="12" customWidth="1"/>
    <col min="4613" max="4613" width="11.33203125" style="12" bestFit="1" customWidth="1"/>
    <col min="4614" max="4615" width="9.109375" style="12"/>
    <col min="4616" max="4616" width="13.33203125" style="12" customWidth="1"/>
    <col min="4617" max="4617" width="14" style="12" customWidth="1"/>
    <col min="4618" max="4619" width="9.33203125" style="12" customWidth="1"/>
    <col min="4620" max="4620" width="9.33203125" style="12" bestFit="1" customWidth="1"/>
    <col min="4621" max="4621" width="9.109375" style="12"/>
    <col min="4622" max="4622" width="14.33203125" style="12" customWidth="1"/>
    <col min="4623" max="4864" width="9.109375" style="12"/>
    <col min="4865" max="4865" width="3.5546875" style="12" customWidth="1"/>
    <col min="4866" max="4866" width="17.109375" style="12" customWidth="1"/>
    <col min="4867" max="4867" width="48" style="12" bestFit="1" customWidth="1"/>
    <col min="4868" max="4868" width="50.88671875" style="12" customWidth="1"/>
    <col min="4869" max="4869" width="11.33203125" style="12" bestFit="1" customWidth="1"/>
    <col min="4870" max="4871" width="9.109375" style="12"/>
    <col min="4872" max="4872" width="13.33203125" style="12" customWidth="1"/>
    <col min="4873" max="4873" width="14" style="12" customWidth="1"/>
    <col min="4874" max="4875" width="9.33203125" style="12" customWidth="1"/>
    <col min="4876" max="4876" width="9.33203125" style="12" bestFit="1" customWidth="1"/>
    <col min="4877" max="4877" width="9.109375" style="12"/>
    <col min="4878" max="4878" width="14.33203125" style="12" customWidth="1"/>
    <col min="4879" max="5120" width="9.109375" style="12"/>
    <col min="5121" max="5121" width="3.5546875" style="12" customWidth="1"/>
    <col min="5122" max="5122" width="17.109375" style="12" customWidth="1"/>
    <col min="5123" max="5123" width="48" style="12" bestFit="1" customWidth="1"/>
    <col min="5124" max="5124" width="50.88671875" style="12" customWidth="1"/>
    <col min="5125" max="5125" width="11.33203125" style="12" bestFit="1" customWidth="1"/>
    <col min="5126" max="5127" width="9.109375" style="12"/>
    <col min="5128" max="5128" width="13.33203125" style="12" customWidth="1"/>
    <col min="5129" max="5129" width="14" style="12" customWidth="1"/>
    <col min="5130" max="5131" width="9.33203125" style="12" customWidth="1"/>
    <col min="5132" max="5132" width="9.33203125" style="12" bestFit="1" customWidth="1"/>
    <col min="5133" max="5133" width="9.109375" style="12"/>
    <col min="5134" max="5134" width="14.33203125" style="12" customWidth="1"/>
    <col min="5135" max="5376" width="9.109375" style="12"/>
    <col min="5377" max="5377" width="3.5546875" style="12" customWidth="1"/>
    <col min="5378" max="5378" width="17.109375" style="12" customWidth="1"/>
    <col min="5379" max="5379" width="48" style="12" bestFit="1" customWidth="1"/>
    <col min="5380" max="5380" width="50.88671875" style="12" customWidth="1"/>
    <col min="5381" max="5381" width="11.33203125" style="12" bestFit="1" customWidth="1"/>
    <col min="5382" max="5383" width="9.109375" style="12"/>
    <col min="5384" max="5384" width="13.33203125" style="12" customWidth="1"/>
    <col min="5385" max="5385" width="14" style="12" customWidth="1"/>
    <col min="5386" max="5387" width="9.33203125" style="12" customWidth="1"/>
    <col min="5388" max="5388" width="9.33203125" style="12" bestFit="1" customWidth="1"/>
    <col min="5389" max="5389" width="9.109375" style="12"/>
    <col min="5390" max="5390" width="14.33203125" style="12" customWidth="1"/>
    <col min="5391" max="5632" width="9.109375" style="12"/>
    <col min="5633" max="5633" width="3.5546875" style="12" customWidth="1"/>
    <col min="5634" max="5634" width="17.109375" style="12" customWidth="1"/>
    <col min="5635" max="5635" width="48" style="12" bestFit="1" customWidth="1"/>
    <col min="5636" max="5636" width="50.88671875" style="12" customWidth="1"/>
    <col min="5637" max="5637" width="11.33203125" style="12" bestFit="1" customWidth="1"/>
    <col min="5638" max="5639" width="9.109375" style="12"/>
    <col min="5640" max="5640" width="13.33203125" style="12" customWidth="1"/>
    <col min="5641" max="5641" width="14" style="12" customWidth="1"/>
    <col min="5642" max="5643" width="9.33203125" style="12" customWidth="1"/>
    <col min="5644" max="5644" width="9.33203125" style="12" bestFit="1" customWidth="1"/>
    <col min="5645" max="5645" width="9.109375" style="12"/>
    <col min="5646" max="5646" width="14.33203125" style="12" customWidth="1"/>
    <col min="5647" max="5888" width="9.109375" style="12"/>
    <col min="5889" max="5889" width="3.5546875" style="12" customWidth="1"/>
    <col min="5890" max="5890" width="17.109375" style="12" customWidth="1"/>
    <col min="5891" max="5891" width="48" style="12" bestFit="1" customWidth="1"/>
    <col min="5892" max="5892" width="50.88671875" style="12" customWidth="1"/>
    <col min="5893" max="5893" width="11.33203125" style="12" bestFit="1" customWidth="1"/>
    <col min="5894" max="5895" width="9.109375" style="12"/>
    <col min="5896" max="5896" width="13.33203125" style="12" customWidth="1"/>
    <col min="5897" max="5897" width="14" style="12" customWidth="1"/>
    <col min="5898" max="5899" width="9.33203125" style="12" customWidth="1"/>
    <col min="5900" max="5900" width="9.33203125" style="12" bestFit="1" customWidth="1"/>
    <col min="5901" max="5901" width="9.109375" style="12"/>
    <col min="5902" max="5902" width="14.33203125" style="12" customWidth="1"/>
    <col min="5903" max="6144" width="9.109375" style="12"/>
    <col min="6145" max="6145" width="3.5546875" style="12" customWidth="1"/>
    <col min="6146" max="6146" width="17.109375" style="12" customWidth="1"/>
    <col min="6147" max="6147" width="48" style="12" bestFit="1" customWidth="1"/>
    <col min="6148" max="6148" width="50.88671875" style="12" customWidth="1"/>
    <col min="6149" max="6149" width="11.33203125" style="12" bestFit="1" customWidth="1"/>
    <col min="6150" max="6151" width="9.109375" style="12"/>
    <col min="6152" max="6152" width="13.33203125" style="12" customWidth="1"/>
    <col min="6153" max="6153" width="14" style="12" customWidth="1"/>
    <col min="6154" max="6155" width="9.33203125" style="12" customWidth="1"/>
    <col min="6156" max="6156" width="9.33203125" style="12" bestFit="1" customWidth="1"/>
    <col min="6157" max="6157" width="9.109375" style="12"/>
    <col min="6158" max="6158" width="14.33203125" style="12" customWidth="1"/>
    <col min="6159" max="6400" width="9.109375" style="12"/>
    <col min="6401" max="6401" width="3.5546875" style="12" customWidth="1"/>
    <col min="6402" max="6402" width="17.109375" style="12" customWidth="1"/>
    <col min="6403" max="6403" width="48" style="12" bestFit="1" customWidth="1"/>
    <col min="6404" max="6404" width="50.88671875" style="12" customWidth="1"/>
    <col min="6405" max="6405" width="11.33203125" style="12" bestFit="1" customWidth="1"/>
    <col min="6406" max="6407" width="9.109375" style="12"/>
    <col min="6408" max="6408" width="13.33203125" style="12" customWidth="1"/>
    <col min="6409" max="6409" width="14" style="12" customWidth="1"/>
    <col min="6410" max="6411" width="9.33203125" style="12" customWidth="1"/>
    <col min="6412" max="6412" width="9.33203125" style="12" bestFit="1" customWidth="1"/>
    <col min="6413" max="6413" width="9.109375" style="12"/>
    <col min="6414" max="6414" width="14.33203125" style="12" customWidth="1"/>
    <col min="6415" max="6656" width="9.109375" style="12"/>
    <col min="6657" max="6657" width="3.5546875" style="12" customWidth="1"/>
    <col min="6658" max="6658" width="17.109375" style="12" customWidth="1"/>
    <col min="6659" max="6659" width="48" style="12" bestFit="1" customWidth="1"/>
    <col min="6660" max="6660" width="50.88671875" style="12" customWidth="1"/>
    <col min="6661" max="6661" width="11.33203125" style="12" bestFit="1" customWidth="1"/>
    <col min="6662" max="6663" width="9.109375" style="12"/>
    <col min="6664" max="6664" width="13.33203125" style="12" customWidth="1"/>
    <col min="6665" max="6665" width="14" style="12" customWidth="1"/>
    <col min="6666" max="6667" width="9.33203125" style="12" customWidth="1"/>
    <col min="6668" max="6668" width="9.33203125" style="12" bestFit="1" customWidth="1"/>
    <col min="6669" max="6669" width="9.109375" style="12"/>
    <col min="6670" max="6670" width="14.33203125" style="12" customWidth="1"/>
    <col min="6671" max="6912" width="9.109375" style="12"/>
    <col min="6913" max="6913" width="3.5546875" style="12" customWidth="1"/>
    <col min="6914" max="6914" width="17.109375" style="12" customWidth="1"/>
    <col min="6915" max="6915" width="48" style="12" bestFit="1" customWidth="1"/>
    <col min="6916" max="6916" width="50.88671875" style="12" customWidth="1"/>
    <col min="6917" max="6917" width="11.33203125" style="12" bestFit="1" customWidth="1"/>
    <col min="6918" max="6919" width="9.109375" style="12"/>
    <col min="6920" max="6920" width="13.33203125" style="12" customWidth="1"/>
    <col min="6921" max="6921" width="14" style="12" customWidth="1"/>
    <col min="6922" max="6923" width="9.33203125" style="12" customWidth="1"/>
    <col min="6924" max="6924" width="9.33203125" style="12" bestFit="1" customWidth="1"/>
    <col min="6925" max="6925" width="9.109375" style="12"/>
    <col min="6926" max="6926" width="14.33203125" style="12" customWidth="1"/>
    <col min="6927" max="7168" width="9.109375" style="12"/>
    <col min="7169" max="7169" width="3.5546875" style="12" customWidth="1"/>
    <col min="7170" max="7170" width="17.109375" style="12" customWidth="1"/>
    <col min="7171" max="7171" width="48" style="12" bestFit="1" customWidth="1"/>
    <col min="7172" max="7172" width="50.88671875" style="12" customWidth="1"/>
    <col min="7173" max="7173" width="11.33203125" style="12" bestFit="1" customWidth="1"/>
    <col min="7174" max="7175" width="9.109375" style="12"/>
    <col min="7176" max="7176" width="13.33203125" style="12" customWidth="1"/>
    <col min="7177" max="7177" width="14" style="12" customWidth="1"/>
    <col min="7178" max="7179" width="9.33203125" style="12" customWidth="1"/>
    <col min="7180" max="7180" width="9.33203125" style="12" bestFit="1" customWidth="1"/>
    <col min="7181" max="7181" width="9.109375" style="12"/>
    <col min="7182" max="7182" width="14.33203125" style="12" customWidth="1"/>
    <col min="7183" max="7424" width="9.109375" style="12"/>
    <col min="7425" max="7425" width="3.5546875" style="12" customWidth="1"/>
    <col min="7426" max="7426" width="17.109375" style="12" customWidth="1"/>
    <col min="7427" max="7427" width="48" style="12" bestFit="1" customWidth="1"/>
    <col min="7428" max="7428" width="50.88671875" style="12" customWidth="1"/>
    <col min="7429" max="7429" width="11.33203125" style="12" bestFit="1" customWidth="1"/>
    <col min="7430" max="7431" width="9.109375" style="12"/>
    <col min="7432" max="7432" width="13.33203125" style="12" customWidth="1"/>
    <col min="7433" max="7433" width="14" style="12" customWidth="1"/>
    <col min="7434" max="7435" width="9.33203125" style="12" customWidth="1"/>
    <col min="7436" max="7436" width="9.33203125" style="12" bestFit="1" customWidth="1"/>
    <col min="7437" max="7437" width="9.109375" style="12"/>
    <col min="7438" max="7438" width="14.33203125" style="12" customWidth="1"/>
    <col min="7439" max="7680" width="9.109375" style="12"/>
    <col min="7681" max="7681" width="3.5546875" style="12" customWidth="1"/>
    <col min="7682" max="7682" width="17.109375" style="12" customWidth="1"/>
    <col min="7683" max="7683" width="48" style="12" bestFit="1" customWidth="1"/>
    <col min="7684" max="7684" width="50.88671875" style="12" customWidth="1"/>
    <col min="7685" max="7685" width="11.33203125" style="12" bestFit="1" customWidth="1"/>
    <col min="7686" max="7687" width="9.109375" style="12"/>
    <col min="7688" max="7688" width="13.33203125" style="12" customWidth="1"/>
    <col min="7689" max="7689" width="14" style="12" customWidth="1"/>
    <col min="7690" max="7691" width="9.33203125" style="12" customWidth="1"/>
    <col min="7692" max="7692" width="9.33203125" style="12" bestFit="1" customWidth="1"/>
    <col min="7693" max="7693" width="9.109375" style="12"/>
    <col min="7694" max="7694" width="14.33203125" style="12" customWidth="1"/>
    <col min="7695" max="7936" width="9.109375" style="12"/>
    <col min="7937" max="7937" width="3.5546875" style="12" customWidth="1"/>
    <col min="7938" max="7938" width="17.109375" style="12" customWidth="1"/>
    <col min="7939" max="7939" width="48" style="12" bestFit="1" customWidth="1"/>
    <col min="7940" max="7940" width="50.88671875" style="12" customWidth="1"/>
    <col min="7941" max="7941" width="11.33203125" style="12" bestFit="1" customWidth="1"/>
    <col min="7942" max="7943" width="9.109375" style="12"/>
    <col min="7944" max="7944" width="13.33203125" style="12" customWidth="1"/>
    <col min="7945" max="7945" width="14" style="12" customWidth="1"/>
    <col min="7946" max="7947" width="9.33203125" style="12" customWidth="1"/>
    <col min="7948" max="7948" width="9.33203125" style="12" bestFit="1" customWidth="1"/>
    <col min="7949" max="7949" width="9.109375" style="12"/>
    <col min="7950" max="7950" width="14.33203125" style="12" customWidth="1"/>
    <col min="7951" max="8192" width="9.109375" style="12"/>
    <col min="8193" max="8193" width="3.5546875" style="12" customWidth="1"/>
    <col min="8194" max="8194" width="17.109375" style="12" customWidth="1"/>
    <col min="8195" max="8195" width="48" style="12" bestFit="1" customWidth="1"/>
    <col min="8196" max="8196" width="50.88671875" style="12" customWidth="1"/>
    <col min="8197" max="8197" width="11.33203125" style="12" bestFit="1" customWidth="1"/>
    <col min="8198" max="8199" width="9.109375" style="12"/>
    <col min="8200" max="8200" width="13.33203125" style="12" customWidth="1"/>
    <col min="8201" max="8201" width="14" style="12" customWidth="1"/>
    <col min="8202" max="8203" width="9.33203125" style="12" customWidth="1"/>
    <col min="8204" max="8204" width="9.33203125" style="12" bestFit="1" customWidth="1"/>
    <col min="8205" max="8205" width="9.109375" style="12"/>
    <col min="8206" max="8206" width="14.33203125" style="12" customWidth="1"/>
    <col min="8207" max="8448" width="9.109375" style="12"/>
    <col min="8449" max="8449" width="3.5546875" style="12" customWidth="1"/>
    <col min="8450" max="8450" width="17.109375" style="12" customWidth="1"/>
    <col min="8451" max="8451" width="48" style="12" bestFit="1" customWidth="1"/>
    <col min="8452" max="8452" width="50.88671875" style="12" customWidth="1"/>
    <col min="8453" max="8453" width="11.33203125" style="12" bestFit="1" customWidth="1"/>
    <col min="8454" max="8455" width="9.109375" style="12"/>
    <col min="8456" max="8456" width="13.33203125" style="12" customWidth="1"/>
    <col min="8457" max="8457" width="14" style="12" customWidth="1"/>
    <col min="8458" max="8459" width="9.33203125" style="12" customWidth="1"/>
    <col min="8460" max="8460" width="9.33203125" style="12" bestFit="1" customWidth="1"/>
    <col min="8461" max="8461" width="9.109375" style="12"/>
    <col min="8462" max="8462" width="14.33203125" style="12" customWidth="1"/>
    <col min="8463" max="8704" width="9.109375" style="12"/>
    <col min="8705" max="8705" width="3.5546875" style="12" customWidth="1"/>
    <col min="8706" max="8706" width="17.109375" style="12" customWidth="1"/>
    <col min="8707" max="8707" width="48" style="12" bestFit="1" customWidth="1"/>
    <col min="8708" max="8708" width="50.88671875" style="12" customWidth="1"/>
    <col min="8709" max="8709" width="11.33203125" style="12" bestFit="1" customWidth="1"/>
    <col min="8710" max="8711" width="9.109375" style="12"/>
    <col min="8712" max="8712" width="13.33203125" style="12" customWidth="1"/>
    <col min="8713" max="8713" width="14" style="12" customWidth="1"/>
    <col min="8714" max="8715" width="9.33203125" style="12" customWidth="1"/>
    <col min="8716" max="8716" width="9.33203125" style="12" bestFit="1" customWidth="1"/>
    <col min="8717" max="8717" width="9.109375" style="12"/>
    <col min="8718" max="8718" width="14.33203125" style="12" customWidth="1"/>
    <col min="8719" max="8960" width="9.109375" style="12"/>
    <col min="8961" max="8961" width="3.5546875" style="12" customWidth="1"/>
    <col min="8962" max="8962" width="17.109375" style="12" customWidth="1"/>
    <col min="8963" max="8963" width="48" style="12" bestFit="1" customWidth="1"/>
    <col min="8964" max="8964" width="50.88671875" style="12" customWidth="1"/>
    <col min="8965" max="8965" width="11.33203125" style="12" bestFit="1" customWidth="1"/>
    <col min="8966" max="8967" width="9.109375" style="12"/>
    <col min="8968" max="8968" width="13.33203125" style="12" customWidth="1"/>
    <col min="8969" max="8969" width="14" style="12" customWidth="1"/>
    <col min="8970" max="8971" width="9.33203125" style="12" customWidth="1"/>
    <col min="8972" max="8972" width="9.33203125" style="12" bestFit="1" customWidth="1"/>
    <col min="8973" max="8973" width="9.109375" style="12"/>
    <col min="8974" max="8974" width="14.33203125" style="12" customWidth="1"/>
    <col min="8975" max="9216" width="9.109375" style="12"/>
    <col min="9217" max="9217" width="3.5546875" style="12" customWidth="1"/>
    <col min="9218" max="9218" width="17.109375" style="12" customWidth="1"/>
    <col min="9219" max="9219" width="48" style="12" bestFit="1" customWidth="1"/>
    <col min="9220" max="9220" width="50.88671875" style="12" customWidth="1"/>
    <col min="9221" max="9221" width="11.33203125" style="12" bestFit="1" customWidth="1"/>
    <col min="9222" max="9223" width="9.109375" style="12"/>
    <col min="9224" max="9224" width="13.33203125" style="12" customWidth="1"/>
    <col min="9225" max="9225" width="14" style="12" customWidth="1"/>
    <col min="9226" max="9227" width="9.33203125" style="12" customWidth="1"/>
    <col min="9228" max="9228" width="9.33203125" style="12" bestFit="1" customWidth="1"/>
    <col min="9229" max="9229" width="9.109375" style="12"/>
    <col min="9230" max="9230" width="14.33203125" style="12" customWidth="1"/>
    <col min="9231" max="9472" width="9.109375" style="12"/>
    <col min="9473" max="9473" width="3.5546875" style="12" customWidth="1"/>
    <col min="9474" max="9474" width="17.109375" style="12" customWidth="1"/>
    <col min="9475" max="9475" width="48" style="12" bestFit="1" customWidth="1"/>
    <col min="9476" max="9476" width="50.88671875" style="12" customWidth="1"/>
    <col min="9477" max="9477" width="11.33203125" style="12" bestFit="1" customWidth="1"/>
    <col min="9478" max="9479" width="9.109375" style="12"/>
    <col min="9480" max="9480" width="13.33203125" style="12" customWidth="1"/>
    <col min="9481" max="9481" width="14" style="12" customWidth="1"/>
    <col min="9482" max="9483" width="9.33203125" style="12" customWidth="1"/>
    <col min="9484" max="9484" width="9.33203125" style="12" bestFit="1" customWidth="1"/>
    <col min="9485" max="9485" width="9.109375" style="12"/>
    <col min="9486" max="9486" width="14.33203125" style="12" customWidth="1"/>
    <col min="9487" max="9728" width="9.109375" style="12"/>
    <col min="9729" max="9729" width="3.5546875" style="12" customWidth="1"/>
    <col min="9730" max="9730" width="17.109375" style="12" customWidth="1"/>
    <col min="9731" max="9731" width="48" style="12" bestFit="1" customWidth="1"/>
    <col min="9732" max="9732" width="50.88671875" style="12" customWidth="1"/>
    <col min="9733" max="9733" width="11.33203125" style="12" bestFit="1" customWidth="1"/>
    <col min="9734" max="9735" width="9.109375" style="12"/>
    <col min="9736" max="9736" width="13.33203125" style="12" customWidth="1"/>
    <col min="9737" max="9737" width="14" style="12" customWidth="1"/>
    <col min="9738" max="9739" width="9.33203125" style="12" customWidth="1"/>
    <col min="9740" max="9740" width="9.33203125" style="12" bestFit="1" customWidth="1"/>
    <col min="9741" max="9741" width="9.109375" style="12"/>
    <col min="9742" max="9742" width="14.33203125" style="12" customWidth="1"/>
    <col min="9743" max="9984" width="9.109375" style="12"/>
    <col min="9985" max="9985" width="3.5546875" style="12" customWidth="1"/>
    <col min="9986" max="9986" width="17.109375" style="12" customWidth="1"/>
    <col min="9987" max="9987" width="48" style="12" bestFit="1" customWidth="1"/>
    <col min="9988" max="9988" width="50.88671875" style="12" customWidth="1"/>
    <col min="9989" max="9989" width="11.33203125" style="12" bestFit="1" customWidth="1"/>
    <col min="9990" max="9991" width="9.109375" style="12"/>
    <col min="9992" max="9992" width="13.33203125" style="12" customWidth="1"/>
    <col min="9993" max="9993" width="14" style="12" customWidth="1"/>
    <col min="9994" max="9995" width="9.33203125" style="12" customWidth="1"/>
    <col min="9996" max="9996" width="9.33203125" style="12" bestFit="1" customWidth="1"/>
    <col min="9997" max="9997" width="9.109375" style="12"/>
    <col min="9998" max="9998" width="14.33203125" style="12" customWidth="1"/>
    <col min="9999" max="10240" width="9.109375" style="12"/>
    <col min="10241" max="10241" width="3.5546875" style="12" customWidth="1"/>
    <col min="10242" max="10242" width="17.109375" style="12" customWidth="1"/>
    <col min="10243" max="10243" width="48" style="12" bestFit="1" customWidth="1"/>
    <col min="10244" max="10244" width="50.88671875" style="12" customWidth="1"/>
    <col min="10245" max="10245" width="11.33203125" style="12" bestFit="1" customWidth="1"/>
    <col min="10246" max="10247" width="9.109375" style="12"/>
    <col min="10248" max="10248" width="13.33203125" style="12" customWidth="1"/>
    <col min="10249" max="10249" width="14" style="12" customWidth="1"/>
    <col min="10250" max="10251" width="9.33203125" style="12" customWidth="1"/>
    <col min="10252" max="10252" width="9.33203125" style="12" bestFit="1" customWidth="1"/>
    <col min="10253" max="10253" width="9.109375" style="12"/>
    <col min="10254" max="10254" width="14.33203125" style="12" customWidth="1"/>
    <col min="10255" max="10496" width="9.109375" style="12"/>
    <col min="10497" max="10497" width="3.5546875" style="12" customWidth="1"/>
    <col min="10498" max="10498" width="17.109375" style="12" customWidth="1"/>
    <col min="10499" max="10499" width="48" style="12" bestFit="1" customWidth="1"/>
    <col min="10500" max="10500" width="50.88671875" style="12" customWidth="1"/>
    <col min="10501" max="10501" width="11.33203125" style="12" bestFit="1" customWidth="1"/>
    <col min="10502" max="10503" width="9.109375" style="12"/>
    <col min="10504" max="10504" width="13.33203125" style="12" customWidth="1"/>
    <col min="10505" max="10505" width="14" style="12" customWidth="1"/>
    <col min="10506" max="10507" width="9.33203125" style="12" customWidth="1"/>
    <col min="10508" max="10508" width="9.33203125" style="12" bestFit="1" customWidth="1"/>
    <col min="10509" max="10509" width="9.109375" style="12"/>
    <col min="10510" max="10510" width="14.33203125" style="12" customWidth="1"/>
    <col min="10511" max="10752" width="9.109375" style="12"/>
    <col min="10753" max="10753" width="3.5546875" style="12" customWidth="1"/>
    <col min="10754" max="10754" width="17.109375" style="12" customWidth="1"/>
    <col min="10755" max="10755" width="48" style="12" bestFit="1" customWidth="1"/>
    <col min="10756" max="10756" width="50.88671875" style="12" customWidth="1"/>
    <col min="10757" max="10757" width="11.33203125" style="12" bestFit="1" customWidth="1"/>
    <col min="10758" max="10759" width="9.109375" style="12"/>
    <col min="10760" max="10760" width="13.33203125" style="12" customWidth="1"/>
    <col min="10761" max="10761" width="14" style="12" customWidth="1"/>
    <col min="10762" max="10763" width="9.33203125" style="12" customWidth="1"/>
    <col min="10764" max="10764" width="9.33203125" style="12" bestFit="1" customWidth="1"/>
    <col min="10765" max="10765" width="9.109375" style="12"/>
    <col min="10766" max="10766" width="14.33203125" style="12" customWidth="1"/>
    <col min="10767" max="11008" width="9.109375" style="12"/>
    <col min="11009" max="11009" width="3.5546875" style="12" customWidth="1"/>
    <col min="11010" max="11010" width="17.109375" style="12" customWidth="1"/>
    <col min="11011" max="11011" width="48" style="12" bestFit="1" customWidth="1"/>
    <col min="11012" max="11012" width="50.88671875" style="12" customWidth="1"/>
    <col min="11013" max="11013" width="11.33203125" style="12" bestFit="1" customWidth="1"/>
    <col min="11014" max="11015" width="9.109375" style="12"/>
    <col min="11016" max="11016" width="13.33203125" style="12" customWidth="1"/>
    <col min="11017" max="11017" width="14" style="12" customWidth="1"/>
    <col min="11018" max="11019" width="9.33203125" style="12" customWidth="1"/>
    <col min="11020" max="11020" width="9.33203125" style="12" bestFit="1" customWidth="1"/>
    <col min="11021" max="11021" width="9.109375" style="12"/>
    <col min="11022" max="11022" width="14.33203125" style="12" customWidth="1"/>
    <col min="11023" max="11264" width="9.109375" style="12"/>
    <col min="11265" max="11265" width="3.5546875" style="12" customWidth="1"/>
    <col min="11266" max="11266" width="17.109375" style="12" customWidth="1"/>
    <col min="11267" max="11267" width="48" style="12" bestFit="1" customWidth="1"/>
    <col min="11268" max="11268" width="50.88671875" style="12" customWidth="1"/>
    <col min="11269" max="11269" width="11.33203125" style="12" bestFit="1" customWidth="1"/>
    <col min="11270" max="11271" width="9.109375" style="12"/>
    <col min="11272" max="11272" width="13.33203125" style="12" customWidth="1"/>
    <col min="11273" max="11273" width="14" style="12" customWidth="1"/>
    <col min="11274" max="11275" width="9.33203125" style="12" customWidth="1"/>
    <col min="11276" max="11276" width="9.33203125" style="12" bestFit="1" customWidth="1"/>
    <col min="11277" max="11277" width="9.109375" style="12"/>
    <col min="11278" max="11278" width="14.33203125" style="12" customWidth="1"/>
    <col min="11279" max="11520" width="9.109375" style="12"/>
    <col min="11521" max="11521" width="3.5546875" style="12" customWidth="1"/>
    <col min="11522" max="11522" width="17.109375" style="12" customWidth="1"/>
    <col min="11523" max="11523" width="48" style="12" bestFit="1" customWidth="1"/>
    <col min="11524" max="11524" width="50.88671875" style="12" customWidth="1"/>
    <col min="11525" max="11525" width="11.33203125" style="12" bestFit="1" customWidth="1"/>
    <col min="11526" max="11527" width="9.109375" style="12"/>
    <col min="11528" max="11528" width="13.33203125" style="12" customWidth="1"/>
    <col min="11529" max="11529" width="14" style="12" customWidth="1"/>
    <col min="11530" max="11531" width="9.33203125" style="12" customWidth="1"/>
    <col min="11532" max="11532" width="9.33203125" style="12" bestFit="1" customWidth="1"/>
    <col min="11533" max="11533" width="9.109375" style="12"/>
    <col min="11534" max="11534" width="14.33203125" style="12" customWidth="1"/>
    <col min="11535" max="11776" width="9.109375" style="12"/>
    <col min="11777" max="11777" width="3.5546875" style="12" customWidth="1"/>
    <col min="11778" max="11778" width="17.109375" style="12" customWidth="1"/>
    <col min="11779" max="11779" width="48" style="12" bestFit="1" customWidth="1"/>
    <col min="11780" max="11780" width="50.88671875" style="12" customWidth="1"/>
    <col min="11781" max="11781" width="11.33203125" style="12" bestFit="1" customWidth="1"/>
    <col min="11782" max="11783" width="9.109375" style="12"/>
    <col min="11784" max="11784" width="13.33203125" style="12" customWidth="1"/>
    <col min="11785" max="11785" width="14" style="12" customWidth="1"/>
    <col min="11786" max="11787" width="9.33203125" style="12" customWidth="1"/>
    <col min="11788" max="11788" width="9.33203125" style="12" bestFit="1" customWidth="1"/>
    <col min="11789" max="11789" width="9.109375" style="12"/>
    <col min="11790" max="11790" width="14.33203125" style="12" customWidth="1"/>
    <col min="11791" max="12032" width="9.109375" style="12"/>
    <col min="12033" max="12033" width="3.5546875" style="12" customWidth="1"/>
    <col min="12034" max="12034" width="17.109375" style="12" customWidth="1"/>
    <col min="12035" max="12035" width="48" style="12" bestFit="1" customWidth="1"/>
    <col min="12036" max="12036" width="50.88671875" style="12" customWidth="1"/>
    <col min="12037" max="12037" width="11.33203125" style="12" bestFit="1" customWidth="1"/>
    <col min="12038" max="12039" width="9.109375" style="12"/>
    <col min="12040" max="12040" width="13.33203125" style="12" customWidth="1"/>
    <col min="12041" max="12041" width="14" style="12" customWidth="1"/>
    <col min="12042" max="12043" width="9.33203125" style="12" customWidth="1"/>
    <col min="12044" max="12044" width="9.33203125" style="12" bestFit="1" customWidth="1"/>
    <col min="12045" max="12045" width="9.109375" style="12"/>
    <col min="12046" max="12046" width="14.33203125" style="12" customWidth="1"/>
    <col min="12047" max="12288" width="9.109375" style="12"/>
    <col min="12289" max="12289" width="3.5546875" style="12" customWidth="1"/>
    <col min="12290" max="12290" width="17.109375" style="12" customWidth="1"/>
    <col min="12291" max="12291" width="48" style="12" bestFit="1" customWidth="1"/>
    <col min="12292" max="12292" width="50.88671875" style="12" customWidth="1"/>
    <col min="12293" max="12293" width="11.33203125" style="12" bestFit="1" customWidth="1"/>
    <col min="12294" max="12295" width="9.109375" style="12"/>
    <col min="12296" max="12296" width="13.33203125" style="12" customWidth="1"/>
    <col min="12297" max="12297" width="14" style="12" customWidth="1"/>
    <col min="12298" max="12299" width="9.33203125" style="12" customWidth="1"/>
    <col min="12300" max="12300" width="9.33203125" style="12" bestFit="1" customWidth="1"/>
    <col min="12301" max="12301" width="9.109375" style="12"/>
    <col min="12302" max="12302" width="14.33203125" style="12" customWidth="1"/>
    <col min="12303" max="12544" width="9.109375" style="12"/>
    <col min="12545" max="12545" width="3.5546875" style="12" customWidth="1"/>
    <col min="12546" max="12546" width="17.109375" style="12" customWidth="1"/>
    <col min="12547" max="12547" width="48" style="12" bestFit="1" customWidth="1"/>
    <col min="12548" max="12548" width="50.88671875" style="12" customWidth="1"/>
    <col min="12549" max="12549" width="11.33203125" style="12" bestFit="1" customWidth="1"/>
    <col min="12550" max="12551" width="9.109375" style="12"/>
    <col min="12552" max="12552" width="13.33203125" style="12" customWidth="1"/>
    <col min="12553" max="12553" width="14" style="12" customWidth="1"/>
    <col min="12554" max="12555" width="9.33203125" style="12" customWidth="1"/>
    <col min="12556" max="12556" width="9.33203125" style="12" bestFit="1" customWidth="1"/>
    <col min="12557" max="12557" width="9.109375" style="12"/>
    <col min="12558" max="12558" width="14.33203125" style="12" customWidth="1"/>
    <col min="12559" max="12800" width="9.109375" style="12"/>
    <col min="12801" max="12801" width="3.5546875" style="12" customWidth="1"/>
    <col min="12802" max="12802" width="17.109375" style="12" customWidth="1"/>
    <col min="12803" max="12803" width="48" style="12" bestFit="1" customWidth="1"/>
    <col min="12804" max="12804" width="50.88671875" style="12" customWidth="1"/>
    <col min="12805" max="12805" width="11.33203125" style="12" bestFit="1" customWidth="1"/>
    <col min="12806" max="12807" width="9.109375" style="12"/>
    <col min="12808" max="12808" width="13.33203125" style="12" customWidth="1"/>
    <col min="12809" max="12809" width="14" style="12" customWidth="1"/>
    <col min="12810" max="12811" width="9.33203125" style="12" customWidth="1"/>
    <col min="12812" max="12812" width="9.33203125" style="12" bestFit="1" customWidth="1"/>
    <col min="12813" max="12813" width="9.109375" style="12"/>
    <col min="12814" max="12814" width="14.33203125" style="12" customWidth="1"/>
    <col min="12815" max="13056" width="9.109375" style="12"/>
    <col min="13057" max="13057" width="3.5546875" style="12" customWidth="1"/>
    <col min="13058" max="13058" width="17.109375" style="12" customWidth="1"/>
    <col min="13059" max="13059" width="48" style="12" bestFit="1" customWidth="1"/>
    <col min="13060" max="13060" width="50.88671875" style="12" customWidth="1"/>
    <col min="13061" max="13061" width="11.33203125" style="12" bestFit="1" customWidth="1"/>
    <col min="13062" max="13063" width="9.109375" style="12"/>
    <col min="13064" max="13064" width="13.33203125" style="12" customWidth="1"/>
    <col min="13065" max="13065" width="14" style="12" customWidth="1"/>
    <col min="13066" max="13067" width="9.33203125" style="12" customWidth="1"/>
    <col min="13068" max="13068" width="9.33203125" style="12" bestFit="1" customWidth="1"/>
    <col min="13069" max="13069" width="9.109375" style="12"/>
    <col min="13070" max="13070" width="14.33203125" style="12" customWidth="1"/>
    <col min="13071" max="13312" width="9.109375" style="12"/>
    <col min="13313" max="13313" width="3.5546875" style="12" customWidth="1"/>
    <col min="13314" max="13314" width="17.109375" style="12" customWidth="1"/>
    <col min="13315" max="13315" width="48" style="12" bestFit="1" customWidth="1"/>
    <col min="13316" max="13316" width="50.88671875" style="12" customWidth="1"/>
    <col min="13317" max="13317" width="11.33203125" style="12" bestFit="1" customWidth="1"/>
    <col min="13318" max="13319" width="9.109375" style="12"/>
    <col min="13320" max="13320" width="13.33203125" style="12" customWidth="1"/>
    <col min="13321" max="13321" width="14" style="12" customWidth="1"/>
    <col min="13322" max="13323" width="9.33203125" style="12" customWidth="1"/>
    <col min="13324" max="13324" width="9.33203125" style="12" bestFit="1" customWidth="1"/>
    <col min="13325" max="13325" width="9.109375" style="12"/>
    <col min="13326" max="13326" width="14.33203125" style="12" customWidth="1"/>
    <col min="13327" max="13568" width="9.109375" style="12"/>
    <col min="13569" max="13569" width="3.5546875" style="12" customWidth="1"/>
    <col min="13570" max="13570" width="17.109375" style="12" customWidth="1"/>
    <col min="13571" max="13571" width="48" style="12" bestFit="1" customWidth="1"/>
    <col min="13572" max="13572" width="50.88671875" style="12" customWidth="1"/>
    <col min="13573" max="13573" width="11.33203125" style="12" bestFit="1" customWidth="1"/>
    <col min="13574" max="13575" width="9.109375" style="12"/>
    <col min="13576" max="13576" width="13.33203125" style="12" customWidth="1"/>
    <col min="13577" max="13577" width="14" style="12" customWidth="1"/>
    <col min="13578" max="13579" width="9.33203125" style="12" customWidth="1"/>
    <col min="13580" max="13580" width="9.33203125" style="12" bestFit="1" customWidth="1"/>
    <col min="13581" max="13581" width="9.109375" style="12"/>
    <col min="13582" max="13582" width="14.33203125" style="12" customWidth="1"/>
    <col min="13583" max="13824" width="9.109375" style="12"/>
    <col min="13825" max="13825" width="3.5546875" style="12" customWidth="1"/>
    <col min="13826" max="13826" width="17.109375" style="12" customWidth="1"/>
    <col min="13827" max="13827" width="48" style="12" bestFit="1" customWidth="1"/>
    <col min="13828" max="13828" width="50.88671875" style="12" customWidth="1"/>
    <col min="13829" max="13829" width="11.33203125" style="12" bestFit="1" customWidth="1"/>
    <col min="13830" max="13831" width="9.109375" style="12"/>
    <col min="13832" max="13832" width="13.33203125" style="12" customWidth="1"/>
    <col min="13833" max="13833" width="14" style="12" customWidth="1"/>
    <col min="13834" max="13835" width="9.33203125" style="12" customWidth="1"/>
    <col min="13836" max="13836" width="9.33203125" style="12" bestFit="1" customWidth="1"/>
    <col min="13837" max="13837" width="9.109375" style="12"/>
    <col min="13838" max="13838" width="14.33203125" style="12" customWidth="1"/>
    <col min="13839" max="14080" width="9.109375" style="12"/>
    <col min="14081" max="14081" width="3.5546875" style="12" customWidth="1"/>
    <col min="14082" max="14082" width="17.109375" style="12" customWidth="1"/>
    <col min="14083" max="14083" width="48" style="12" bestFit="1" customWidth="1"/>
    <col min="14084" max="14084" width="50.88671875" style="12" customWidth="1"/>
    <col min="14085" max="14085" width="11.33203125" style="12" bestFit="1" customWidth="1"/>
    <col min="14086" max="14087" width="9.109375" style="12"/>
    <col min="14088" max="14088" width="13.33203125" style="12" customWidth="1"/>
    <col min="14089" max="14089" width="14" style="12" customWidth="1"/>
    <col min="14090" max="14091" width="9.33203125" style="12" customWidth="1"/>
    <col min="14092" max="14092" width="9.33203125" style="12" bestFit="1" customWidth="1"/>
    <col min="14093" max="14093" width="9.109375" style="12"/>
    <col min="14094" max="14094" width="14.33203125" style="12" customWidth="1"/>
    <col min="14095" max="14336" width="9.109375" style="12"/>
    <col min="14337" max="14337" width="3.5546875" style="12" customWidth="1"/>
    <col min="14338" max="14338" width="17.109375" style="12" customWidth="1"/>
    <col min="14339" max="14339" width="48" style="12" bestFit="1" customWidth="1"/>
    <col min="14340" max="14340" width="50.88671875" style="12" customWidth="1"/>
    <col min="14341" max="14341" width="11.33203125" style="12" bestFit="1" customWidth="1"/>
    <col min="14342" max="14343" width="9.109375" style="12"/>
    <col min="14344" max="14344" width="13.33203125" style="12" customWidth="1"/>
    <col min="14345" max="14345" width="14" style="12" customWidth="1"/>
    <col min="14346" max="14347" width="9.33203125" style="12" customWidth="1"/>
    <col min="14348" max="14348" width="9.33203125" style="12" bestFit="1" customWidth="1"/>
    <col min="14349" max="14349" width="9.109375" style="12"/>
    <col min="14350" max="14350" width="14.33203125" style="12" customWidth="1"/>
    <col min="14351" max="14592" width="9.109375" style="12"/>
    <col min="14593" max="14593" width="3.5546875" style="12" customWidth="1"/>
    <col min="14594" max="14594" width="17.109375" style="12" customWidth="1"/>
    <col min="14595" max="14595" width="48" style="12" bestFit="1" customWidth="1"/>
    <col min="14596" max="14596" width="50.88671875" style="12" customWidth="1"/>
    <col min="14597" max="14597" width="11.33203125" style="12" bestFit="1" customWidth="1"/>
    <col min="14598" max="14599" width="9.109375" style="12"/>
    <col min="14600" max="14600" width="13.33203125" style="12" customWidth="1"/>
    <col min="14601" max="14601" width="14" style="12" customWidth="1"/>
    <col min="14602" max="14603" width="9.33203125" style="12" customWidth="1"/>
    <col min="14604" max="14604" width="9.33203125" style="12" bestFit="1" customWidth="1"/>
    <col min="14605" max="14605" width="9.109375" style="12"/>
    <col min="14606" max="14606" width="14.33203125" style="12" customWidth="1"/>
    <col min="14607" max="14848" width="9.109375" style="12"/>
    <col min="14849" max="14849" width="3.5546875" style="12" customWidth="1"/>
    <col min="14850" max="14850" width="17.109375" style="12" customWidth="1"/>
    <col min="14851" max="14851" width="48" style="12" bestFit="1" customWidth="1"/>
    <col min="14852" max="14852" width="50.88671875" style="12" customWidth="1"/>
    <col min="14853" max="14853" width="11.33203125" style="12" bestFit="1" customWidth="1"/>
    <col min="14854" max="14855" width="9.109375" style="12"/>
    <col min="14856" max="14856" width="13.33203125" style="12" customWidth="1"/>
    <col min="14857" max="14857" width="14" style="12" customWidth="1"/>
    <col min="14858" max="14859" width="9.33203125" style="12" customWidth="1"/>
    <col min="14860" max="14860" width="9.33203125" style="12" bestFit="1" customWidth="1"/>
    <col min="14861" max="14861" width="9.109375" style="12"/>
    <col min="14862" max="14862" width="14.33203125" style="12" customWidth="1"/>
    <col min="14863" max="15104" width="9.109375" style="12"/>
    <col min="15105" max="15105" width="3.5546875" style="12" customWidth="1"/>
    <col min="15106" max="15106" width="17.109375" style="12" customWidth="1"/>
    <col min="15107" max="15107" width="48" style="12" bestFit="1" customWidth="1"/>
    <col min="15108" max="15108" width="50.88671875" style="12" customWidth="1"/>
    <col min="15109" max="15109" width="11.33203125" style="12" bestFit="1" customWidth="1"/>
    <col min="15110" max="15111" width="9.109375" style="12"/>
    <col min="15112" max="15112" width="13.33203125" style="12" customWidth="1"/>
    <col min="15113" max="15113" width="14" style="12" customWidth="1"/>
    <col min="15114" max="15115" width="9.33203125" style="12" customWidth="1"/>
    <col min="15116" max="15116" width="9.33203125" style="12" bestFit="1" customWidth="1"/>
    <col min="15117" max="15117" width="9.109375" style="12"/>
    <col min="15118" max="15118" width="14.33203125" style="12" customWidth="1"/>
    <col min="15119" max="15360" width="9.109375" style="12"/>
    <col min="15361" max="15361" width="3.5546875" style="12" customWidth="1"/>
    <col min="15362" max="15362" width="17.109375" style="12" customWidth="1"/>
    <col min="15363" max="15363" width="48" style="12" bestFit="1" customWidth="1"/>
    <col min="15364" max="15364" width="50.88671875" style="12" customWidth="1"/>
    <col min="15365" max="15365" width="11.33203125" style="12" bestFit="1" customWidth="1"/>
    <col min="15366" max="15367" width="9.109375" style="12"/>
    <col min="15368" max="15368" width="13.33203125" style="12" customWidth="1"/>
    <col min="15369" max="15369" width="14" style="12" customWidth="1"/>
    <col min="15370" max="15371" width="9.33203125" style="12" customWidth="1"/>
    <col min="15372" max="15372" width="9.33203125" style="12" bestFit="1" customWidth="1"/>
    <col min="15373" max="15373" width="9.109375" style="12"/>
    <col min="15374" max="15374" width="14.33203125" style="12" customWidth="1"/>
    <col min="15375" max="15616" width="9.109375" style="12"/>
    <col min="15617" max="15617" width="3.5546875" style="12" customWidth="1"/>
    <col min="15618" max="15618" width="17.109375" style="12" customWidth="1"/>
    <col min="15619" max="15619" width="48" style="12" bestFit="1" customWidth="1"/>
    <col min="15620" max="15620" width="50.88671875" style="12" customWidth="1"/>
    <col min="15621" max="15621" width="11.33203125" style="12" bestFit="1" customWidth="1"/>
    <col min="15622" max="15623" width="9.109375" style="12"/>
    <col min="15624" max="15624" width="13.33203125" style="12" customWidth="1"/>
    <col min="15625" max="15625" width="14" style="12" customWidth="1"/>
    <col min="15626" max="15627" width="9.33203125" style="12" customWidth="1"/>
    <col min="15628" max="15628" width="9.33203125" style="12" bestFit="1" customWidth="1"/>
    <col min="15629" max="15629" width="9.109375" style="12"/>
    <col min="15630" max="15630" width="14.33203125" style="12" customWidth="1"/>
    <col min="15631" max="15872" width="9.109375" style="12"/>
    <col min="15873" max="15873" width="3.5546875" style="12" customWidth="1"/>
    <col min="15874" max="15874" width="17.109375" style="12" customWidth="1"/>
    <col min="15875" max="15875" width="48" style="12" bestFit="1" customWidth="1"/>
    <col min="15876" max="15876" width="50.88671875" style="12" customWidth="1"/>
    <col min="15877" max="15877" width="11.33203125" style="12" bestFit="1" customWidth="1"/>
    <col min="15878" max="15879" width="9.109375" style="12"/>
    <col min="15880" max="15880" width="13.33203125" style="12" customWidth="1"/>
    <col min="15881" max="15881" width="14" style="12" customWidth="1"/>
    <col min="15882" max="15883" width="9.33203125" style="12" customWidth="1"/>
    <col min="15884" max="15884" width="9.33203125" style="12" bestFit="1" customWidth="1"/>
    <col min="15885" max="15885" width="9.109375" style="12"/>
    <col min="15886" max="15886" width="14.33203125" style="12" customWidth="1"/>
    <col min="15887" max="16128" width="9.109375" style="12"/>
    <col min="16129" max="16129" width="3.5546875" style="12" customWidth="1"/>
    <col min="16130" max="16130" width="17.109375" style="12" customWidth="1"/>
    <col min="16131" max="16131" width="48" style="12" bestFit="1" customWidth="1"/>
    <col min="16132" max="16132" width="50.88671875" style="12" customWidth="1"/>
    <col min="16133" max="16133" width="11.33203125" style="12" bestFit="1" customWidth="1"/>
    <col min="16134" max="16135" width="9.109375" style="12"/>
    <col min="16136" max="16136" width="13.33203125" style="12" customWidth="1"/>
    <col min="16137" max="16137" width="14" style="12" customWidth="1"/>
    <col min="16138" max="16139" width="9.33203125" style="12" customWidth="1"/>
    <col min="16140" max="16140" width="9.33203125" style="12" bestFit="1" customWidth="1"/>
    <col min="16141" max="16141" width="9.109375" style="12"/>
    <col min="16142" max="16142" width="14.33203125" style="12" customWidth="1"/>
    <col min="16143" max="16384" width="9.109375" style="12"/>
  </cols>
  <sheetData>
    <row r="3" spans="2:14" x14ac:dyDescent="0.25">
      <c r="E3" s="161" t="s">
        <v>0</v>
      </c>
      <c r="F3" s="161"/>
      <c r="G3" s="161"/>
      <c r="H3" s="161"/>
      <c r="I3" s="161"/>
      <c r="J3" s="161"/>
      <c r="K3" s="161"/>
      <c r="L3" s="161"/>
      <c r="M3" s="161"/>
      <c r="N3" s="161"/>
    </row>
    <row r="4" spans="2:14" x14ac:dyDescent="0.25">
      <c r="B4" s="12" t="s">
        <v>1</v>
      </c>
      <c r="C4" s="57" t="s">
        <v>2</v>
      </c>
      <c r="D4" s="57" t="s">
        <v>3</v>
      </c>
      <c r="E4" s="57" t="s">
        <v>4</v>
      </c>
      <c r="F4" s="12" t="s">
        <v>74</v>
      </c>
      <c r="G4" s="161"/>
      <c r="H4" s="161"/>
      <c r="I4" s="161"/>
      <c r="J4" s="161"/>
      <c r="K4" s="161"/>
      <c r="L4" s="161"/>
      <c r="M4" s="161"/>
      <c r="N4" s="161"/>
    </row>
    <row r="5" spans="2:14" x14ac:dyDescent="0.25">
      <c r="B5" s="12" t="s">
        <v>1065</v>
      </c>
      <c r="C5" s="12" t="s">
        <v>1066</v>
      </c>
      <c r="E5" s="12" t="s">
        <v>1064</v>
      </c>
      <c r="F5" s="12">
        <v>1.25</v>
      </c>
      <c r="G5" s="161"/>
      <c r="H5" s="161"/>
      <c r="I5" s="161"/>
      <c r="J5" s="161"/>
      <c r="K5" s="161"/>
      <c r="L5" s="161"/>
      <c r="M5" s="161"/>
      <c r="N5" s="161"/>
    </row>
    <row r="6" spans="2:14" x14ac:dyDescent="0.25">
      <c r="F6" s="161"/>
      <c r="G6" s="161"/>
      <c r="H6" s="161"/>
      <c r="I6" s="161"/>
      <c r="J6" s="161"/>
      <c r="K6" s="161"/>
      <c r="L6" s="161"/>
      <c r="M6" s="161"/>
      <c r="N6" s="161"/>
    </row>
    <row r="7" spans="2:14" x14ac:dyDescent="0.25">
      <c r="B7" s="56" t="s">
        <v>17</v>
      </c>
      <c r="C7" s="57"/>
      <c r="D7" s="57"/>
      <c r="E7" s="57"/>
      <c r="F7" s="57"/>
      <c r="G7" s="57"/>
      <c r="H7" s="57"/>
      <c r="I7" s="57"/>
    </row>
    <row r="8" spans="2:14" x14ac:dyDescent="0.25">
      <c r="B8" s="12" t="s">
        <v>16</v>
      </c>
      <c r="C8" s="12" t="s">
        <v>1</v>
      </c>
      <c r="D8" s="12" t="s">
        <v>2</v>
      </c>
      <c r="E8" s="12" t="s">
        <v>18</v>
      </c>
      <c r="I8" s="57"/>
    </row>
    <row r="9" spans="2:14" x14ac:dyDescent="0.25">
      <c r="B9" s="57" t="s">
        <v>754</v>
      </c>
      <c r="C9" s="57" t="s">
        <v>1065</v>
      </c>
      <c r="D9" s="57" t="s">
        <v>1066</v>
      </c>
      <c r="E9" s="57" t="s">
        <v>807</v>
      </c>
      <c r="F9" s="57"/>
      <c r="G9" s="57"/>
      <c r="H9" s="57"/>
      <c r="I9" s="57"/>
    </row>
    <row r="11" spans="2:14" x14ac:dyDescent="0.25">
      <c r="B11" s="161" t="s">
        <v>7</v>
      </c>
      <c r="C11" s="57"/>
      <c r="D11" s="57"/>
      <c r="E11" s="57"/>
    </row>
    <row r="12" spans="2:14" x14ac:dyDescent="0.25">
      <c r="B12" s="12" t="s">
        <v>8</v>
      </c>
      <c r="C12" s="12" t="s">
        <v>6</v>
      </c>
      <c r="D12" s="12" t="s">
        <v>9</v>
      </c>
      <c r="E12" s="12" t="s">
        <v>10</v>
      </c>
    </row>
    <row r="13" spans="2:14" x14ac:dyDescent="0.25">
      <c r="B13" s="12" t="s">
        <v>58</v>
      </c>
      <c r="C13" s="12" t="s">
        <v>1064</v>
      </c>
      <c r="D13" s="12" t="s">
        <v>1067</v>
      </c>
      <c r="E13" s="12" t="s">
        <v>807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EE2A-DD50-4AD8-BC4C-417A40B4E55F}">
  <dimension ref="B2:E4"/>
  <sheetViews>
    <sheetView workbookViewId="0">
      <selection sqref="A1:XFD1048576"/>
    </sheetView>
  </sheetViews>
  <sheetFormatPr defaultRowHeight="13.2" x14ac:dyDescent="0.25"/>
  <cols>
    <col min="1" max="1" width="8.88671875" style="12"/>
    <col min="2" max="2" width="10.6640625" style="12" bestFit="1" customWidth="1"/>
    <col min="3" max="3" width="11.33203125" style="12" bestFit="1" customWidth="1"/>
    <col min="4" max="4" width="17.44140625" style="12" bestFit="1" customWidth="1"/>
    <col min="5" max="5" width="5" style="12" bestFit="1" customWidth="1"/>
    <col min="6" max="16384" width="8.88671875" style="12"/>
  </cols>
  <sheetData>
    <row r="2" spans="2:5" x14ac:dyDescent="0.25">
      <c r="B2" s="161" t="s">
        <v>7</v>
      </c>
      <c r="C2" s="57"/>
      <c r="D2" s="57"/>
      <c r="E2" s="57"/>
    </row>
    <row r="3" spans="2:5" x14ac:dyDescent="0.25">
      <c r="B3" s="12" t="s">
        <v>8</v>
      </c>
      <c r="C3" s="12" t="s">
        <v>6</v>
      </c>
      <c r="D3" s="12" t="s">
        <v>9</v>
      </c>
      <c r="E3" s="12" t="s">
        <v>10</v>
      </c>
    </row>
    <row r="4" spans="2:5" x14ac:dyDescent="0.25">
      <c r="B4" s="12" t="s">
        <v>713</v>
      </c>
      <c r="C4" s="12" t="s">
        <v>1068</v>
      </c>
      <c r="D4" s="12" t="s">
        <v>1069</v>
      </c>
      <c r="E4" s="12" t="s">
        <v>1070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5590-A535-4AC1-AF2D-7F2325256B94}">
  <sheetPr codeName="Sheet8"/>
  <dimension ref="A1:Y52"/>
  <sheetViews>
    <sheetView zoomScale="70" zoomScaleNormal="70" workbookViewId="0">
      <selection sqref="A1:XFD1048576"/>
    </sheetView>
  </sheetViews>
  <sheetFormatPr defaultRowHeight="15" customHeight="1" x14ac:dyDescent="0.25"/>
  <cols>
    <col min="1" max="1" width="8.88671875" style="12"/>
    <col min="2" max="2" width="27.88671875" style="12" customWidth="1"/>
    <col min="3" max="3" width="54.33203125" style="12" bestFit="1" customWidth="1"/>
    <col min="4" max="4" width="26" style="12" customWidth="1"/>
    <col min="5" max="5" width="25.33203125" style="12" customWidth="1"/>
    <col min="6" max="6" width="24.5546875" style="12" customWidth="1"/>
    <col min="7" max="7" width="16.5546875" style="12" customWidth="1"/>
    <col min="8" max="8" width="29.6640625" style="12" bestFit="1" customWidth="1"/>
    <col min="9" max="9" width="12" style="12" customWidth="1"/>
    <col min="10" max="10" width="24.33203125" style="12" bestFit="1" customWidth="1"/>
    <col min="11" max="11" width="26.6640625" style="12" customWidth="1"/>
    <col min="12" max="12" width="19.5546875" style="12" customWidth="1"/>
    <col min="13" max="13" width="16.44140625" style="12" bestFit="1" customWidth="1"/>
    <col min="14" max="14" width="23" style="12" bestFit="1" customWidth="1"/>
    <col min="15" max="15" width="13.109375" style="12" bestFit="1" customWidth="1"/>
    <col min="16" max="16" width="27.6640625" style="117" customWidth="1"/>
    <col min="17" max="17" width="21.33203125" style="12" customWidth="1"/>
    <col min="18" max="18" width="33.88671875" style="12" customWidth="1"/>
    <col min="19" max="19" width="56" style="12" customWidth="1"/>
    <col min="20" max="20" width="24.5546875" style="12" bestFit="1" customWidth="1"/>
    <col min="21" max="21" width="22.88671875" style="12" bestFit="1" customWidth="1"/>
    <col min="22" max="22" width="33.88671875" style="12" bestFit="1" customWidth="1"/>
    <col min="23" max="23" width="26.44140625" style="12" bestFit="1" customWidth="1"/>
    <col min="24" max="16384" width="8.88671875" style="12"/>
  </cols>
  <sheetData>
    <row r="1" spans="1:25" ht="15" customHeight="1" x14ac:dyDescent="0.3">
      <c r="A1" s="47"/>
      <c r="B1" s="51" t="s">
        <v>875</v>
      </c>
      <c r="C1" s="51"/>
      <c r="D1" s="47"/>
      <c r="P1" s="98"/>
      <c r="Q1" s="47"/>
      <c r="R1" s="47"/>
      <c r="S1" s="47"/>
      <c r="T1" s="47"/>
      <c r="U1" s="47"/>
      <c r="V1" s="47"/>
      <c r="W1" s="47"/>
      <c r="X1" s="47"/>
      <c r="Y1" s="47"/>
    </row>
    <row r="2" spans="1:25" ht="15" customHeight="1" x14ac:dyDescent="0.25">
      <c r="P2" s="98" t="s">
        <v>876</v>
      </c>
      <c r="Q2" s="47"/>
      <c r="R2" s="47"/>
      <c r="S2" s="47"/>
      <c r="T2" s="47"/>
      <c r="U2" s="47"/>
      <c r="V2" s="47"/>
      <c r="W2" s="47"/>
      <c r="X2" s="47"/>
      <c r="Y2" s="47"/>
    </row>
    <row r="3" spans="1:25" ht="15" customHeight="1" x14ac:dyDescent="0.3">
      <c r="A3" s="47"/>
      <c r="B3" s="51" t="s">
        <v>908</v>
      </c>
      <c r="C3" s="51"/>
      <c r="P3" s="99" t="s">
        <v>76</v>
      </c>
      <c r="Q3" s="52"/>
      <c r="R3" s="47"/>
      <c r="S3" s="83"/>
      <c r="T3" s="83"/>
      <c r="U3" s="83"/>
      <c r="V3" s="83"/>
      <c r="W3" s="83"/>
      <c r="X3" s="83"/>
      <c r="Y3" s="83"/>
    </row>
    <row r="4" spans="1:25" ht="15" customHeight="1" x14ac:dyDescent="0.25">
      <c r="A4" s="47"/>
      <c r="G4" s="82" t="s">
        <v>0</v>
      </c>
      <c r="P4" s="100" t="s">
        <v>17</v>
      </c>
      <c r="Q4" s="47"/>
      <c r="R4" s="83"/>
      <c r="S4" s="83"/>
      <c r="T4" s="83"/>
      <c r="U4" s="83"/>
      <c r="V4" s="83"/>
      <c r="W4" s="83"/>
      <c r="X4" s="83"/>
      <c r="Y4" s="83"/>
    </row>
    <row r="5" spans="1:25" ht="15" customHeight="1" x14ac:dyDescent="0.25">
      <c r="A5" s="47"/>
      <c r="B5" s="59" t="s">
        <v>1</v>
      </c>
      <c r="C5" s="59" t="s">
        <v>61</v>
      </c>
      <c r="D5" s="59" t="s">
        <v>3</v>
      </c>
      <c r="E5" s="59" t="s">
        <v>871</v>
      </c>
      <c r="F5" s="59" t="s">
        <v>4</v>
      </c>
      <c r="G5" s="84" t="s">
        <v>62</v>
      </c>
      <c r="H5" s="85" t="s">
        <v>15</v>
      </c>
      <c r="I5" s="85" t="s">
        <v>722</v>
      </c>
      <c r="J5" s="85" t="s">
        <v>41</v>
      </c>
      <c r="K5" s="63" t="s">
        <v>872</v>
      </c>
      <c r="L5" s="61" t="s">
        <v>47</v>
      </c>
      <c r="M5" s="61" t="s">
        <v>724</v>
      </c>
      <c r="N5" s="61" t="s">
        <v>942</v>
      </c>
      <c r="P5" s="101" t="s">
        <v>16</v>
      </c>
      <c r="Q5" s="41" t="s">
        <v>78</v>
      </c>
      <c r="R5" s="41" t="s">
        <v>1</v>
      </c>
      <c r="S5" s="41" t="s">
        <v>2</v>
      </c>
      <c r="T5" s="41" t="s">
        <v>18</v>
      </c>
      <c r="U5" s="41" t="s">
        <v>19</v>
      </c>
      <c r="V5" s="41" t="s">
        <v>20</v>
      </c>
      <c r="W5" s="41" t="s">
        <v>21</v>
      </c>
      <c r="X5" s="41" t="s">
        <v>22</v>
      </c>
      <c r="Y5" s="55"/>
    </row>
    <row r="6" spans="1:25" ht="15" customHeight="1" thickBot="1" x14ac:dyDescent="0.3">
      <c r="A6" s="47"/>
      <c r="B6" s="65" t="s">
        <v>873</v>
      </c>
      <c r="C6" s="65" t="s">
        <v>32</v>
      </c>
      <c r="D6" s="65" t="s">
        <v>39</v>
      </c>
      <c r="E6" s="102" t="s">
        <v>874</v>
      </c>
      <c r="F6" s="65" t="s">
        <v>40</v>
      </c>
      <c r="G6" s="66"/>
      <c r="H6" s="65" t="s">
        <v>46</v>
      </c>
      <c r="I6" s="65" t="s">
        <v>723</v>
      </c>
      <c r="J6" s="65" t="s">
        <v>45</v>
      </c>
      <c r="K6" s="65" t="s">
        <v>721</v>
      </c>
      <c r="L6" s="65" t="s">
        <v>48</v>
      </c>
      <c r="M6" s="65" t="s">
        <v>725</v>
      </c>
      <c r="N6" s="65"/>
      <c r="P6" s="103" t="s">
        <v>877</v>
      </c>
      <c r="Q6" s="44" t="s">
        <v>80</v>
      </c>
      <c r="R6" s="44" t="s">
        <v>31</v>
      </c>
      <c r="S6" s="44" t="s">
        <v>32</v>
      </c>
      <c r="T6" s="44" t="s">
        <v>33</v>
      </c>
      <c r="U6" s="44" t="s">
        <v>34</v>
      </c>
      <c r="V6" s="44" t="s">
        <v>878</v>
      </c>
      <c r="W6" s="44" t="s">
        <v>879</v>
      </c>
      <c r="X6" s="44" t="s">
        <v>37</v>
      </c>
      <c r="Y6" s="104"/>
    </row>
    <row r="7" spans="1:25" ht="15" customHeight="1" x14ac:dyDescent="0.25">
      <c r="B7" s="87"/>
      <c r="C7" s="88"/>
      <c r="D7" s="88"/>
      <c r="E7" s="88"/>
      <c r="F7" s="88" t="s">
        <v>71</v>
      </c>
      <c r="G7" s="89"/>
      <c r="H7" s="88"/>
      <c r="I7" s="90" t="s">
        <v>814</v>
      </c>
      <c r="J7" s="90" t="s">
        <v>814</v>
      </c>
      <c r="K7" s="90"/>
      <c r="L7" s="90" t="s">
        <v>941</v>
      </c>
      <c r="M7" s="90"/>
      <c r="N7" s="90" t="s">
        <v>715</v>
      </c>
      <c r="P7" s="98" t="s">
        <v>60</v>
      </c>
      <c r="Q7" s="47"/>
      <c r="R7" s="47" t="s">
        <v>880</v>
      </c>
      <c r="S7" s="47" t="s">
        <v>883</v>
      </c>
      <c r="T7" s="48" t="s">
        <v>807</v>
      </c>
      <c r="U7" s="48" t="s">
        <v>808</v>
      </c>
      <c r="V7" s="105" t="s">
        <v>693</v>
      </c>
      <c r="W7" s="48"/>
      <c r="X7" s="48"/>
      <c r="Y7" s="47"/>
    </row>
    <row r="8" spans="1:25" ht="15" customHeight="1" x14ac:dyDescent="0.25">
      <c r="B8" s="106" t="str">
        <f>R7</f>
        <v>SPRGASNAT_TRN_N01</v>
      </c>
      <c r="C8" s="106" t="str">
        <f>S7</f>
        <v>New transportation network of natural gas</v>
      </c>
      <c r="D8" s="106" t="s">
        <v>184</v>
      </c>
      <c r="E8" s="106"/>
      <c r="F8" s="106"/>
      <c r="G8" s="107">
        <f>H8</f>
        <v>2018</v>
      </c>
      <c r="H8" s="108">
        <f>BASE_YEAR+1</f>
        <v>2018</v>
      </c>
      <c r="I8" s="109">
        <v>1</v>
      </c>
      <c r="J8" s="109">
        <v>1</v>
      </c>
      <c r="K8" s="109"/>
      <c r="L8" s="109">
        <f>1110.5405422725/1000*(1/0.9)</f>
        <v>1.2339339358583334</v>
      </c>
      <c r="M8" s="109">
        <v>50</v>
      </c>
      <c r="N8" s="109"/>
      <c r="P8" s="98"/>
      <c r="Q8" s="47"/>
      <c r="R8" s="47" t="s">
        <v>881</v>
      </c>
      <c r="S8" s="47" t="s">
        <v>884</v>
      </c>
      <c r="T8" s="48" t="s">
        <v>807</v>
      </c>
      <c r="U8" s="48" t="s">
        <v>808</v>
      </c>
      <c r="V8" s="105" t="s">
        <v>693</v>
      </c>
      <c r="W8" s="48"/>
      <c r="X8" s="48"/>
      <c r="Y8" s="47"/>
    </row>
    <row r="9" spans="1:25" ht="15" customHeight="1" x14ac:dyDescent="0.25">
      <c r="B9" s="47"/>
      <c r="C9" s="47"/>
      <c r="D9" s="47"/>
      <c r="E9" s="47" t="s">
        <v>55</v>
      </c>
      <c r="F9" s="47"/>
      <c r="G9" s="110">
        <f>G8</f>
        <v>2018</v>
      </c>
      <c r="H9" s="13"/>
      <c r="I9" s="13"/>
      <c r="J9" s="13"/>
      <c r="K9" s="111">
        <v>3.1403237987868933E-4</v>
      </c>
      <c r="L9" s="13"/>
      <c r="M9" s="13"/>
      <c r="N9" s="13"/>
      <c r="P9" s="98"/>
      <c r="Q9" s="47"/>
      <c r="R9" s="47" t="s">
        <v>882</v>
      </c>
      <c r="S9" s="47" t="s">
        <v>885</v>
      </c>
      <c r="T9" s="48" t="s">
        <v>807</v>
      </c>
      <c r="U9" s="48" t="s">
        <v>808</v>
      </c>
      <c r="V9" s="105" t="s">
        <v>693</v>
      </c>
      <c r="W9" s="48"/>
      <c r="X9" s="48"/>
      <c r="Y9" s="47"/>
    </row>
    <row r="10" spans="1:25" ht="15" customHeight="1" x14ac:dyDescent="0.25">
      <c r="B10" s="47"/>
      <c r="C10" s="47"/>
      <c r="D10" s="47"/>
      <c r="E10" s="47" t="s">
        <v>235</v>
      </c>
      <c r="F10" s="47"/>
      <c r="G10" s="110">
        <f>G8</f>
        <v>2018</v>
      </c>
      <c r="H10" s="13"/>
      <c r="I10" s="13"/>
      <c r="J10" s="13"/>
      <c r="K10" s="111">
        <v>2.165779346755793E-3</v>
      </c>
      <c r="L10" s="13"/>
      <c r="M10" s="13"/>
      <c r="N10" s="13"/>
      <c r="P10" s="98"/>
      <c r="Q10" s="47"/>
      <c r="R10" s="47" t="s">
        <v>916</v>
      </c>
      <c r="S10" s="47" t="s">
        <v>933</v>
      </c>
      <c r="T10" s="48" t="s">
        <v>807</v>
      </c>
      <c r="U10" s="48" t="s">
        <v>808</v>
      </c>
      <c r="V10" s="105" t="s">
        <v>693</v>
      </c>
      <c r="W10" s="48"/>
      <c r="X10" s="48"/>
      <c r="Y10" s="47"/>
    </row>
    <row r="11" spans="1:25" ht="15" customHeight="1" x14ac:dyDescent="0.25">
      <c r="B11" s="47"/>
      <c r="C11" s="47"/>
      <c r="D11" s="47"/>
      <c r="E11" s="47"/>
      <c r="F11" s="47" t="s">
        <v>811</v>
      </c>
      <c r="G11" s="110">
        <f>G8</f>
        <v>2018</v>
      </c>
      <c r="H11" s="112"/>
      <c r="I11" s="112"/>
      <c r="J11" s="112"/>
      <c r="K11" s="112"/>
      <c r="L11" s="112"/>
      <c r="M11" s="112"/>
      <c r="N11" s="112"/>
      <c r="P11" s="113" t="s">
        <v>754</v>
      </c>
      <c r="Q11" s="47"/>
      <c r="R11" s="47" t="s">
        <v>926</v>
      </c>
      <c r="S11" s="47" t="s">
        <v>930</v>
      </c>
      <c r="T11" s="105" t="s">
        <v>807</v>
      </c>
      <c r="U11" s="105" t="s">
        <v>808</v>
      </c>
      <c r="V11" s="105" t="s">
        <v>911</v>
      </c>
      <c r="W11" s="48"/>
      <c r="X11" s="48"/>
    </row>
    <row r="12" spans="1:25" ht="15" customHeight="1" x14ac:dyDescent="0.25">
      <c r="P12" s="113"/>
      <c r="Q12" s="47"/>
      <c r="R12" s="47" t="s">
        <v>927</v>
      </c>
      <c r="S12" s="47" t="s">
        <v>931</v>
      </c>
      <c r="T12" s="105" t="s">
        <v>807</v>
      </c>
      <c r="U12" s="105" t="s">
        <v>808</v>
      </c>
      <c r="V12" s="105" t="s">
        <v>911</v>
      </c>
      <c r="W12" s="48"/>
      <c r="X12" s="48"/>
    </row>
    <row r="13" spans="1:25" ht="15" customHeight="1" x14ac:dyDescent="0.25">
      <c r="P13" s="113"/>
      <c r="Q13" s="47"/>
      <c r="R13" s="47" t="s">
        <v>928</v>
      </c>
      <c r="S13" s="47" t="s">
        <v>929</v>
      </c>
      <c r="T13" s="105" t="s">
        <v>807</v>
      </c>
      <c r="U13" s="105" t="s">
        <v>808</v>
      </c>
      <c r="V13" s="105" t="s">
        <v>911</v>
      </c>
      <c r="W13" s="48"/>
      <c r="X13" s="48"/>
    </row>
    <row r="14" spans="1:25" ht="15" customHeight="1" x14ac:dyDescent="0.3">
      <c r="B14" s="51" t="s">
        <v>909</v>
      </c>
      <c r="C14" s="51"/>
      <c r="P14" s="113" t="s">
        <v>60</v>
      </c>
      <c r="Q14" s="47"/>
      <c r="R14" s="47" t="str">
        <f>C43</f>
        <v>SPRGASNAA_EXTR2</v>
      </c>
      <c r="S14" s="47" t="str">
        <f>D43</f>
        <v>Extraction &amp; Processing of Associated Natural Gas (NEW)</v>
      </c>
      <c r="T14" s="105" t="s">
        <v>807</v>
      </c>
      <c r="U14" s="105" t="s">
        <v>808</v>
      </c>
      <c r="V14" s="105" t="s">
        <v>911</v>
      </c>
      <c r="W14" s="48"/>
      <c r="X14" s="48"/>
    </row>
    <row r="15" spans="1:25" ht="15" customHeight="1" x14ac:dyDescent="0.25">
      <c r="G15" s="82" t="s">
        <v>0</v>
      </c>
      <c r="P15" s="114"/>
      <c r="Q15" s="115"/>
      <c r="R15" s="115"/>
      <c r="S15" s="114"/>
      <c r="T15" s="114"/>
      <c r="U15" s="105"/>
      <c r="V15" s="105"/>
      <c r="W15" s="48"/>
      <c r="X15" s="48"/>
    </row>
    <row r="16" spans="1:25" ht="15" customHeight="1" x14ac:dyDescent="0.25">
      <c r="B16" s="59" t="s">
        <v>1</v>
      </c>
      <c r="C16" s="59" t="s">
        <v>61</v>
      </c>
      <c r="D16" s="59" t="s">
        <v>3</v>
      </c>
      <c r="E16" s="59" t="s">
        <v>871</v>
      </c>
      <c r="F16" s="59" t="s">
        <v>4</v>
      </c>
      <c r="G16" s="84" t="s">
        <v>62</v>
      </c>
      <c r="H16" s="85" t="s">
        <v>15</v>
      </c>
      <c r="I16" s="85" t="s">
        <v>722</v>
      </c>
      <c r="J16" s="85" t="s">
        <v>41</v>
      </c>
      <c r="K16" s="63" t="s">
        <v>872</v>
      </c>
      <c r="L16" s="61" t="s">
        <v>47</v>
      </c>
      <c r="M16" s="116" t="s">
        <v>724</v>
      </c>
    </row>
    <row r="17" spans="2:23" ht="15" customHeight="1" thickBot="1" x14ac:dyDescent="0.3">
      <c r="B17" s="65" t="s">
        <v>873</v>
      </c>
      <c r="C17" s="65" t="s">
        <v>32</v>
      </c>
      <c r="D17" s="65" t="s">
        <v>39</v>
      </c>
      <c r="E17" s="102" t="s">
        <v>874</v>
      </c>
      <c r="F17" s="102" t="s">
        <v>40</v>
      </c>
      <c r="G17" s="66"/>
      <c r="H17" s="65" t="s">
        <v>46</v>
      </c>
      <c r="I17" s="65" t="s">
        <v>723</v>
      </c>
      <c r="J17" s="65" t="s">
        <v>45</v>
      </c>
      <c r="K17" s="65" t="s">
        <v>721</v>
      </c>
      <c r="L17" s="65" t="s">
        <v>48</v>
      </c>
      <c r="M17" s="65" t="s">
        <v>725</v>
      </c>
      <c r="P17" s="118" t="s">
        <v>7</v>
      </c>
      <c r="Q17" s="115"/>
      <c r="R17" s="115"/>
      <c r="S17" s="58"/>
      <c r="T17" s="58"/>
      <c r="U17" s="115"/>
      <c r="V17" s="115"/>
      <c r="W17" s="115"/>
    </row>
    <row r="18" spans="2:23" ht="15" customHeight="1" x14ac:dyDescent="0.25">
      <c r="B18" s="87"/>
      <c r="C18" s="88"/>
      <c r="D18" s="88"/>
      <c r="E18" s="88"/>
      <c r="F18" s="88" t="s">
        <v>71</v>
      </c>
      <c r="G18" s="89"/>
      <c r="H18" s="88"/>
      <c r="I18" s="90" t="s">
        <v>814</v>
      </c>
      <c r="J18" s="90" t="s">
        <v>814</v>
      </c>
      <c r="K18" s="90"/>
      <c r="L18" s="90" t="s">
        <v>941</v>
      </c>
      <c r="M18" s="119"/>
      <c r="P18" s="24" t="s">
        <v>8</v>
      </c>
      <c r="Q18" s="120" t="s">
        <v>6</v>
      </c>
      <c r="R18" s="120" t="s">
        <v>9</v>
      </c>
      <c r="S18" s="64" t="s">
        <v>10</v>
      </c>
      <c r="T18" s="64" t="s">
        <v>11</v>
      </c>
      <c r="U18" s="24" t="s">
        <v>12</v>
      </c>
      <c r="V18" s="24" t="s">
        <v>13</v>
      </c>
      <c r="W18" s="24" t="s">
        <v>14</v>
      </c>
    </row>
    <row r="19" spans="2:23" ht="15" customHeight="1" thickBot="1" x14ac:dyDescent="0.3">
      <c r="B19" s="106" t="str">
        <f>R8</f>
        <v>SPRGASNAT_MP_N01</v>
      </c>
      <c r="C19" s="106" t="str">
        <f>S8</f>
        <v>New MP Distribution network of natural gas</v>
      </c>
      <c r="D19" s="47" t="s">
        <v>811</v>
      </c>
      <c r="E19" s="47"/>
      <c r="F19" s="47"/>
      <c r="G19" s="107">
        <f>H19</f>
        <v>2018</v>
      </c>
      <c r="H19" s="108">
        <f>BASE_YEAR+1</f>
        <v>2018</v>
      </c>
      <c r="I19" s="121">
        <v>1</v>
      </c>
      <c r="J19" s="109">
        <v>1</v>
      </c>
      <c r="K19" s="109"/>
      <c r="L19" s="109">
        <f>3.3*(1/0.9)</f>
        <v>3.6666666666666665</v>
      </c>
      <c r="M19" s="122">
        <v>50</v>
      </c>
      <c r="P19" s="31" t="s">
        <v>23</v>
      </c>
      <c r="Q19" s="31" t="s">
        <v>24</v>
      </c>
      <c r="R19" s="31" t="s">
        <v>25</v>
      </c>
      <c r="S19" s="69" t="s">
        <v>10</v>
      </c>
      <c r="T19" s="69" t="s">
        <v>26</v>
      </c>
      <c r="U19" s="31" t="s">
        <v>27</v>
      </c>
      <c r="V19" s="31" t="s">
        <v>28</v>
      </c>
      <c r="W19" s="31" t="s">
        <v>29</v>
      </c>
    </row>
    <row r="20" spans="2:23" ht="15" customHeight="1" x14ac:dyDescent="0.25">
      <c r="B20" s="12" t="str">
        <f>IF(K20=0,"*","")</f>
        <v>*</v>
      </c>
      <c r="C20" s="47"/>
      <c r="D20" s="47"/>
      <c r="E20" s="47" t="s">
        <v>55</v>
      </c>
      <c r="F20" s="47"/>
      <c r="G20" s="110">
        <f>G19</f>
        <v>2018</v>
      </c>
      <c r="H20" s="123"/>
      <c r="I20" s="13"/>
      <c r="J20" s="13"/>
      <c r="K20" s="124">
        <v>0</v>
      </c>
      <c r="L20" s="13"/>
      <c r="M20" s="123"/>
      <c r="P20" s="114" t="s">
        <v>58</v>
      </c>
      <c r="Q20" s="115" t="s">
        <v>915</v>
      </c>
      <c r="R20" s="115" t="s">
        <v>932</v>
      </c>
      <c r="S20" s="58" t="str">
        <f>General!$B$2</f>
        <v>PJ</v>
      </c>
      <c r="T20" s="58"/>
      <c r="U20" s="105" t="s">
        <v>911</v>
      </c>
      <c r="V20" s="105"/>
      <c r="W20" s="115"/>
    </row>
    <row r="21" spans="2:23" ht="15" customHeight="1" x14ac:dyDescent="0.25">
      <c r="B21" s="47"/>
      <c r="C21" s="47"/>
      <c r="D21" s="47"/>
      <c r="E21" s="47"/>
      <c r="F21" s="47" t="s">
        <v>812</v>
      </c>
      <c r="G21" s="125">
        <f>G19</f>
        <v>2018</v>
      </c>
      <c r="H21" s="126"/>
      <c r="I21" s="127"/>
      <c r="J21" s="127"/>
      <c r="K21" s="127"/>
      <c r="L21" s="127"/>
      <c r="M21" s="128"/>
      <c r="P21" s="114"/>
      <c r="Q21" s="115"/>
      <c r="R21" s="115"/>
      <c r="S21" s="58"/>
      <c r="T21" s="58"/>
      <c r="U21" s="115"/>
      <c r="V21" s="115"/>
      <c r="W21" s="115"/>
    </row>
    <row r="22" spans="2:23" ht="15" customHeight="1" x14ac:dyDescent="0.25">
      <c r="B22" s="106" t="str">
        <f>R9</f>
        <v>SPRGASNAT_LP_N01</v>
      </c>
      <c r="C22" s="106" t="str">
        <f>S9</f>
        <v>New LP Distribution network of natural gas</v>
      </c>
      <c r="D22" s="106" t="s">
        <v>812</v>
      </c>
      <c r="E22" s="106"/>
      <c r="F22" s="106"/>
      <c r="G22" s="129">
        <f>H22</f>
        <v>2018</v>
      </c>
      <c r="H22" s="108">
        <f>BASE_YEAR+1</f>
        <v>2018</v>
      </c>
      <c r="I22" s="109">
        <v>1</v>
      </c>
      <c r="J22" s="109">
        <v>1</v>
      </c>
      <c r="K22" s="109"/>
      <c r="L22" s="109">
        <f>L19*3</f>
        <v>11</v>
      </c>
      <c r="M22" s="122">
        <v>50</v>
      </c>
    </row>
    <row r="23" spans="2:23" ht="15" customHeight="1" x14ac:dyDescent="0.25">
      <c r="B23" s="12" t="str">
        <f>IF(K23=0,"*","")</f>
        <v>*</v>
      </c>
      <c r="C23" s="47"/>
      <c r="D23" s="47"/>
      <c r="E23" s="47" t="s">
        <v>55</v>
      </c>
      <c r="F23" s="47"/>
      <c r="G23" s="110">
        <f>G22</f>
        <v>2018</v>
      </c>
      <c r="H23" s="123"/>
      <c r="I23" s="13"/>
      <c r="J23" s="13"/>
      <c r="K23" s="124">
        <v>0</v>
      </c>
      <c r="L23" s="13"/>
      <c r="M23" s="13"/>
    </row>
    <row r="24" spans="2:23" ht="15" customHeight="1" x14ac:dyDescent="0.25">
      <c r="B24" s="130"/>
      <c r="C24" s="130"/>
      <c r="D24" s="130"/>
      <c r="E24" s="130"/>
      <c r="F24" s="130" t="s">
        <v>813</v>
      </c>
      <c r="G24" s="125">
        <f>G22</f>
        <v>2018</v>
      </c>
      <c r="H24" s="126"/>
      <c r="I24" s="127"/>
      <c r="J24" s="127"/>
      <c r="K24" s="127"/>
      <c r="L24" s="127"/>
      <c r="M24" s="127"/>
    </row>
    <row r="28" spans="2:23" ht="15" customHeight="1" x14ac:dyDescent="0.3">
      <c r="B28" s="51" t="s">
        <v>910</v>
      </c>
      <c r="C28" s="51"/>
    </row>
    <row r="29" spans="2:23" ht="15" customHeight="1" x14ac:dyDescent="0.25">
      <c r="E29" s="82" t="s">
        <v>0</v>
      </c>
    </row>
    <row r="30" spans="2:23" ht="15" customHeight="1" x14ac:dyDescent="0.25">
      <c r="B30" s="59" t="s">
        <v>1</v>
      </c>
      <c r="C30" s="59" t="s">
        <v>61</v>
      </c>
      <c r="D30" s="59" t="s">
        <v>3</v>
      </c>
      <c r="E30" s="84" t="s">
        <v>4</v>
      </c>
      <c r="F30" s="85" t="s">
        <v>15</v>
      </c>
      <c r="G30" s="61" t="s">
        <v>47</v>
      </c>
      <c r="H30" s="116" t="s">
        <v>724</v>
      </c>
      <c r="I30" s="85" t="s">
        <v>722</v>
      </c>
      <c r="P30" s="12"/>
      <c r="Q30" s="117"/>
    </row>
    <row r="31" spans="2:23" ht="15" customHeight="1" thickBot="1" x14ac:dyDescent="0.3">
      <c r="B31" s="65" t="s">
        <v>873</v>
      </c>
      <c r="C31" s="65" t="s">
        <v>32</v>
      </c>
      <c r="D31" s="65" t="s">
        <v>39</v>
      </c>
      <c r="E31" s="66" t="s">
        <v>40</v>
      </c>
      <c r="F31" s="65" t="s">
        <v>46</v>
      </c>
      <c r="G31" s="65" t="s">
        <v>48</v>
      </c>
      <c r="H31" s="65" t="s">
        <v>725</v>
      </c>
      <c r="I31" s="65" t="s">
        <v>723</v>
      </c>
      <c r="P31" s="12"/>
      <c r="Q31" s="117"/>
    </row>
    <row r="32" spans="2:23" ht="15" customHeight="1" x14ac:dyDescent="0.25">
      <c r="B32" s="87"/>
      <c r="C32" s="88"/>
      <c r="D32" s="88"/>
      <c r="E32" s="89" t="s">
        <v>71</v>
      </c>
      <c r="F32" s="88"/>
      <c r="G32" s="90" t="s">
        <v>941</v>
      </c>
      <c r="H32" s="119"/>
      <c r="I32" s="119" t="s">
        <v>814</v>
      </c>
      <c r="P32" s="12"/>
      <c r="Q32" s="117"/>
    </row>
    <row r="33" spans="2:17" ht="15" customHeight="1" x14ac:dyDescent="0.25">
      <c r="B33" s="91" t="str">
        <f t="shared" ref="B33:C35" si="0">R11</f>
        <v>IMPGASNAT_R1_N01</v>
      </c>
      <c r="C33" s="91" t="str">
        <f t="shared" si="0"/>
        <v>Import of Natural Gas from R1</v>
      </c>
      <c r="D33" s="131"/>
      <c r="E33" s="132" t="str">
        <f>Commodities!$D$62</f>
        <v>PITGASNAT</v>
      </c>
      <c r="F33" s="93">
        <v>2021</v>
      </c>
      <c r="G33" s="94">
        <f>1.1*(1/0.9)</f>
        <v>1.2222222222222223</v>
      </c>
      <c r="H33" s="95">
        <v>50</v>
      </c>
      <c r="I33" s="95"/>
      <c r="P33" s="12"/>
      <c r="Q33" s="117"/>
    </row>
    <row r="34" spans="2:17" ht="15" customHeight="1" x14ac:dyDescent="0.25">
      <c r="B34" s="91" t="str">
        <f t="shared" si="0"/>
        <v>IMPGASNAT_R2_N01</v>
      </c>
      <c r="C34" s="91" t="str">
        <f t="shared" si="0"/>
        <v>Import of Natural Gas from R2</v>
      </c>
      <c r="D34" s="131"/>
      <c r="E34" s="132" t="str">
        <f>Commodities!$D$64</f>
        <v>RSVGASNAT</v>
      </c>
      <c r="F34" s="93">
        <v>2100</v>
      </c>
      <c r="G34" s="94">
        <f>1.1*(1/0.9)</f>
        <v>1.2222222222222223</v>
      </c>
      <c r="H34" s="95">
        <v>50</v>
      </c>
      <c r="I34" s="95"/>
      <c r="P34" s="12"/>
      <c r="Q34" s="117"/>
    </row>
    <row r="35" spans="2:17" ht="15" customHeight="1" x14ac:dyDescent="0.25">
      <c r="B35" s="91" t="str">
        <f t="shared" si="0"/>
        <v>IMPGASNAT-ST_R1_N01</v>
      </c>
      <c r="C35" s="91" t="str">
        <f t="shared" si="0"/>
        <v>Import of Natural Gas from the Storage in R1</v>
      </c>
      <c r="D35" s="131"/>
      <c r="E35" s="132" t="str">
        <f>Q20</f>
        <v>PITGASNAT-ST</v>
      </c>
      <c r="F35" s="93">
        <v>2100</v>
      </c>
      <c r="G35" s="94">
        <f>0*(1/0.9)</f>
        <v>0</v>
      </c>
      <c r="H35" s="95">
        <v>50</v>
      </c>
      <c r="I35" s="95"/>
      <c r="P35" s="12"/>
      <c r="Q35" s="117"/>
    </row>
    <row r="36" spans="2:17" ht="15" customHeight="1" x14ac:dyDescent="0.25">
      <c r="B36" s="91" t="str">
        <f>R10</f>
        <v>SPRGASNAT-ST_N01</v>
      </c>
      <c r="C36" s="91" t="str">
        <f>S10</f>
        <v>Virtual process for N. Gas from Storage to the network</v>
      </c>
      <c r="D36" s="131" t="str">
        <f>E35</f>
        <v>PITGASNAT-ST</v>
      </c>
      <c r="E36" s="132" t="str">
        <f>E33</f>
        <v>PITGASNAT</v>
      </c>
      <c r="F36" s="93">
        <v>2100</v>
      </c>
      <c r="G36" s="94">
        <f>0*(1/0.9)</f>
        <v>0</v>
      </c>
      <c r="H36" s="95">
        <v>50</v>
      </c>
      <c r="I36" s="95">
        <v>1</v>
      </c>
      <c r="P36" s="12"/>
      <c r="Q36" s="117"/>
    </row>
    <row r="37" spans="2:17" ht="15" customHeight="1" x14ac:dyDescent="0.3">
      <c r="B37" s="133"/>
      <c r="C37" s="133"/>
      <c r="D37" s="134"/>
      <c r="E37" s="134"/>
      <c r="F37" s="135"/>
      <c r="G37" s="136"/>
      <c r="H37" s="137"/>
      <c r="I37" s="137"/>
      <c r="J37" s="138"/>
      <c r="K37" s="138"/>
      <c r="P37" s="12"/>
      <c r="Q37" s="117"/>
    </row>
    <row r="38" spans="2:17" ht="15" customHeight="1" x14ac:dyDescent="0.25">
      <c r="P38" s="12"/>
      <c r="Q38" s="117"/>
    </row>
    <row r="39" spans="2:17" ht="15" customHeight="1" x14ac:dyDescent="0.25">
      <c r="B39" s="139"/>
      <c r="C39" s="47"/>
      <c r="D39" s="47"/>
      <c r="E39" s="47"/>
      <c r="F39" s="47"/>
      <c r="G39" s="140" t="s">
        <v>0</v>
      </c>
      <c r="H39" s="47"/>
      <c r="I39" s="47"/>
      <c r="J39" s="140"/>
      <c r="K39" s="140"/>
      <c r="L39" s="47"/>
      <c r="M39" s="47"/>
      <c r="N39" s="47"/>
    </row>
    <row r="40" spans="2:17" ht="15" customHeight="1" x14ac:dyDescent="0.25">
      <c r="B40" s="141" t="s">
        <v>78</v>
      </c>
      <c r="C40" s="142" t="s">
        <v>1</v>
      </c>
      <c r="D40" s="142" t="s">
        <v>61</v>
      </c>
      <c r="E40" s="142" t="s">
        <v>3</v>
      </c>
      <c r="F40" s="59" t="s">
        <v>871</v>
      </c>
      <c r="G40" s="143" t="s">
        <v>4</v>
      </c>
      <c r="H40" s="63" t="s">
        <v>872</v>
      </c>
      <c r="I40" s="63" t="s">
        <v>722</v>
      </c>
      <c r="J40" s="85" t="s">
        <v>1012</v>
      </c>
      <c r="K40" s="85" t="s">
        <v>41</v>
      </c>
      <c r="L40" s="85" t="s">
        <v>724</v>
      </c>
      <c r="M40" s="85" t="s">
        <v>47</v>
      </c>
      <c r="N40" s="85" t="s">
        <v>15</v>
      </c>
    </row>
    <row r="41" spans="2:17" ht="15" customHeight="1" thickBot="1" x14ac:dyDescent="0.3">
      <c r="B41" s="144" t="s">
        <v>1013</v>
      </c>
      <c r="C41" s="65" t="s">
        <v>31</v>
      </c>
      <c r="D41" s="65" t="s">
        <v>32</v>
      </c>
      <c r="E41" s="65" t="s">
        <v>39</v>
      </c>
      <c r="F41" s="102" t="s">
        <v>874</v>
      </c>
      <c r="G41" s="66" t="s">
        <v>40</v>
      </c>
      <c r="H41" s="145" t="s">
        <v>721</v>
      </c>
      <c r="I41" s="146" t="s">
        <v>723</v>
      </c>
      <c r="J41" s="146" t="s">
        <v>1014</v>
      </c>
      <c r="K41" s="145" t="s">
        <v>45</v>
      </c>
      <c r="L41" s="145" t="s">
        <v>725</v>
      </c>
      <c r="M41" s="145" t="s">
        <v>48</v>
      </c>
      <c r="N41" s="145"/>
    </row>
    <row r="42" spans="2:17" ht="15" customHeight="1" x14ac:dyDescent="0.25">
      <c r="B42" s="147" t="s">
        <v>1015</v>
      </c>
      <c r="C42" s="148"/>
      <c r="D42" s="149"/>
      <c r="E42" s="88" t="s">
        <v>71</v>
      </c>
      <c r="F42" s="88"/>
      <c r="G42" s="89"/>
      <c r="H42" s="150"/>
      <c r="I42" s="151" t="s">
        <v>814</v>
      </c>
      <c r="J42" s="151" t="s">
        <v>1016</v>
      </c>
      <c r="K42" s="90" t="s">
        <v>814</v>
      </c>
      <c r="L42" s="90"/>
      <c r="M42" s="90" t="s">
        <v>941</v>
      </c>
      <c r="N42" s="90"/>
    </row>
    <row r="43" spans="2:17" ht="15" customHeight="1" x14ac:dyDescent="0.25">
      <c r="B43" s="152"/>
      <c r="C43" s="106" t="s">
        <v>1021</v>
      </c>
      <c r="D43" s="106" t="s">
        <v>1020</v>
      </c>
      <c r="E43" s="47" t="s">
        <v>188</v>
      </c>
      <c r="F43" s="47"/>
      <c r="G43" s="153"/>
      <c r="H43" s="112"/>
      <c r="I43" s="154">
        <v>1</v>
      </c>
      <c r="J43" s="47"/>
      <c r="K43" s="48">
        <v>1</v>
      </c>
      <c r="L43" s="48">
        <v>50</v>
      </c>
      <c r="M43" s="48">
        <v>1</v>
      </c>
      <c r="N43" s="48">
        <v>2100</v>
      </c>
    </row>
    <row r="44" spans="2:17" ht="15" customHeight="1" x14ac:dyDescent="0.25">
      <c r="B44" s="155"/>
      <c r="C44" s="47"/>
      <c r="D44" s="47"/>
      <c r="E44" s="47"/>
      <c r="F44" s="47" t="s">
        <v>55</v>
      </c>
      <c r="G44" s="156"/>
      <c r="H44" s="112"/>
      <c r="I44" s="47"/>
      <c r="J44" s="47"/>
      <c r="K44" s="48"/>
      <c r="L44" s="48"/>
      <c r="M44" s="48"/>
      <c r="N44" s="48"/>
    </row>
    <row r="45" spans="2:17" ht="15" customHeight="1" x14ac:dyDescent="0.25">
      <c r="B45" s="155"/>
      <c r="C45" s="47"/>
      <c r="D45" s="47"/>
      <c r="E45" s="47"/>
      <c r="F45" s="47" t="s">
        <v>235</v>
      </c>
      <c r="G45" s="156"/>
      <c r="H45" s="112"/>
      <c r="I45" s="47"/>
      <c r="J45" s="47"/>
      <c r="K45" s="47"/>
      <c r="L45" s="47"/>
      <c r="M45" s="47"/>
      <c r="N45" s="47"/>
    </row>
    <row r="46" spans="2:17" ht="15" customHeight="1" x14ac:dyDescent="0.25">
      <c r="B46" s="155"/>
      <c r="C46" s="47"/>
      <c r="D46" s="47"/>
      <c r="E46" s="47"/>
      <c r="F46" s="47" t="s">
        <v>729</v>
      </c>
      <c r="G46" s="156"/>
      <c r="H46" s="112"/>
      <c r="I46" s="47"/>
      <c r="J46" s="47"/>
      <c r="K46" s="47"/>
      <c r="L46" s="47"/>
      <c r="M46" s="47"/>
      <c r="N46" s="47"/>
    </row>
    <row r="47" spans="2:17" ht="15" customHeight="1" x14ac:dyDescent="0.25">
      <c r="B47" s="155"/>
      <c r="C47" s="47"/>
      <c r="D47" s="47"/>
      <c r="E47" s="47"/>
      <c r="F47" s="47"/>
      <c r="G47" s="156" t="s">
        <v>1017</v>
      </c>
      <c r="H47" s="112"/>
      <c r="I47" s="47"/>
      <c r="J47" s="157">
        <v>1</v>
      </c>
      <c r="K47" s="47"/>
      <c r="L47" s="47"/>
      <c r="M47" s="47"/>
      <c r="N47" s="47"/>
    </row>
    <row r="48" spans="2:17" ht="15" customHeight="1" x14ac:dyDescent="0.25">
      <c r="B48" s="155"/>
      <c r="C48" s="47"/>
      <c r="D48" s="47"/>
      <c r="E48" s="47"/>
      <c r="F48" s="47"/>
      <c r="G48" s="156" t="s">
        <v>1018</v>
      </c>
      <c r="H48" s="112"/>
      <c r="I48" s="47"/>
      <c r="J48" s="157">
        <v>1</v>
      </c>
      <c r="K48" s="47"/>
      <c r="L48" s="47"/>
      <c r="M48" s="47"/>
      <c r="N48" s="47"/>
    </row>
    <row r="49" spans="2:14" ht="15" customHeight="1" x14ac:dyDescent="0.25">
      <c r="B49" s="155"/>
      <c r="C49" s="47"/>
      <c r="D49" s="47"/>
      <c r="E49" s="47"/>
      <c r="F49" s="47"/>
      <c r="G49" s="156" t="s">
        <v>108</v>
      </c>
      <c r="H49" s="112"/>
      <c r="I49" s="47"/>
      <c r="J49" s="157">
        <v>0.12</v>
      </c>
      <c r="K49" s="47"/>
      <c r="L49" s="47"/>
      <c r="M49" s="47"/>
      <c r="N49" s="47"/>
    </row>
    <row r="50" spans="2:14" ht="15" customHeight="1" x14ac:dyDescent="0.25">
      <c r="B50" s="158"/>
      <c r="C50" s="130"/>
      <c r="D50" s="130"/>
      <c r="E50" s="130"/>
      <c r="F50" s="130"/>
      <c r="G50" s="159" t="s">
        <v>184</v>
      </c>
      <c r="H50" s="130"/>
      <c r="I50" s="130"/>
      <c r="J50" s="160">
        <v>1</v>
      </c>
      <c r="K50" s="130"/>
      <c r="L50" s="130"/>
      <c r="M50" s="130"/>
      <c r="N50" s="130"/>
    </row>
    <row r="52" spans="2:14" ht="15" customHeight="1" x14ac:dyDescent="0.25">
      <c r="B52" s="12" t="s">
        <v>1019</v>
      </c>
    </row>
  </sheetData>
  <phoneticPr fontId="12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CC472-3B8B-4733-A1BF-577E2D50BC2C}">
  <sheetPr codeName="Sheet9"/>
  <dimension ref="B2:T9"/>
  <sheetViews>
    <sheetView zoomScale="70" zoomScaleNormal="70" workbookViewId="0">
      <selection sqref="A1:XFD1048576"/>
    </sheetView>
  </sheetViews>
  <sheetFormatPr defaultRowHeight="13.2" x14ac:dyDescent="0.25"/>
  <cols>
    <col min="1" max="1" width="8.88671875" style="12"/>
    <col min="2" max="2" width="21.44140625" style="12" customWidth="1"/>
    <col min="3" max="3" width="63" style="12" bestFit="1" customWidth="1"/>
    <col min="4" max="4" width="20.5546875" style="12" customWidth="1"/>
    <col min="5" max="5" width="13.109375" style="12" bestFit="1" customWidth="1"/>
    <col min="6" max="6" width="22.44140625" style="12" customWidth="1"/>
    <col min="7" max="7" width="29.109375" style="12" bestFit="1" customWidth="1"/>
    <col min="8" max="8" width="15.44140625" style="12" bestFit="1" customWidth="1"/>
    <col min="9" max="10" width="16.5546875" style="12" customWidth="1"/>
    <col min="11" max="11" width="8.88671875" style="12"/>
    <col min="12" max="12" width="30.33203125" style="12" customWidth="1"/>
    <col min="13" max="13" width="13.88671875" style="12" bestFit="1" customWidth="1"/>
    <col min="14" max="14" width="24.44140625" style="12" bestFit="1" customWidth="1"/>
    <col min="15" max="15" width="63" style="12" bestFit="1" customWidth="1"/>
    <col min="16" max="16" width="11.5546875" style="12" bestFit="1" customWidth="1"/>
    <col min="17" max="17" width="13.44140625" style="12" bestFit="1" customWidth="1"/>
    <col min="18" max="18" width="33.44140625" style="12" bestFit="1" customWidth="1"/>
    <col min="19" max="19" width="26.44140625" style="12" bestFit="1" customWidth="1"/>
    <col min="20" max="20" width="16.5546875" style="12" bestFit="1" customWidth="1"/>
    <col min="21" max="16384" width="8.88671875" style="12"/>
  </cols>
  <sheetData>
    <row r="2" spans="2:20" ht="15" customHeight="1" x14ac:dyDescent="0.3">
      <c r="B2" s="51" t="s">
        <v>912</v>
      </c>
      <c r="C2" s="51"/>
      <c r="L2" s="47" t="s">
        <v>876</v>
      </c>
      <c r="M2" s="47"/>
      <c r="N2" s="47"/>
      <c r="O2" s="47"/>
      <c r="P2" s="47"/>
      <c r="Q2" s="47"/>
      <c r="R2" s="47"/>
      <c r="S2" s="47"/>
      <c r="T2" s="47"/>
    </row>
    <row r="3" spans="2:20" ht="15" customHeight="1" x14ac:dyDescent="0.25">
      <c r="D3" s="82" t="s">
        <v>0</v>
      </c>
      <c r="L3" s="52" t="s">
        <v>76</v>
      </c>
      <c r="M3" s="52"/>
      <c r="N3" s="47"/>
      <c r="O3" s="83"/>
      <c r="P3" s="83"/>
      <c r="Q3" s="83"/>
      <c r="R3" s="83"/>
      <c r="S3" s="83"/>
      <c r="T3" s="83"/>
    </row>
    <row r="4" spans="2:20" ht="15" customHeight="1" x14ac:dyDescent="0.25">
      <c r="B4" s="59" t="s">
        <v>1</v>
      </c>
      <c r="C4" s="59" t="s">
        <v>61</v>
      </c>
      <c r="D4" s="84" t="s">
        <v>4</v>
      </c>
      <c r="E4" s="85" t="s">
        <v>15</v>
      </c>
      <c r="F4" s="86" t="s">
        <v>47</v>
      </c>
      <c r="G4" s="86" t="s">
        <v>724</v>
      </c>
      <c r="H4" s="86" t="s">
        <v>734</v>
      </c>
      <c r="I4" s="86" t="s">
        <v>41</v>
      </c>
      <c r="J4" s="86" t="s">
        <v>917</v>
      </c>
      <c r="L4" s="55" t="s">
        <v>17</v>
      </c>
      <c r="M4" s="47"/>
      <c r="N4" s="83"/>
      <c r="O4" s="83"/>
      <c r="P4" s="83"/>
      <c r="Q4" s="83"/>
      <c r="R4" s="83"/>
      <c r="S4" s="83"/>
      <c r="T4" s="83"/>
    </row>
    <row r="5" spans="2:20" ht="15" customHeight="1" thickBot="1" x14ac:dyDescent="0.3">
      <c r="B5" s="65" t="s">
        <v>873</v>
      </c>
      <c r="C5" s="65" t="s">
        <v>32</v>
      </c>
      <c r="D5" s="66" t="s">
        <v>40</v>
      </c>
      <c r="E5" s="65" t="s">
        <v>46</v>
      </c>
      <c r="F5" s="65" t="s">
        <v>48</v>
      </c>
      <c r="G5" s="65" t="s">
        <v>725</v>
      </c>
      <c r="H5" s="65"/>
      <c r="I5" s="65"/>
      <c r="J5" s="65"/>
      <c r="L5" s="41" t="s">
        <v>16</v>
      </c>
      <c r="M5" s="41" t="s">
        <v>78</v>
      </c>
      <c r="N5" s="41" t="s">
        <v>1</v>
      </c>
      <c r="O5" s="41" t="s">
        <v>2</v>
      </c>
      <c r="P5" s="41" t="s">
        <v>18</v>
      </c>
      <c r="Q5" s="41" t="s">
        <v>19</v>
      </c>
      <c r="R5" s="41" t="s">
        <v>20</v>
      </c>
      <c r="S5" s="41" t="s">
        <v>21</v>
      </c>
      <c r="T5" s="41" t="s">
        <v>22</v>
      </c>
    </row>
    <row r="6" spans="2:20" ht="15" customHeight="1" thickBot="1" x14ac:dyDescent="0.3">
      <c r="B6" s="87"/>
      <c r="C6" s="88"/>
      <c r="D6" s="89" t="s">
        <v>71</v>
      </c>
      <c r="E6" s="88"/>
      <c r="F6" s="90" t="s">
        <v>938</v>
      </c>
      <c r="G6" s="90"/>
      <c r="H6" s="90"/>
      <c r="I6" s="88" t="s">
        <v>914</v>
      </c>
      <c r="J6" s="88"/>
      <c r="L6" s="44" t="s">
        <v>877</v>
      </c>
      <c r="M6" s="44" t="s">
        <v>80</v>
      </c>
      <c r="N6" s="44" t="s">
        <v>31</v>
      </c>
      <c r="O6" s="44" t="s">
        <v>32</v>
      </c>
      <c r="P6" s="44" t="s">
        <v>33</v>
      </c>
      <c r="Q6" s="44" t="s">
        <v>34</v>
      </c>
      <c r="R6" s="44" t="s">
        <v>878</v>
      </c>
      <c r="S6" s="44" t="s">
        <v>879</v>
      </c>
      <c r="T6" s="44" t="s">
        <v>37</v>
      </c>
    </row>
    <row r="7" spans="2:20" ht="15" customHeight="1" x14ac:dyDescent="0.25">
      <c r="B7" s="91" t="str">
        <f t="shared" ref="B7:C9" si="0">N7</f>
        <v>IMPELCR1_N01</v>
      </c>
      <c r="C7" s="91" t="str">
        <f t="shared" si="0"/>
        <v>New Electricity Interconnection with Region1</v>
      </c>
      <c r="D7" s="92" t="s">
        <v>75</v>
      </c>
      <c r="E7" s="93">
        <v>2025</v>
      </c>
      <c r="F7" s="94">
        <f>270/0.6</f>
        <v>450</v>
      </c>
      <c r="G7" s="95">
        <v>30</v>
      </c>
      <c r="H7" s="96">
        <v>31.536000000000001</v>
      </c>
      <c r="I7" s="96">
        <v>0.2</v>
      </c>
      <c r="J7" s="96">
        <v>1</v>
      </c>
      <c r="L7" s="97" t="s">
        <v>754</v>
      </c>
      <c r="M7" s="47"/>
      <c r="N7" s="47" t="s">
        <v>1027</v>
      </c>
      <c r="O7" s="47" t="s">
        <v>924</v>
      </c>
      <c r="P7" s="47" t="s">
        <v>807</v>
      </c>
      <c r="Q7" s="47" t="s">
        <v>731</v>
      </c>
      <c r="R7" s="47" t="s">
        <v>693</v>
      </c>
      <c r="S7" s="47"/>
      <c r="T7" s="47" t="s">
        <v>913</v>
      </c>
    </row>
    <row r="8" spans="2:20" ht="15" customHeight="1" x14ac:dyDescent="0.25">
      <c r="B8" s="91" t="str">
        <f t="shared" si="0"/>
        <v>IMPELCR2_N02</v>
      </c>
      <c r="C8" s="91" t="str">
        <f t="shared" si="0"/>
        <v>New Electricity Interconnection with Region2</v>
      </c>
      <c r="D8" s="92" t="s">
        <v>75</v>
      </c>
      <c r="E8" s="93">
        <v>2030</v>
      </c>
      <c r="F8" s="94">
        <f>131.2/0.3</f>
        <v>437.33333333333331</v>
      </c>
      <c r="G8" s="95">
        <v>30</v>
      </c>
      <c r="H8" s="96">
        <v>31.536000000000001</v>
      </c>
      <c r="I8" s="96">
        <v>0.2</v>
      </c>
      <c r="J8" s="96">
        <v>1</v>
      </c>
      <c r="L8" s="97"/>
      <c r="M8" s="47"/>
      <c r="N8" s="47" t="s">
        <v>1028</v>
      </c>
      <c r="O8" s="47" t="s">
        <v>925</v>
      </c>
      <c r="P8" s="47" t="s">
        <v>807</v>
      </c>
      <c r="Q8" s="47" t="s">
        <v>731</v>
      </c>
      <c r="R8" s="47" t="s">
        <v>693</v>
      </c>
      <c r="S8" s="47"/>
      <c r="T8" s="47" t="s">
        <v>913</v>
      </c>
    </row>
    <row r="9" spans="2:20" ht="13.8" x14ac:dyDescent="0.25">
      <c r="B9" s="91" t="str">
        <f t="shared" si="0"/>
        <v>IMPELC_Flex_RoW</v>
      </c>
      <c r="C9" s="91" t="str">
        <f t="shared" si="0"/>
        <v>Import of flexible electricity from RoW (high price)</v>
      </c>
      <c r="D9" s="92" t="s">
        <v>75</v>
      </c>
      <c r="E9" s="93">
        <v>2100</v>
      </c>
      <c r="F9" s="94"/>
      <c r="G9" s="95">
        <v>30</v>
      </c>
      <c r="H9" s="96">
        <v>31.536000000000001</v>
      </c>
      <c r="I9" s="96">
        <v>1</v>
      </c>
      <c r="J9" s="96">
        <v>0.1</v>
      </c>
      <c r="L9" s="97"/>
      <c r="M9" s="47"/>
      <c r="N9" s="47" t="s">
        <v>1030</v>
      </c>
      <c r="O9" s="47" t="s">
        <v>1029</v>
      </c>
      <c r="P9" s="47" t="s">
        <v>807</v>
      </c>
      <c r="Q9" s="47" t="s">
        <v>731</v>
      </c>
      <c r="R9" s="47" t="s">
        <v>693</v>
      </c>
      <c r="S9" s="47"/>
      <c r="T9" s="47" t="s">
        <v>913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17BA-7F5A-451A-8938-F6F661A9ECFD}">
  <dimension ref="A1:AG13"/>
  <sheetViews>
    <sheetView zoomScale="70" zoomScaleNormal="70" workbookViewId="0">
      <selection sqref="A1:XFD1048576"/>
    </sheetView>
  </sheetViews>
  <sheetFormatPr defaultColWidth="9.109375" defaultRowHeight="13.2" x14ac:dyDescent="0.25"/>
  <cols>
    <col min="1" max="1" width="9.109375" style="12"/>
    <col min="2" max="2" width="13.88671875" style="12" customWidth="1"/>
    <col min="3" max="3" width="39.44140625" style="12" customWidth="1"/>
    <col min="4" max="4" width="13.5546875" style="12" customWidth="1"/>
    <col min="5" max="5" width="12.6640625" style="12" bestFit="1" customWidth="1"/>
    <col min="6" max="6" width="20.109375" style="12" customWidth="1"/>
    <col min="7" max="7" width="12.44140625" style="12" bestFit="1" customWidth="1"/>
    <col min="8" max="8" width="15.33203125" style="12" bestFit="1" customWidth="1"/>
    <col min="9" max="9" width="20.33203125" style="12" customWidth="1"/>
    <col min="10" max="10" width="18.109375" style="12" customWidth="1"/>
    <col min="11" max="11" width="9.109375" style="12"/>
    <col min="12" max="12" width="23" style="12" customWidth="1"/>
    <col min="13" max="13" width="21.109375" style="12" customWidth="1"/>
    <col min="14" max="15" width="9.109375" style="12"/>
    <col min="16" max="16" width="25.88671875" style="12" customWidth="1"/>
    <col min="17" max="17" width="23.5546875" style="12" bestFit="1" customWidth="1"/>
    <col min="18" max="18" width="32.88671875" style="12" customWidth="1"/>
    <col min="19" max="19" width="11.5546875" style="12" bestFit="1" customWidth="1"/>
    <col min="20" max="20" width="13.44140625" style="12" bestFit="1" customWidth="1"/>
    <col min="21" max="21" width="33.44140625" style="12" bestFit="1" customWidth="1"/>
    <col min="22" max="22" width="26.44140625" style="12" bestFit="1" customWidth="1"/>
    <col min="23" max="26" width="9.109375" style="12"/>
    <col min="27" max="27" width="16" style="12" bestFit="1" customWidth="1"/>
    <col min="28" max="28" width="57.6640625" style="12" bestFit="1" customWidth="1"/>
    <col min="29" max="29" width="9.109375" style="12"/>
    <col min="30" max="30" width="23.88671875" style="12" bestFit="1" customWidth="1"/>
    <col min="31" max="16384" width="9.109375" style="12"/>
  </cols>
  <sheetData>
    <row r="1" spans="1:33" ht="17.399999999999999" x14ac:dyDescent="0.3">
      <c r="A1" s="51"/>
      <c r="B1" s="51" t="s">
        <v>1054</v>
      </c>
      <c r="C1" s="51"/>
      <c r="D1" s="51"/>
      <c r="E1" s="51"/>
      <c r="F1" s="51"/>
      <c r="G1" s="51"/>
      <c r="H1" s="51"/>
      <c r="I1" s="51"/>
      <c r="J1" s="51"/>
    </row>
    <row r="3" spans="1:33" ht="13.8" x14ac:dyDescent="0.25">
      <c r="P3" s="47" t="s">
        <v>1040</v>
      </c>
      <c r="Q3" s="47"/>
      <c r="R3" s="47"/>
      <c r="S3" s="47"/>
      <c r="T3" s="47"/>
      <c r="U3" s="47"/>
      <c r="V3" s="47"/>
      <c r="W3" s="47"/>
    </row>
    <row r="4" spans="1:33" ht="13.8" x14ac:dyDescent="0.25">
      <c r="P4" s="52" t="s">
        <v>76</v>
      </c>
      <c r="Q4" s="52" t="s">
        <v>77</v>
      </c>
      <c r="R4" s="47"/>
      <c r="S4" s="47"/>
      <c r="T4" s="47"/>
      <c r="U4" s="47"/>
      <c r="V4" s="47"/>
      <c r="W4" s="47"/>
    </row>
    <row r="5" spans="1:33" ht="13.8" x14ac:dyDescent="0.25">
      <c r="S5" s="52"/>
      <c r="T5" s="52"/>
      <c r="U5" s="52"/>
      <c r="V5" s="52"/>
      <c r="W5" s="52"/>
    </row>
    <row r="6" spans="1:33" ht="13.8" x14ac:dyDescent="0.25">
      <c r="G6" s="53" t="s">
        <v>0</v>
      </c>
      <c r="H6" s="54"/>
      <c r="I6" s="54"/>
      <c r="J6" s="54"/>
      <c r="K6" s="54"/>
      <c r="L6" s="54"/>
      <c r="M6" s="54"/>
      <c r="N6" s="54"/>
      <c r="P6" s="55" t="s">
        <v>17</v>
      </c>
      <c r="Q6" s="52"/>
      <c r="R6" s="52"/>
      <c r="S6" s="52"/>
      <c r="T6" s="52"/>
      <c r="U6" s="52"/>
      <c r="V6" s="52"/>
      <c r="W6" s="52"/>
      <c r="Z6" s="56" t="s">
        <v>7</v>
      </c>
      <c r="AA6" s="57"/>
      <c r="AB6" s="57"/>
      <c r="AC6" s="58"/>
      <c r="AD6" s="57"/>
      <c r="AE6" s="57"/>
      <c r="AF6" s="57"/>
      <c r="AG6" s="57"/>
    </row>
    <row r="7" spans="1:33" ht="18" customHeight="1" x14ac:dyDescent="0.25">
      <c r="B7" s="59" t="s">
        <v>1</v>
      </c>
      <c r="C7" s="59" t="s">
        <v>2</v>
      </c>
      <c r="D7" s="59" t="s">
        <v>871</v>
      </c>
      <c r="E7" s="59" t="s">
        <v>3</v>
      </c>
      <c r="F7" s="59" t="s">
        <v>4</v>
      </c>
      <c r="G7" s="60" t="s">
        <v>62</v>
      </c>
      <c r="H7" s="61" t="s">
        <v>1041</v>
      </c>
      <c r="I7" s="62" t="s">
        <v>872</v>
      </c>
      <c r="J7" s="63" t="s">
        <v>15</v>
      </c>
      <c r="K7" s="63" t="s">
        <v>1042</v>
      </c>
      <c r="L7" s="63" t="s">
        <v>47</v>
      </c>
      <c r="M7" s="63" t="s">
        <v>722</v>
      </c>
      <c r="N7" s="63" t="s">
        <v>1043</v>
      </c>
      <c r="P7" s="41" t="s">
        <v>16</v>
      </c>
      <c r="Q7" s="41" t="s">
        <v>1</v>
      </c>
      <c r="R7" s="41" t="s">
        <v>2</v>
      </c>
      <c r="S7" s="41" t="s">
        <v>18</v>
      </c>
      <c r="T7" s="41" t="s">
        <v>19</v>
      </c>
      <c r="U7" s="41" t="s">
        <v>20</v>
      </c>
      <c r="V7" s="41" t="s">
        <v>21</v>
      </c>
      <c r="W7" s="41" t="s">
        <v>22</v>
      </c>
      <c r="Z7" s="22" t="s">
        <v>8</v>
      </c>
      <c r="AA7" s="22" t="s">
        <v>6</v>
      </c>
      <c r="AB7" s="22" t="s">
        <v>9</v>
      </c>
      <c r="AC7" s="64" t="s">
        <v>10</v>
      </c>
      <c r="AD7" s="24" t="s">
        <v>11</v>
      </c>
      <c r="AE7" s="24" t="s">
        <v>12</v>
      </c>
      <c r="AF7" s="24" t="s">
        <v>13</v>
      </c>
      <c r="AG7" s="24" t="s">
        <v>14</v>
      </c>
    </row>
    <row r="8" spans="1:33" ht="19.5" customHeight="1" thickBot="1" x14ac:dyDescent="0.3">
      <c r="B8" s="65" t="s">
        <v>1044</v>
      </c>
      <c r="C8" s="65"/>
      <c r="D8" s="65"/>
      <c r="E8" s="65"/>
      <c r="F8" s="65"/>
      <c r="G8" s="66"/>
      <c r="H8" s="67"/>
      <c r="I8" s="67" t="s">
        <v>1045</v>
      </c>
      <c r="J8" s="65"/>
      <c r="K8" s="65" t="s">
        <v>73</v>
      </c>
      <c r="L8" s="65" t="s">
        <v>1046</v>
      </c>
      <c r="M8" s="65" t="s">
        <v>914</v>
      </c>
      <c r="N8" s="65" t="s">
        <v>914</v>
      </c>
      <c r="P8" s="68" t="s">
        <v>877</v>
      </c>
      <c r="Q8" s="68" t="s">
        <v>31</v>
      </c>
      <c r="R8" s="68" t="s">
        <v>32</v>
      </c>
      <c r="S8" s="68" t="s">
        <v>33</v>
      </c>
      <c r="T8" s="68" t="s">
        <v>34</v>
      </c>
      <c r="U8" s="68" t="s">
        <v>878</v>
      </c>
      <c r="V8" s="68" t="s">
        <v>879</v>
      </c>
      <c r="W8" s="68" t="s">
        <v>37</v>
      </c>
      <c r="Z8" s="31" t="s">
        <v>23</v>
      </c>
      <c r="AA8" s="31" t="s">
        <v>24</v>
      </c>
      <c r="AB8" s="31" t="s">
        <v>25</v>
      </c>
      <c r="AC8" s="69" t="s">
        <v>10</v>
      </c>
      <c r="AD8" s="31" t="s">
        <v>26</v>
      </c>
      <c r="AE8" s="31" t="s">
        <v>27</v>
      </c>
      <c r="AF8" s="31" t="s">
        <v>28</v>
      </c>
      <c r="AG8" s="31" t="s">
        <v>29</v>
      </c>
    </row>
    <row r="9" spans="1:33" ht="17.25" customHeight="1" x14ac:dyDescent="0.25">
      <c r="B9" s="70" t="str">
        <f>Q9</f>
        <v>SUP_CCS_N01</v>
      </c>
      <c r="C9" s="70" t="str">
        <f>R9</f>
        <v>CCS for IND-SUP processes</v>
      </c>
      <c r="D9" s="70"/>
      <c r="E9" s="70" t="str">
        <f>AA9</f>
        <v>INDSSCO2N</v>
      </c>
      <c r="F9" s="70" t="s">
        <v>1047</v>
      </c>
      <c r="G9" s="71">
        <f>J9</f>
        <v>2035</v>
      </c>
      <c r="H9" s="72">
        <v>0.5</v>
      </c>
      <c r="J9" s="72">
        <v>2035</v>
      </c>
      <c r="K9" s="72">
        <v>10</v>
      </c>
      <c r="L9" s="73">
        <v>0.4</v>
      </c>
      <c r="M9" s="72">
        <v>0.5</v>
      </c>
      <c r="N9" s="74">
        <v>-1</v>
      </c>
      <c r="P9" s="47" t="s">
        <v>60</v>
      </c>
      <c r="Q9" s="47" t="str">
        <f>"SUP_CCS_N01"</f>
        <v>SUP_CCS_N01</v>
      </c>
      <c r="R9" s="47" t="s">
        <v>1074</v>
      </c>
      <c r="S9" s="47" t="s">
        <v>809</v>
      </c>
      <c r="T9" s="47" t="s">
        <v>1048</v>
      </c>
      <c r="U9" s="47"/>
      <c r="V9" s="47" t="str">
        <f>F12</f>
        <v>INDSCO2N</v>
      </c>
      <c r="W9" s="47" t="s">
        <v>913</v>
      </c>
      <c r="Z9" s="57" t="s">
        <v>713</v>
      </c>
      <c r="AA9" s="70" t="s">
        <v>1071</v>
      </c>
      <c r="AB9" s="75" t="s">
        <v>1072</v>
      </c>
      <c r="AC9" s="57" t="s">
        <v>809</v>
      </c>
      <c r="AD9" s="57" t="s">
        <v>1049</v>
      </c>
      <c r="AE9" s="57"/>
      <c r="AF9" s="57"/>
      <c r="AG9" s="57"/>
    </row>
    <row r="10" spans="1:33" ht="13.8" x14ac:dyDescent="0.25">
      <c r="B10" s="70"/>
      <c r="C10" s="70"/>
      <c r="E10" s="70" t="s">
        <v>1075</v>
      </c>
      <c r="F10" s="70"/>
      <c r="G10" s="71">
        <f>G9</f>
        <v>2035</v>
      </c>
      <c r="H10" s="72">
        <v>0.5</v>
      </c>
      <c r="J10" s="72"/>
      <c r="K10" s="72"/>
      <c r="L10" s="72"/>
      <c r="M10" s="72"/>
      <c r="N10" s="74"/>
      <c r="P10" s="47"/>
      <c r="Q10" s="47" t="s">
        <v>1055</v>
      </c>
      <c r="R10" s="47" t="s">
        <v>1056</v>
      </c>
      <c r="S10" s="47" t="s">
        <v>809</v>
      </c>
      <c r="T10" s="47" t="s">
        <v>1048</v>
      </c>
      <c r="U10" s="47"/>
      <c r="V10" s="47" t="s">
        <v>1050</v>
      </c>
      <c r="W10" s="47"/>
      <c r="Z10" s="57"/>
      <c r="AA10" s="70" t="s">
        <v>1051</v>
      </c>
      <c r="AB10" s="75" t="s">
        <v>1073</v>
      </c>
      <c r="AC10" s="57" t="s">
        <v>809</v>
      </c>
      <c r="AD10" s="57"/>
      <c r="AE10" s="57"/>
      <c r="AF10" s="57"/>
      <c r="AG10" s="57"/>
    </row>
    <row r="11" spans="1:33" x14ac:dyDescent="0.25">
      <c r="B11" s="70"/>
      <c r="C11" s="70"/>
      <c r="D11" s="12" t="s">
        <v>55</v>
      </c>
      <c r="E11" s="70"/>
      <c r="F11" s="70"/>
      <c r="G11" s="71">
        <f t="shared" ref="G11:G12" si="0">G10</f>
        <v>2035</v>
      </c>
      <c r="I11" s="72">
        <v>1.5E-3</v>
      </c>
      <c r="J11" s="72"/>
      <c r="K11" s="72"/>
      <c r="L11" s="72"/>
      <c r="M11" s="72"/>
      <c r="N11" s="74"/>
      <c r="AA11" s="70" t="s">
        <v>1052</v>
      </c>
      <c r="AB11" s="75" t="s">
        <v>1053</v>
      </c>
      <c r="AC11" s="57" t="s">
        <v>809</v>
      </c>
      <c r="AD11" s="57"/>
      <c r="AE11" s="57"/>
      <c r="AF11" s="57"/>
      <c r="AG11" s="57"/>
    </row>
    <row r="12" spans="1:33" x14ac:dyDescent="0.25">
      <c r="B12" s="76"/>
      <c r="C12" s="76"/>
      <c r="D12" s="77"/>
      <c r="E12" s="76"/>
      <c r="F12" s="76" t="s">
        <v>1051</v>
      </c>
      <c r="G12" s="78">
        <f t="shared" si="0"/>
        <v>2035</v>
      </c>
      <c r="H12" s="79"/>
      <c r="I12" s="77"/>
      <c r="J12" s="79"/>
      <c r="K12" s="79"/>
      <c r="L12" s="79"/>
      <c r="M12" s="79"/>
      <c r="N12" s="80"/>
    </row>
    <row r="13" spans="1:33" x14ac:dyDescent="0.25">
      <c r="B13" s="76" t="str">
        <f>Q10</f>
        <v>CCS_Dummy_SUP</v>
      </c>
      <c r="C13" s="76" t="str">
        <f>R10</f>
        <v>Dummy Technology_SUP</v>
      </c>
      <c r="D13" s="77"/>
      <c r="E13" s="76" t="str">
        <f>E9</f>
        <v>INDSSCO2N</v>
      </c>
      <c r="F13" s="76"/>
      <c r="G13" s="78"/>
      <c r="H13" s="79"/>
      <c r="I13" s="77"/>
      <c r="J13" s="79"/>
      <c r="K13" s="79"/>
      <c r="L13" s="79"/>
      <c r="M13" s="79"/>
      <c r="N13" s="81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X348"/>
  <sheetViews>
    <sheetView topLeftCell="A62" zoomScale="85" zoomScaleNormal="85" workbookViewId="0">
      <selection activeCell="A62" sqref="A1:XFD1048576"/>
    </sheetView>
  </sheetViews>
  <sheetFormatPr defaultRowHeight="13.2" x14ac:dyDescent="0.25"/>
  <cols>
    <col min="1" max="1" width="5.33203125" style="12" customWidth="1"/>
    <col min="2" max="2" width="14.5546875" style="12" customWidth="1"/>
    <col min="3" max="3" width="12.109375" style="12" bestFit="1" customWidth="1"/>
    <col min="4" max="4" width="16" style="12" bestFit="1" customWidth="1"/>
    <col min="5" max="5" width="52.88671875" style="12" bestFit="1" customWidth="1"/>
    <col min="6" max="6" width="8.88671875" style="12"/>
    <col min="7" max="7" width="13" style="12" customWidth="1"/>
    <col min="8" max="8" width="13.6640625" style="12" bestFit="1" customWidth="1"/>
    <col min="9" max="9" width="11" style="12" customWidth="1"/>
    <col min="10" max="10" width="17" style="12" bestFit="1" customWidth="1"/>
    <col min="11" max="11" width="3.88671875" style="12" customWidth="1"/>
    <col min="12" max="13" width="8.88671875" style="12"/>
    <col min="14" max="14" width="17.33203125" style="12" customWidth="1"/>
    <col min="15" max="15" width="12.33203125" style="12" bestFit="1" customWidth="1"/>
    <col min="16" max="16" width="16.5546875" style="12" bestFit="1" customWidth="1"/>
    <col min="17" max="17" width="21.6640625" style="12" bestFit="1" customWidth="1"/>
    <col min="18" max="18" width="6.88671875" style="12" bestFit="1" customWidth="1"/>
    <col min="19" max="19" width="10.33203125" style="12" customWidth="1"/>
    <col min="20" max="20" width="11.33203125" style="12" customWidth="1"/>
    <col min="21" max="21" width="11" style="12" customWidth="1"/>
    <col min="22" max="22" width="8.6640625" style="12" customWidth="1"/>
    <col min="23" max="23" width="8.88671875" style="12"/>
    <col min="24" max="24" width="21.6640625" style="12" bestFit="1" customWidth="1"/>
    <col min="25" max="25" width="20.5546875" style="12" bestFit="1" customWidth="1"/>
    <col min="26" max="16384" width="8.88671875" style="12"/>
  </cols>
  <sheetData>
    <row r="1" spans="2:24" ht="17.399999999999999" x14ac:dyDescent="0.3">
      <c r="B1" s="39" t="s">
        <v>736</v>
      </c>
    </row>
    <row r="2" spans="2:24" ht="17.399999999999999" x14ac:dyDescent="0.3">
      <c r="B2" s="39" t="s">
        <v>737</v>
      </c>
    </row>
    <row r="3" spans="2:24" ht="13.8" x14ac:dyDescent="0.25">
      <c r="B3" s="40" t="s">
        <v>8</v>
      </c>
      <c r="C3" s="41" t="s">
        <v>78</v>
      </c>
      <c r="D3" s="40" t="s">
        <v>6</v>
      </c>
      <c r="E3" s="40" t="s">
        <v>9</v>
      </c>
      <c r="F3" s="42" t="s">
        <v>10</v>
      </c>
      <c r="G3" s="24" t="s">
        <v>11</v>
      </c>
      <c r="H3" s="24" t="s">
        <v>12</v>
      </c>
      <c r="I3" s="24" t="s">
        <v>13</v>
      </c>
      <c r="J3" s="24" t="s">
        <v>14</v>
      </c>
    </row>
    <row r="4" spans="2:24" s="46" customFormat="1" ht="42" thickBot="1" x14ac:dyDescent="0.3">
      <c r="B4" s="43" t="s">
        <v>79</v>
      </c>
      <c r="C4" s="44" t="s">
        <v>80</v>
      </c>
      <c r="D4" s="43" t="s">
        <v>24</v>
      </c>
      <c r="E4" s="43" t="s">
        <v>25</v>
      </c>
      <c r="F4" s="43" t="s">
        <v>10</v>
      </c>
      <c r="G4" s="45" t="s">
        <v>81</v>
      </c>
      <c r="H4" s="45" t="s">
        <v>82</v>
      </c>
      <c r="I4" s="45" t="s">
        <v>28</v>
      </c>
      <c r="J4" s="45" t="s">
        <v>29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2:24" ht="13.8" x14ac:dyDescent="0.25">
      <c r="B5" s="47" t="s">
        <v>58</v>
      </c>
      <c r="C5" s="47"/>
      <c r="D5" s="47" t="s">
        <v>943</v>
      </c>
      <c r="E5" s="47" t="s">
        <v>944</v>
      </c>
      <c r="F5" s="48" t="s">
        <v>807</v>
      </c>
    </row>
    <row r="6" spans="2:24" ht="13.8" x14ac:dyDescent="0.25">
      <c r="B6" s="47"/>
      <c r="C6" s="47"/>
      <c r="D6" s="47" t="s">
        <v>83</v>
      </c>
      <c r="E6" s="47" t="s">
        <v>84</v>
      </c>
      <c r="F6" s="48" t="s">
        <v>807</v>
      </c>
    </row>
    <row r="7" spans="2:24" ht="13.8" x14ac:dyDescent="0.25">
      <c r="B7" s="47"/>
      <c r="C7" s="47"/>
      <c r="D7" s="47" t="s">
        <v>85</v>
      </c>
      <c r="E7" s="47" t="s">
        <v>86</v>
      </c>
      <c r="F7" s="48" t="s">
        <v>807</v>
      </c>
    </row>
    <row r="8" spans="2:24" ht="13.8" x14ac:dyDescent="0.25">
      <c r="B8" s="47"/>
      <c r="C8" s="47"/>
      <c r="D8" s="47" t="s">
        <v>945</v>
      </c>
      <c r="E8" s="47" t="s">
        <v>87</v>
      </c>
      <c r="F8" s="48" t="s">
        <v>807</v>
      </c>
    </row>
    <row r="9" spans="2:24" ht="13.8" x14ac:dyDescent="0.25">
      <c r="B9" s="47"/>
      <c r="C9" s="47"/>
      <c r="D9" s="47" t="s">
        <v>88</v>
      </c>
      <c r="E9" s="47" t="s">
        <v>89</v>
      </c>
      <c r="F9" s="48" t="s">
        <v>807</v>
      </c>
    </row>
    <row r="10" spans="2:24" ht="13.8" x14ac:dyDescent="0.25">
      <c r="B10" s="47"/>
      <c r="C10" s="47"/>
      <c r="D10" s="47" t="s">
        <v>90</v>
      </c>
      <c r="E10" s="47" t="s">
        <v>91</v>
      </c>
      <c r="F10" s="48" t="s">
        <v>807</v>
      </c>
    </row>
    <row r="11" spans="2:24" ht="13.8" x14ac:dyDescent="0.25">
      <c r="B11" s="47"/>
      <c r="C11" s="47"/>
      <c r="D11" s="47" t="s">
        <v>92</v>
      </c>
      <c r="E11" s="47" t="s">
        <v>93</v>
      </c>
      <c r="F11" s="48" t="s">
        <v>807</v>
      </c>
    </row>
    <row r="12" spans="2:24" ht="13.8" x14ac:dyDescent="0.25">
      <c r="B12" s="47"/>
      <c r="C12" s="47"/>
      <c r="D12" s="47" t="s">
        <v>94</v>
      </c>
      <c r="E12" s="47" t="s">
        <v>95</v>
      </c>
      <c r="F12" s="48" t="s">
        <v>807</v>
      </c>
    </row>
    <row r="13" spans="2:24" ht="13.8" x14ac:dyDescent="0.25">
      <c r="B13" s="47"/>
      <c r="C13" s="47"/>
      <c r="D13" s="47" t="s">
        <v>96</v>
      </c>
      <c r="E13" s="47" t="s">
        <v>97</v>
      </c>
      <c r="F13" s="48" t="s">
        <v>807</v>
      </c>
    </row>
    <row r="14" spans="2:24" ht="13.8" x14ac:dyDescent="0.25">
      <c r="B14" s="47"/>
      <c r="C14" s="47"/>
      <c r="D14" s="47" t="s">
        <v>98</v>
      </c>
      <c r="E14" s="47" t="s">
        <v>99</v>
      </c>
      <c r="F14" s="48" t="s">
        <v>807</v>
      </c>
    </row>
    <row r="15" spans="2:24" ht="13.8" x14ac:dyDescent="0.25">
      <c r="B15" s="47"/>
      <c r="C15" s="47"/>
      <c r="D15" s="47" t="s">
        <v>100</v>
      </c>
      <c r="E15" s="47" t="s">
        <v>101</v>
      </c>
      <c r="F15" s="48" t="s">
        <v>807</v>
      </c>
    </row>
    <row r="16" spans="2:24" ht="13.8" x14ac:dyDescent="0.25">
      <c r="B16" s="47"/>
      <c r="C16" s="47"/>
      <c r="D16" s="47" t="s">
        <v>102</v>
      </c>
      <c r="E16" s="47" t="s">
        <v>103</v>
      </c>
      <c r="F16" s="48" t="s">
        <v>807</v>
      </c>
    </row>
    <row r="17" spans="2:6" ht="13.8" x14ac:dyDescent="0.25">
      <c r="B17" s="47"/>
      <c r="C17" s="47"/>
      <c r="D17" s="47" t="s">
        <v>104</v>
      </c>
      <c r="E17" s="47" t="s">
        <v>105</v>
      </c>
      <c r="F17" s="48" t="s">
        <v>807</v>
      </c>
    </row>
    <row r="18" spans="2:6" ht="13.8" x14ac:dyDescent="0.25">
      <c r="B18" s="47"/>
      <c r="C18" s="47"/>
      <c r="D18" s="47" t="s">
        <v>106</v>
      </c>
      <c r="E18" s="47" t="s">
        <v>107</v>
      </c>
      <c r="F18" s="48" t="s">
        <v>807</v>
      </c>
    </row>
    <row r="19" spans="2:6" ht="13.8" x14ac:dyDescent="0.25">
      <c r="B19" s="47"/>
      <c r="C19" s="47"/>
      <c r="D19" s="47" t="s">
        <v>108</v>
      </c>
      <c r="E19" s="47" t="s">
        <v>109</v>
      </c>
      <c r="F19" s="48" t="s">
        <v>807</v>
      </c>
    </row>
    <row r="20" spans="2:6" ht="13.8" x14ac:dyDescent="0.25">
      <c r="B20" s="47"/>
      <c r="C20" s="47"/>
      <c r="D20" s="47" t="s">
        <v>110</v>
      </c>
      <c r="E20" s="47" t="s">
        <v>111</v>
      </c>
      <c r="F20" s="48" t="s">
        <v>807</v>
      </c>
    </row>
    <row r="21" spans="2:6" ht="13.8" x14ac:dyDescent="0.25">
      <c r="B21" s="47"/>
      <c r="C21" s="47"/>
      <c r="D21" s="47" t="s">
        <v>112</v>
      </c>
      <c r="E21" s="47" t="s">
        <v>113</v>
      </c>
      <c r="F21" s="48" t="s">
        <v>807</v>
      </c>
    </row>
    <row r="22" spans="2:6" ht="13.8" x14ac:dyDescent="0.25">
      <c r="B22" s="47"/>
      <c r="C22" s="47"/>
      <c r="D22" s="47" t="s">
        <v>114</v>
      </c>
      <c r="E22" s="47" t="s">
        <v>115</v>
      </c>
      <c r="F22" s="48" t="s">
        <v>807</v>
      </c>
    </row>
    <row r="23" spans="2:6" ht="13.8" x14ac:dyDescent="0.25">
      <c r="B23" s="47"/>
      <c r="C23" s="47"/>
      <c r="D23" s="47" t="s">
        <v>116</v>
      </c>
      <c r="E23" s="47" t="s">
        <v>117</v>
      </c>
      <c r="F23" s="48" t="s">
        <v>807</v>
      </c>
    </row>
    <row r="24" spans="2:6" ht="13.8" x14ac:dyDescent="0.25">
      <c r="B24" s="47"/>
      <c r="C24" s="47"/>
      <c r="D24" s="47" t="s">
        <v>118</v>
      </c>
      <c r="E24" s="47" t="s">
        <v>119</v>
      </c>
      <c r="F24" s="48" t="s">
        <v>807</v>
      </c>
    </row>
    <row r="25" spans="2:6" ht="13.8" x14ac:dyDescent="0.25">
      <c r="B25" s="47"/>
      <c r="C25" s="47"/>
      <c r="D25" s="47" t="s">
        <v>120</v>
      </c>
      <c r="E25" s="47" t="s">
        <v>121</v>
      </c>
      <c r="F25" s="48" t="s">
        <v>807</v>
      </c>
    </row>
    <row r="26" spans="2:6" ht="13.8" x14ac:dyDescent="0.25">
      <c r="B26" s="47"/>
      <c r="C26" s="47"/>
      <c r="D26" s="47" t="s">
        <v>122</v>
      </c>
      <c r="E26" s="47" t="s">
        <v>123</v>
      </c>
      <c r="F26" s="48" t="s">
        <v>807</v>
      </c>
    </row>
    <row r="27" spans="2:6" ht="13.8" x14ac:dyDescent="0.25">
      <c r="B27" s="47"/>
      <c r="C27" s="47"/>
      <c r="D27" s="47" t="s">
        <v>124</v>
      </c>
      <c r="E27" s="47" t="s">
        <v>125</v>
      </c>
      <c r="F27" s="48" t="s">
        <v>807</v>
      </c>
    </row>
    <row r="28" spans="2:6" ht="13.8" x14ac:dyDescent="0.25">
      <c r="B28" s="47"/>
      <c r="C28" s="47"/>
      <c r="D28" s="47" t="s">
        <v>126</v>
      </c>
      <c r="E28" s="47" t="s">
        <v>127</v>
      </c>
      <c r="F28" s="48" t="s">
        <v>807</v>
      </c>
    </row>
    <row r="29" spans="2:6" ht="13.8" x14ac:dyDescent="0.25">
      <c r="B29" s="47"/>
      <c r="C29" s="47"/>
      <c r="D29" s="47" t="s">
        <v>128</v>
      </c>
      <c r="E29" s="47" t="s">
        <v>129</v>
      </c>
      <c r="F29" s="48" t="s">
        <v>807</v>
      </c>
    </row>
    <row r="30" spans="2:6" ht="13.8" x14ac:dyDescent="0.25">
      <c r="B30" s="47"/>
      <c r="C30" s="47"/>
      <c r="D30" s="47" t="s">
        <v>57</v>
      </c>
      <c r="E30" s="47" t="s">
        <v>130</v>
      </c>
      <c r="F30" s="48" t="s">
        <v>807</v>
      </c>
    </row>
    <row r="31" spans="2:6" ht="13.8" x14ac:dyDescent="0.25">
      <c r="B31" s="47"/>
      <c r="C31" s="47"/>
      <c r="D31" s="47" t="s">
        <v>131</v>
      </c>
      <c r="E31" s="47" t="s">
        <v>132</v>
      </c>
      <c r="F31" s="48" t="s">
        <v>807</v>
      </c>
    </row>
    <row r="32" spans="2:6" ht="13.8" x14ac:dyDescent="0.25">
      <c r="B32" s="47"/>
      <c r="C32" s="47"/>
      <c r="D32" s="47" t="s">
        <v>133</v>
      </c>
      <c r="E32" s="47" t="s">
        <v>134</v>
      </c>
      <c r="F32" s="48" t="s">
        <v>807</v>
      </c>
    </row>
    <row r="33" spans="2:6" ht="13.8" x14ac:dyDescent="0.25">
      <c r="B33" s="47"/>
      <c r="C33" s="47"/>
      <c r="D33" s="47" t="s">
        <v>135</v>
      </c>
      <c r="E33" s="47" t="s">
        <v>136</v>
      </c>
      <c r="F33" s="48" t="s">
        <v>807</v>
      </c>
    </row>
    <row r="34" spans="2:6" ht="13.8" x14ac:dyDescent="0.25">
      <c r="B34" s="47"/>
      <c r="C34" s="47"/>
      <c r="D34" s="47" t="s">
        <v>137</v>
      </c>
      <c r="E34" s="47" t="s">
        <v>138</v>
      </c>
      <c r="F34" s="48" t="s">
        <v>807</v>
      </c>
    </row>
    <row r="35" spans="2:6" ht="13.8" x14ac:dyDescent="0.25">
      <c r="B35" s="47"/>
      <c r="C35" s="47"/>
      <c r="D35" s="47" t="s">
        <v>139</v>
      </c>
      <c r="E35" s="47" t="s">
        <v>140</v>
      </c>
      <c r="F35" s="48" t="s">
        <v>807</v>
      </c>
    </row>
    <row r="36" spans="2:6" ht="13.8" x14ac:dyDescent="0.25">
      <c r="B36" s="47"/>
      <c r="C36" s="47"/>
      <c r="D36" s="47" t="s">
        <v>141</v>
      </c>
      <c r="E36" s="47" t="s">
        <v>142</v>
      </c>
      <c r="F36" s="48" t="s">
        <v>807</v>
      </c>
    </row>
    <row r="37" spans="2:6" ht="13.8" x14ac:dyDescent="0.25">
      <c r="B37" s="47"/>
      <c r="C37" s="47"/>
      <c r="D37" s="47" t="s">
        <v>143</v>
      </c>
      <c r="E37" s="47" t="s">
        <v>144</v>
      </c>
      <c r="F37" s="48" t="s">
        <v>807</v>
      </c>
    </row>
    <row r="38" spans="2:6" ht="13.8" x14ac:dyDescent="0.25">
      <c r="B38" s="47"/>
      <c r="C38" s="47"/>
      <c r="D38" s="47" t="s">
        <v>946</v>
      </c>
      <c r="E38" s="47" t="s">
        <v>947</v>
      </c>
      <c r="F38" s="48" t="s">
        <v>807</v>
      </c>
    </row>
    <row r="39" spans="2:6" ht="13.8" x14ac:dyDescent="0.25">
      <c r="B39" s="47"/>
      <c r="C39" s="47"/>
      <c r="D39" s="47" t="s">
        <v>145</v>
      </c>
      <c r="E39" s="47" t="s">
        <v>948</v>
      </c>
      <c r="F39" s="48" t="s">
        <v>807</v>
      </c>
    </row>
    <row r="40" spans="2:6" ht="13.8" x14ac:dyDescent="0.25">
      <c r="B40" s="47"/>
      <c r="C40" s="47"/>
      <c r="D40" s="47" t="s">
        <v>146</v>
      </c>
      <c r="E40" s="47" t="s">
        <v>949</v>
      </c>
      <c r="F40" s="48" t="s">
        <v>807</v>
      </c>
    </row>
    <row r="41" spans="2:6" ht="13.8" x14ac:dyDescent="0.25">
      <c r="B41" s="47"/>
      <c r="C41" s="47"/>
      <c r="D41" s="47" t="s">
        <v>147</v>
      </c>
      <c r="E41" s="47" t="s">
        <v>148</v>
      </c>
      <c r="F41" s="48" t="s">
        <v>807</v>
      </c>
    </row>
    <row r="42" spans="2:6" ht="13.8" x14ac:dyDescent="0.25">
      <c r="B42" s="47"/>
      <c r="C42" s="47"/>
      <c r="D42" s="47" t="s">
        <v>149</v>
      </c>
      <c r="E42" s="47" t="s">
        <v>150</v>
      </c>
      <c r="F42" s="48" t="s">
        <v>807</v>
      </c>
    </row>
    <row r="43" spans="2:6" ht="13.8" x14ac:dyDescent="0.25">
      <c r="B43" s="47"/>
      <c r="C43" s="47"/>
      <c r="D43" s="47" t="s">
        <v>151</v>
      </c>
      <c r="E43" s="47" t="s">
        <v>152</v>
      </c>
      <c r="F43" s="48" t="s">
        <v>807</v>
      </c>
    </row>
    <row r="44" spans="2:6" ht="13.8" x14ac:dyDescent="0.25">
      <c r="B44" s="47"/>
      <c r="C44" s="47"/>
      <c r="D44" s="47" t="s">
        <v>153</v>
      </c>
      <c r="E44" s="47" t="s">
        <v>154</v>
      </c>
      <c r="F44" s="48" t="s">
        <v>807</v>
      </c>
    </row>
    <row r="45" spans="2:6" ht="13.8" x14ac:dyDescent="0.25">
      <c r="B45" s="47"/>
      <c r="C45" s="47"/>
      <c r="D45" s="47" t="s">
        <v>155</v>
      </c>
      <c r="E45" s="47" t="s">
        <v>156</v>
      </c>
      <c r="F45" s="48" t="s">
        <v>807</v>
      </c>
    </row>
    <row r="46" spans="2:6" ht="13.8" x14ac:dyDescent="0.25">
      <c r="B46" s="47"/>
      <c r="C46" s="47"/>
      <c r="D46" s="47" t="s">
        <v>157</v>
      </c>
      <c r="E46" s="47" t="s">
        <v>158</v>
      </c>
      <c r="F46" s="48" t="s">
        <v>807</v>
      </c>
    </row>
    <row r="47" spans="2:6" ht="13.8" x14ac:dyDescent="0.25">
      <c r="B47" s="47"/>
      <c r="C47" s="47"/>
      <c r="D47" s="47" t="s">
        <v>149</v>
      </c>
      <c r="E47" s="47" t="s">
        <v>159</v>
      </c>
      <c r="F47" s="48" t="s">
        <v>807</v>
      </c>
    </row>
    <row r="48" spans="2:6" ht="13.8" x14ac:dyDescent="0.25">
      <c r="B48" s="47"/>
      <c r="C48" s="47"/>
      <c r="D48" s="47" t="s">
        <v>160</v>
      </c>
      <c r="E48" s="47" t="s">
        <v>161</v>
      </c>
      <c r="F48" s="48" t="s">
        <v>807</v>
      </c>
    </row>
    <row r="49" spans="2:6" ht="13.8" x14ac:dyDescent="0.25">
      <c r="B49" s="47"/>
      <c r="C49" s="47"/>
      <c r="D49" s="47" t="s">
        <v>162</v>
      </c>
      <c r="E49" s="47" t="s">
        <v>163</v>
      </c>
      <c r="F49" s="48" t="s">
        <v>807</v>
      </c>
    </row>
    <row r="50" spans="2:6" ht="13.8" x14ac:dyDescent="0.25">
      <c r="B50" s="47"/>
      <c r="C50" s="47"/>
      <c r="D50" s="47" t="s">
        <v>164</v>
      </c>
      <c r="E50" s="47" t="s">
        <v>165</v>
      </c>
      <c r="F50" s="48" t="s">
        <v>807</v>
      </c>
    </row>
    <row r="51" spans="2:6" ht="13.8" x14ac:dyDescent="0.25">
      <c r="B51" s="47"/>
      <c r="C51" s="47"/>
      <c r="D51" s="47" t="s">
        <v>166</v>
      </c>
      <c r="E51" s="47" t="s">
        <v>950</v>
      </c>
      <c r="F51" s="48" t="s">
        <v>807</v>
      </c>
    </row>
    <row r="52" spans="2:6" ht="13.8" x14ac:dyDescent="0.25">
      <c r="B52" s="47"/>
      <c r="C52" s="47"/>
      <c r="D52" s="47" t="s">
        <v>167</v>
      </c>
      <c r="E52" s="47" t="s">
        <v>168</v>
      </c>
      <c r="F52" s="48" t="s">
        <v>807</v>
      </c>
    </row>
    <row r="53" spans="2:6" ht="13.8" x14ac:dyDescent="0.25">
      <c r="B53" s="47"/>
      <c r="C53" s="47"/>
      <c r="D53" s="47" t="s">
        <v>169</v>
      </c>
      <c r="E53" s="47" t="s">
        <v>170</v>
      </c>
      <c r="F53" s="48" t="s">
        <v>807</v>
      </c>
    </row>
    <row r="54" spans="2:6" ht="13.8" x14ac:dyDescent="0.25">
      <c r="B54" s="47"/>
      <c r="C54" s="47"/>
      <c r="D54" s="47" t="s">
        <v>171</v>
      </c>
      <c r="E54" s="47" t="s">
        <v>172</v>
      </c>
      <c r="F54" s="48" t="s">
        <v>807</v>
      </c>
    </row>
    <row r="55" spans="2:6" ht="13.8" x14ac:dyDescent="0.25">
      <c r="B55" s="47"/>
      <c r="C55" s="47"/>
      <c r="D55" s="47" t="s">
        <v>173</v>
      </c>
      <c r="E55" s="47" t="s">
        <v>174</v>
      </c>
      <c r="F55" s="48" t="s">
        <v>807</v>
      </c>
    </row>
    <row r="56" spans="2:6" ht="13.8" x14ac:dyDescent="0.25">
      <c r="B56" s="47"/>
      <c r="C56" s="47"/>
      <c r="D56" s="47" t="s">
        <v>175</v>
      </c>
      <c r="E56" s="47" t="s">
        <v>176</v>
      </c>
      <c r="F56" s="48" t="s">
        <v>807</v>
      </c>
    </row>
    <row r="57" spans="2:6" ht="13.8" x14ac:dyDescent="0.25">
      <c r="B57" s="47"/>
      <c r="C57" s="47"/>
      <c r="D57" s="47" t="s">
        <v>951</v>
      </c>
      <c r="E57" s="47" t="s">
        <v>952</v>
      </c>
      <c r="F57" s="48" t="s">
        <v>807</v>
      </c>
    </row>
    <row r="58" spans="2:6" ht="13.8" x14ac:dyDescent="0.25">
      <c r="B58" s="47"/>
      <c r="C58" s="47"/>
      <c r="D58" s="47" t="s">
        <v>177</v>
      </c>
      <c r="E58" s="47" t="s">
        <v>178</v>
      </c>
      <c r="F58" s="48" t="s">
        <v>807</v>
      </c>
    </row>
    <row r="59" spans="2:6" ht="13.8" x14ac:dyDescent="0.25">
      <c r="B59" s="47"/>
      <c r="C59" s="47"/>
      <c r="D59" s="47" t="s">
        <v>953</v>
      </c>
      <c r="E59" s="47" t="s">
        <v>179</v>
      </c>
      <c r="F59" s="48" t="s">
        <v>807</v>
      </c>
    </row>
    <row r="60" spans="2:6" ht="13.8" x14ac:dyDescent="0.25">
      <c r="B60" s="47"/>
      <c r="C60" s="47"/>
      <c r="D60" s="47" t="s">
        <v>180</v>
      </c>
      <c r="E60" s="47" t="s">
        <v>181</v>
      </c>
      <c r="F60" s="48" t="s">
        <v>807</v>
      </c>
    </row>
    <row r="61" spans="2:6" ht="13.8" x14ac:dyDescent="0.25">
      <c r="B61" s="47"/>
      <c r="C61" s="47"/>
      <c r="D61" s="47" t="s">
        <v>182</v>
      </c>
      <c r="E61" s="47" t="s">
        <v>183</v>
      </c>
      <c r="F61" s="48" t="s">
        <v>807</v>
      </c>
    </row>
    <row r="62" spans="2:6" ht="13.8" x14ac:dyDescent="0.25">
      <c r="B62" s="47"/>
      <c r="C62" s="47"/>
      <c r="D62" s="47" t="s">
        <v>184</v>
      </c>
      <c r="E62" s="47" t="s">
        <v>185</v>
      </c>
      <c r="F62" s="48" t="s">
        <v>807</v>
      </c>
    </row>
    <row r="63" spans="2:6" ht="13.8" x14ac:dyDescent="0.25">
      <c r="B63" s="47"/>
      <c r="C63" s="47"/>
      <c r="D63" s="47" t="s">
        <v>186</v>
      </c>
      <c r="E63" s="47" t="s">
        <v>187</v>
      </c>
      <c r="F63" s="48" t="s">
        <v>807</v>
      </c>
    </row>
    <row r="64" spans="2:6" ht="13.8" x14ac:dyDescent="0.25">
      <c r="B64" s="47"/>
      <c r="C64" s="47"/>
      <c r="D64" s="47" t="s">
        <v>188</v>
      </c>
      <c r="E64" s="47" t="s">
        <v>189</v>
      </c>
      <c r="F64" s="48" t="s">
        <v>807</v>
      </c>
    </row>
    <row r="65" spans="2:6" ht="13.8" x14ac:dyDescent="0.25">
      <c r="B65" s="47"/>
      <c r="C65" s="47"/>
      <c r="D65" s="47" t="s">
        <v>954</v>
      </c>
      <c r="E65" s="47" t="s">
        <v>190</v>
      </c>
      <c r="F65" s="48" t="s">
        <v>807</v>
      </c>
    </row>
    <row r="66" spans="2:6" ht="13.8" x14ac:dyDescent="0.25">
      <c r="B66" s="47"/>
      <c r="C66" s="47"/>
      <c r="D66" s="47" t="s">
        <v>191</v>
      </c>
      <c r="E66" s="47" t="s">
        <v>192</v>
      </c>
      <c r="F66" s="48" t="s">
        <v>807</v>
      </c>
    </row>
    <row r="67" spans="2:6" ht="13.8" x14ac:dyDescent="0.25">
      <c r="B67" s="47"/>
      <c r="C67" s="47"/>
      <c r="D67" s="47" t="s">
        <v>193</v>
      </c>
      <c r="E67" s="47" t="s">
        <v>194</v>
      </c>
      <c r="F67" s="48" t="s">
        <v>807</v>
      </c>
    </row>
    <row r="68" spans="2:6" ht="13.8" x14ac:dyDescent="0.25">
      <c r="B68" s="47"/>
      <c r="C68" s="47"/>
      <c r="D68" s="47" t="s">
        <v>955</v>
      </c>
      <c r="E68" s="47" t="s">
        <v>956</v>
      </c>
      <c r="F68" s="48" t="s">
        <v>807</v>
      </c>
    </row>
    <row r="69" spans="2:6" ht="13.8" x14ac:dyDescent="0.25">
      <c r="B69" s="47"/>
      <c r="C69" s="47"/>
      <c r="D69" s="47" t="s">
        <v>195</v>
      </c>
      <c r="E69" s="47" t="s">
        <v>196</v>
      </c>
      <c r="F69" s="48" t="s">
        <v>807</v>
      </c>
    </row>
    <row r="70" spans="2:6" ht="13.8" x14ac:dyDescent="0.25">
      <c r="B70" s="47"/>
      <c r="C70" s="47"/>
      <c r="D70" s="47" t="s">
        <v>197</v>
      </c>
      <c r="E70" s="47" t="s">
        <v>198</v>
      </c>
      <c r="F70" s="48" t="s">
        <v>807</v>
      </c>
    </row>
    <row r="71" spans="2:6" ht="13.8" x14ac:dyDescent="0.25">
      <c r="B71" s="47"/>
      <c r="C71" s="47"/>
      <c r="D71" s="47" t="s">
        <v>957</v>
      </c>
      <c r="E71" s="47" t="s">
        <v>199</v>
      </c>
      <c r="F71" s="48" t="s">
        <v>807</v>
      </c>
    </row>
    <row r="72" spans="2:6" ht="13.8" x14ac:dyDescent="0.25">
      <c r="B72" s="47"/>
      <c r="C72" s="47"/>
      <c r="D72" s="47" t="s">
        <v>200</v>
      </c>
      <c r="E72" s="47" t="s">
        <v>201</v>
      </c>
      <c r="F72" s="48" t="s">
        <v>807</v>
      </c>
    </row>
    <row r="73" spans="2:6" ht="13.8" x14ac:dyDescent="0.25">
      <c r="B73" s="47"/>
      <c r="C73" s="47"/>
      <c r="D73" s="47" t="s">
        <v>202</v>
      </c>
      <c r="E73" s="47" t="s">
        <v>203</v>
      </c>
      <c r="F73" s="48" t="s">
        <v>807</v>
      </c>
    </row>
    <row r="74" spans="2:6" ht="13.8" x14ac:dyDescent="0.25">
      <c r="B74" s="47"/>
      <c r="C74" s="47"/>
      <c r="D74" s="47" t="s">
        <v>204</v>
      </c>
      <c r="E74" s="47" t="s">
        <v>205</v>
      </c>
      <c r="F74" s="48" t="s">
        <v>807</v>
      </c>
    </row>
    <row r="75" spans="2:6" ht="13.8" x14ac:dyDescent="0.25">
      <c r="B75" s="47"/>
      <c r="C75" s="47"/>
      <c r="D75" s="47" t="s">
        <v>206</v>
      </c>
      <c r="E75" s="47" t="s">
        <v>207</v>
      </c>
      <c r="F75" s="48" t="s">
        <v>807</v>
      </c>
    </row>
    <row r="76" spans="2:6" ht="13.8" x14ac:dyDescent="0.25">
      <c r="B76" s="47"/>
      <c r="C76" s="47"/>
      <c r="D76" s="47" t="s">
        <v>208</v>
      </c>
      <c r="E76" s="47" t="s">
        <v>209</v>
      </c>
      <c r="F76" s="48" t="s">
        <v>807</v>
      </c>
    </row>
    <row r="77" spans="2:6" ht="13.8" x14ac:dyDescent="0.25">
      <c r="B77" s="47"/>
      <c r="C77" s="47"/>
      <c r="D77" s="47" t="s">
        <v>210</v>
      </c>
      <c r="E77" s="47" t="s">
        <v>211</v>
      </c>
      <c r="F77" s="48" t="s">
        <v>807</v>
      </c>
    </row>
    <row r="78" spans="2:6" ht="13.8" x14ac:dyDescent="0.25">
      <c r="B78" s="47"/>
      <c r="C78" s="47"/>
      <c r="D78" s="47" t="s">
        <v>212</v>
      </c>
      <c r="E78" s="47" t="s">
        <v>213</v>
      </c>
      <c r="F78" s="48" t="s">
        <v>807</v>
      </c>
    </row>
    <row r="79" spans="2:6" ht="13.8" x14ac:dyDescent="0.25">
      <c r="B79" s="47"/>
      <c r="C79" s="47"/>
      <c r="D79" s="47" t="s">
        <v>68</v>
      </c>
      <c r="E79" s="47" t="s">
        <v>214</v>
      </c>
      <c r="F79" s="48" t="s">
        <v>807</v>
      </c>
    </row>
    <row r="80" spans="2:6" ht="13.8" x14ac:dyDescent="0.25">
      <c r="B80" s="47"/>
      <c r="C80" s="47"/>
      <c r="D80" s="47" t="s">
        <v>215</v>
      </c>
      <c r="E80" s="47" t="s">
        <v>216</v>
      </c>
      <c r="F80" s="48" t="s">
        <v>807</v>
      </c>
    </row>
    <row r="81" spans="2:6" ht="13.8" x14ac:dyDescent="0.25">
      <c r="B81" s="47"/>
      <c r="C81" s="47"/>
      <c r="D81" s="47" t="s">
        <v>217</v>
      </c>
      <c r="E81" s="47" t="s">
        <v>218</v>
      </c>
      <c r="F81" s="48" t="s">
        <v>807</v>
      </c>
    </row>
    <row r="82" spans="2:6" ht="13.8" x14ac:dyDescent="0.25">
      <c r="B82" s="47"/>
      <c r="C82" s="47"/>
      <c r="D82" s="47" t="s">
        <v>219</v>
      </c>
      <c r="E82" s="47" t="s">
        <v>220</v>
      </c>
      <c r="F82" s="48" t="s">
        <v>807</v>
      </c>
    </row>
    <row r="83" spans="2:6" ht="13.8" x14ac:dyDescent="0.25">
      <c r="B83" s="47"/>
      <c r="C83" s="47"/>
      <c r="D83" s="47" t="s">
        <v>221</v>
      </c>
      <c r="E83" s="47" t="s">
        <v>222</v>
      </c>
      <c r="F83" s="48" t="s">
        <v>807</v>
      </c>
    </row>
    <row r="84" spans="2:6" ht="13.8" x14ac:dyDescent="0.25">
      <c r="B84" s="47"/>
      <c r="C84" s="47"/>
      <c r="D84" s="47" t="s">
        <v>223</v>
      </c>
      <c r="E84" s="47" t="s">
        <v>224</v>
      </c>
      <c r="F84" s="48" t="s">
        <v>807</v>
      </c>
    </row>
    <row r="85" spans="2:6" ht="13.8" x14ac:dyDescent="0.25">
      <c r="B85" s="47"/>
      <c r="C85" s="47"/>
      <c r="D85" s="47" t="s">
        <v>225</v>
      </c>
      <c r="E85" s="47" t="s">
        <v>226</v>
      </c>
      <c r="F85" s="48" t="s">
        <v>807</v>
      </c>
    </row>
    <row r="86" spans="2:6" ht="13.8" x14ac:dyDescent="0.25">
      <c r="B86" s="47"/>
      <c r="C86" s="47"/>
      <c r="D86" s="47" t="s">
        <v>227</v>
      </c>
      <c r="E86" s="47" t="s">
        <v>228</v>
      </c>
      <c r="F86" s="48" t="s">
        <v>807</v>
      </c>
    </row>
    <row r="87" spans="2:6" ht="13.8" x14ac:dyDescent="0.25">
      <c r="B87" s="47"/>
      <c r="C87" s="47"/>
      <c r="D87" s="47" t="s">
        <v>229</v>
      </c>
      <c r="E87" s="47" t="s">
        <v>230</v>
      </c>
      <c r="F87" s="48" t="s">
        <v>807</v>
      </c>
    </row>
    <row r="88" spans="2:6" ht="13.8" x14ac:dyDescent="0.25">
      <c r="B88" s="47"/>
      <c r="C88" s="47"/>
      <c r="D88" s="47" t="s">
        <v>231</v>
      </c>
      <c r="E88" s="47" t="s">
        <v>232</v>
      </c>
      <c r="F88" s="48" t="s">
        <v>807</v>
      </c>
    </row>
    <row r="89" spans="2:6" ht="13.8" x14ac:dyDescent="0.25">
      <c r="B89" s="47"/>
      <c r="C89" s="47"/>
      <c r="D89" s="47" t="s">
        <v>233</v>
      </c>
      <c r="E89" s="47" t="s">
        <v>234</v>
      </c>
      <c r="F89" s="48" t="s">
        <v>807</v>
      </c>
    </row>
    <row r="90" spans="2:6" ht="13.8" x14ac:dyDescent="0.25">
      <c r="B90" s="47"/>
      <c r="C90" s="47"/>
      <c r="D90" s="47" t="s">
        <v>235</v>
      </c>
      <c r="E90" s="47" t="s">
        <v>236</v>
      </c>
      <c r="F90" s="48" t="s">
        <v>807</v>
      </c>
    </row>
    <row r="91" spans="2:6" ht="13.8" x14ac:dyDescent="0.25">
      <c r="B91" s="47"/>
      <c r="C91" s="47"/>
      <c r="D91" s="47" t="s">
        <v>237</v>
      </c>
      <c r="E91" s="47" t="s">
        <v>238</v>
      </c>
      <c r="F91" s="48" t="s">
        <v>807</v>
      </c>
    </row>
    <row r="92" spans="2:6" ht="13.8" x14ac:dyDescent="0.25">
      <c r="B92" s="47"/>
      <c r="C92" s="47"/>
      <c r="D92" s="47" t="s">
        <v>239</v>
      </c>
      <c r="E92" s="47" t="s">
        <v>240</v>
      </c>
      <c r="F92" s="48" t="s">
        <v>807</v>
      </c>
    </row>
    <row r="93" spans="2:6" ht="13.8" x14ac:dyDescent="0.25">
      <c r="B93" s="47"/>
      <c r="C93" s="47"/>
      <c r="D93" s="47" t="s">
        <v>241</v>
      </c>
      <c r="E93" s="47" t="s">
        <v>242</v>
      </c>
      <c r="F93" s="48" t="s">
        <v>807</v>
      </c>
    </row>
    <row r="94" spans="2:6" ht="13.8" x14ac:dyDescent="0.25">
      <c r="B94" s="47"/>
      <c r="C94" s="47"/>
      <c r="D94" s="47" t="s">
        <v>243</v>
      </c>
      <c r="E94" s="47" t="s">
        <v>244</v>
      </c>
      <c r="F94" s="48" t="s">
        <v>807</v>
      </c>
    </row>
    <row r="95" spans="2:6" ht="13.8" x14ac:dyDescent="0.25">
      <c r="B95" s="47"/>
      <c r="C95" s="47"/>
      <c r="D95" s="47" t="s">
        <v>245</v>
      </c>
      <c r="E95" s="47" t="s">
        <v>246</v>
      </c>
      <c r="F95" s="48" t="s">
        <v>807</v>
      </c>
    </row>
    <row r="96" spans="2:6" ht="13.8" x14ac:dyDescent="0.25">
      <c r="B96" s="47"/>
      <c r="C96" s="47"/>
      <c r="D96" s="47" t="s">
        <v>247</v>
      </c>
      <c r="E96" s="47" t="s">
        <v>248</v>
      </c>
      <c r="F96" s="48" t="s">
        <v>807</v>
      </c>
    </row>
    <row r="97" spans="2:6" ht="13.8" x14ac:dyDescent="0.25">
      <c r="B97" s="47"/>
      <c r="C97" s="47"/>
      <c r="D97" s="47" t="s">
        <v>249</v>
      </c>
      <c r="E97" s="47" t="s">
        <v>250</v>
      </c>
      <c r="F97" s="48" t="s">
        <v>807</v>
      </c>
    </row>
    <row r="98" spans="2:6" ht="13.8" x14ac:dyDescent="0.25">
      <c r="B98" s="47"/>
      <c r="C98" s="47"/>
      <c r="D98" s="47" t="s">
        <v>251</v>
      </c>
      <c r="E98" s="47" t="s">
        <v>252</v>
      </c>
      <c r="F98" s="48" t="s">
        <v>807</v>
      </c>
    </row>
    <row r="99" spans="2:6" ht="13.8" x14ac:dyDescent="0.25">
      <c r="B99" s="47"/>
      <c r="C99" s="47"/>
      <c r="D99" s="47" t="s">
        <v>253</v>
      </c>
      <c r="E99" s="47" t="s">
        <v>254</v>
      </c>
      <c r="F99" s="48" t="s">
        <v>807</v>
      </c>
    </row>
    <row r="100" spans="2:6" ht="13.8" x14ac:dyDescent="0.25">
      <c r="B100" s="47"/>
      <c r="C100" s="47"/>
      <c r="D100" s="47" t="s">
        <v>255</v>
      </c>
      <c r="E100" s="47" t="s">
        <v>256</v>
      </c>
      <c r="F100" s="48" t="s">
        <v>807</v>
      </c>
    </row>
    <row r="101" spans="2:6" ht="13.8" x14ac:dyDescent="0.25">
      <c r="B101" s="47"/>
      <c r="C101" s="47"/>
      <c r="D101" s="47" t="s">
        <v>257</v>
      </c>
      <c r="E101" s="47" t="s">
        <v>258</v>
      </c>
      <c r="F101" s="48" t="s">
        <v>807</v>
      </c>
    </row>
    <row r="102" spans="2:6" ht="13.8" x14ac:dyDescent="0.25">
      <c r="B102" s="47"/>
      <c r="C102" s="47"/>
      <c r="D102" s="47" t="s">
        <v>259</v>
      </c>
      <c r="E102" s="47" t="s">
        <v>260</v>
      </c>
      <c r="F102" s="48" t="s">
        <v>807</v>
      </c>
    </row>
    <row r="103" spans="2:6" ht="13.8" x14ac:dyDescent="0.25">
      <c r="B103" s="47"/>
      <c r="C103" s="47"/>
      <c r="D103" s="47" t="s">
        <v>261</v>
      </c>
      <c r="E103" s="47" t="s">
        <v>262</v>
      </c>
      <c r="F103" s="48" t="s">
        <v>807</v>
      </c>
    </row>
    <row r="104" spans="2:6" ht="13.8" x14ac:dyDescent="0.25">
      <c r="B104" s="47"/>
      <c r="C104" s="47"/>
      <c r="D104" s="47" t="s">
        <v>253</v>
      </c>
      <c r="E104" s="47" t="s">
        <v>263</v>
      </c>
      <c r="F104" s="48" t="s">
        <v>807</v>
      </c>
    </row>
    <row r="105" spans="2:6" ht="13.8" x14ac:dyDescent="0.25">
      <c r="B105" s="47"/>
      <c r="C105" s="47"/>
      <c r="D105" s="47" t="s">
        <v>264</v>
      </c>
      <c r="E105" s="47" t="s">
        <v>265</v>
      </c>
      <c r="F105" s="48" t="s">
        <v>807</v>
      </c>
    </row>
    <row r="106" spans="2:6" ht="13.8" x14ac:dyDescent="0.25">
      <c r="B106" s="47"/>
      <c r="C106" s="47"/>
      <c r="D106" s="47" t="s">
        <v>266</v>
      </c>
      <c r="E106" s="47" t="s">
        <v>267</v>
      </c>
      <c r="F106" s="48" t="s">
        <v>807</v>
      </c>
    </row>
    <row r="107" spans="2:6" ht="13.8" x14ac:dyDescent="0.25">
      <c r="B107" s="47"/>
      <c r="C107" s="47"/>
      <c r="D107" s="47" t="s">
        <v>268</v>
      </c>
      <c r="E107" s="47" t="s">
        <v>269</v>
      </c>
      <c r="F107" s="48" t="s">
        <v>807</v>
      </c>
    </row>
    <row r="108" spans="2:6" ht="13.8" x14ac:dyDescent="0.25">
      <c r="B108" s="47"/>
      <c r="C108" s="47"/>
      <c r="D108" s="47" t="s">
        <v>270</v>
      </c>
      <c r="E108" s="47" t="s">
        <v>271</v>
      </c>
      <c r="F108" s="48" t="s">
        <v>807</v>
      </c>
    </row>
    <row r="109" spans="2:6" ht="13.8" x14ac:dyDescent="0.25">
      <c r="B109" s="47"/>
      <c r="C109" s="47"/>
      <c r="D109" s="47" t="s">
        <v>272</v>
      </c>
      <c r="E109" s="47" t="s">
        <v>273</v>
      </c>
      <c r="F109" s="48" t="s">
        <v>807</v>
      </c>
    </row>
    <row r="110" spans="2:6" ht="13.8" x14ac:dyDescent="0.25">
      <c r="B110" s="47"/>
      <c r="C110" s="47"/>
      <c r="D110" s="47" t="s">
        <v>274</v>
      </c>
      <c r="E110" s="47" t="s">
        <v>275</v>
      </c>
      <c r="F110" s="48" t="s">
        <v>807</v>
      </c>
    </row>
    <row r="111" spans="2:6" ht="13.8" x14ac:dyDescent="0.25">
      <c r="B111" s="47"/>
      <c r="C111" s="47"/>
      <c r="D111" s="47" t="s">
        <v>276</v>
      </c>
      <c r="E111" s="47" t="s">
        <v>277</v>
      </c>
      <c r="F111" s="48" t="s">
        <v>807</v>
      </c>
    </row>
    <row r="112" spans="2:6" ht="13.8" x14ac:dyDescent="0.25">
      <c r="B112" s="47"/>
      <c r="C112" s="47"/>
      <c r="D112" s="47" t="s">
        <v>278</v>
      </c>
      <c r="E112" s="47" t="s">
        <v>279</v>
      </c>
      <c r="F112" s="48" t="s">
        <v>807</v>
      </c>
    </row>
    <row r="113" spans="2:6" ht="13.8" x14ac:dyDescent="0.25">
      <c r="B113" s="47"/>
      <c r="C113" s="47"/>
      <c r="D113" s="47" t="s">
        <v>958</v>
      </c>
      <c r="E113" s="47" t="s">
        <v>959</v>
      </c>
      <c r="F113" s="48" t="s">
        <v>807</v>
      </c>
    </row>
    <row r="114" spans="2:6" ht="13.8" x14ac:dyDescent="0.25">
      <c r="B114" s="47"/>
      <c r="C114" s="47"/>
      <c r="D114" s="47" t="s">
        <v>280</v>
      </c>
      <c r="E114" s="47" t="s">
        <v>281</v>
      </c>
      <c r="F114" s="48" t="s">
        <v>807</v>
      </c>
    </row>
    <row r="115" spans="2:6" ht="13.8" x14ac:dyDescent="0.25">
      <c r="B115" s="47"/>
      <c r="C115" s="47"/>
      <c r="D115" s="47" t="s">
        <v>282</v>
      </c>
      <c r="E115" s="47" t="s">
        <v>283</v>
      </c>
      <c r="F115" s="48" t="s">
        <v>807</v>
      </c>
    </row>
    <row r="116" spans="2:6" ht="13.8" x14ac:dyDescent="0.25">
      <c r="B116" s="47"/>
      <c r="C116" s="47"/>
      <c r="D116" s="47" t="s">
        <v>960</v>
      </c>
      <c r="E116" s="47" t="s">
        <v>284</v>
      </c>
      <c r="F116" s="48" t="s">
        <v>807</v>
      </c>
    </row>
    <row r="117" spans="2:6" ht="13.8" x14ac:dyDescent="0.25">
      <c r="B117" s="47"/>
      <c r="C117" s="47"/>
      <c r="D117" s="47" t="s">
        <v>285</v>
      </c>
      <c r="E117" s="47" t="s">
        <v>286</v>
      </c>
      <c r="F117" s="48" t="s">
        <v>807</v>
      </c>
    </row>
    <row r="118" spans="2:6" ht="13.8" x14ac:dyDescent="0.25">
      <c r="B118" s="47"/>
      <c r="C118" s="47"/>
      <c r="D118" s="47" t="s">
        <v>287</v>
      </c>
      <c r="E118" s="47" t="s">
        <v>288</v>
      </c>
      <c r="F118" s="48" t="s">
        <v>807</v>
      </c>
    </row>
    <row r="119" spans="2:6" ht="13.8" x14ac:dyDescent="0.25">
      <c r="B119" s="47"/>
      <c r="C119" s="47"/>
      <c r="D119" s="47" t="s">
        <v>289</v>
      </c>
      <c r="E119" s="47" t="s">
        <v>290</v>
      </c>
      <c r="F119" s="48" t="s">
        <v>807</v>
      </c>
    </row>
    <row r="120" spans="2:6" ht="13.8" x14ac:dyDescent="0.25">
      <c r="B120" s="47"/>
      <c r="C120" s="47"/>
      <c r="D120" s="47" t="s">
        <v>291</v>
      </c>
      <c r="E120" s="47" t="s">
        <v>292</v>
      </c>
      <c r="F120" s="48" t="s">
        <v>807</v>
      </c>
    </row>
    <row r="121" spans="2:6" ht="13.8" x14ac:dyDescent="0.25">
      <c r="B121" s="47"/>
      <c r="C121" s="47"/>
      <c r="D121" s="47" t="s">
        <v>293</v>
      </c>
      <c r="E121" s="47" t="s">
        <v>294</v>
      </c>
      <c r="F121" s="48" t="s">
        <v>807</v>
      </c>
    </row>
    <row r="122" spans="2:6" ht="13.8" x14ac:dyDescent="0.25">
      <c r="B122" s="47"/>
      <c r="C122" s="47"/>
      <c r="D122" s="47" t="s">
        <v>295</v>
      </c>
      <c r="E122" s="47" t="s">
        <v>296</v>
      </c>
      <c r="F122" s="48" t="s">
        <v>807</v>
      </c>
    </row>
    <row r="123" spans="2:6" ht="13.8" x14ac:dyDescent="0.25">
      <c r="B123" s="47"/>
      <c r="C123" s="47"/>
      <c r="D123" s="47" t="s">
        <v>297</v>
      </c>
      <c r="E123" s="47" t="s">
        <v>298</v>
      </c>
      <c r="F123" s="48" t="s">
        <v>807</v>
      </c>
    </row>
    <row r="124" spans="2:6" ht="13.8" x14ac:dyDescent="0.25">
      <c r="B124" s="47"/>
      <c r="C124" s="47"/>
      <c r="D124" s="47" t="s">
        <v>299</v>
      </c>
      <c r="E124" s="47" t="s">
        <v>300</v>
      </c>
      <c r="F124" s="48" t="s">
        <v>807</v>
      </c>
    </row>
    <row r="125" spans="2:6" ht="13.8" x14ac:dyDescent="0.25">
      <c r="B125" s="47"/>
      <c r="C125" s="47"/>
      <c r="D125" s="47" t="s">
        <v>301</v>
      </c>
      <c r="E125" s="47" t="s">
        <v>302</v>
      </c>
      <c r="F125" s="48" t="s">
        <v>807</v>
      </c>
    </row>
    <row r="126" spans="2:6" ht="13.8" x14ac:dyDescent="0.25">
      <c r="B126" s="47"/>
      <c r="C126" s="47"/>
      <c r="D126" s="47" t="s">
        <v>303</v>
      </c>
      <c r="E126" s="47" t="s">
        <v>304</v>
      </c>
      <c r="F126" s="48" t="s">
        <v>807</v>
      </c>
    </row>
    <row r="127" spans="2:6" ht="13.8" x14ac:dyDescent="0.25">
      <c r="B127" s="47"/>
      <c r="C127" s="47"/>
      <c r="D127" s="47" t="s">
        <v>305</v>
      </c>
      <c r="E127" s="47" t="s">
        <v>306</v>
      </c>
      <c r="F127" s="48" t="s">
        <v>807</v>
      </c>
    </row>
    <row r="128" spans="2:6" ht="13.8" x14ac:dyDescent="0.25">
      <c r="B128" s="47"/>
      <c r="C128" s="47"/>
      <c r="D128" s="47" t="s">
        <v>307</v>
      </c>
      <c r="E128" s="47" t="s">
        <v>308</v>
      </c>
      <c r="F128" s="48" t="s">
        <v>807</v>
      </c>
    </row>
    <row r="129" spans="2:6" ht="13.8" x14ac:dyDescent="0.25">
      <c r="B129" s="47"/>
      <c r="C129" s="47"/>
      <c r="D129" s="47" t="s">
        <v>309</v>
      </c>
      <c r="E129" s="47" t="s">
        <v>310</v>
      </c>
      <c r="F129" s="48" t="s">
        <v>807</v>
      </c>
    </row>
    <row r="130" spans="2:6" ht="13.8" x14ac:dyDescent="0.25">
      <c r="B130" s="47"/>
      <c r="C130" s="47"/>
      <c r="D130" s="47" t="s">
        <v>311</v>
      </c>
      <c r="E130" s="47" t="s">
        <v>312</v>
      </c>
      <c r="F130" s="48" t="s">
        <v>807</v>
      </c>
    </row>
    <row r="131" spans="2:6" ht="13.8" x14ac:dyDescent="0.25">
      <c r="B131" s="47"/>
      <c r="C131" s="47"/>
      <c r="D131" s="47" t="s">
        <v>313</v>
      </c>
      <c r="E131" s="47" t="s">
        <v>314</v>
      </c>
      <c r="F131" s="48" t="s">
        <v>807</v>
      </c>
    </row>
    <row r="132" spans="2:6" ht="13.8" x14ac:dyDescent="0.25">
      <c r="B132" s="47"/>
      <c r="C132" s="47"/>
      <c r="D132" s="47" t="s">
        <v>315</v>
      </c>
      <c r="E132" s="47" t="s">
        <v>316</v>
      </c>
      <c r="F132" s="48" t="s">
        <v>807</v>
      </c>
    </row>
    <row r="133" spans="2:6" ht="13.8" x14ac:dyDescent="0.25">
      <c r="B133" s="47"/>
      <c r="C133" s="47"/>
      <c r="D133" s="47" t="s">
        <v>317</v>
      </c>
      <c r="E133" s="47" t="s">
        <v>318</v>
      </c>
      <c r="F133" s="48" t="s">
        <v>807</v>
      </c>
    </row>
    <row r="134" spans="2:6" ht="13.8" x14ac:dyDescent="0.25">
      <c r="B134" s="47"/>
      <c r="C134" s="47"/>
      <c r="D134" s="47" t="s">
        <v>319</v>
      </c>
      <c r="E134" s="47" t="s">
        <v>320</v>
      </c>
      <c r="F134" s="48" t="s">
        <v>807</v>
      </c>
    </row>
    <row r="135" spans="2:6" ht="13.8" x14ac:dyDescent="0.25">
      <c r="B135" s="47"/>
      <c r="C135" s="47"/>
      <c r="D135" s="47" t="s">
        <v>321</v>
      </c>
      <c r="E135" s="47" t="s">
        <v>322</v>
      </c>
      <c r="F135" s="48" t="s">
        <v>807</v>
      </c>
    </row>
    <row r="136" spans="2:6" ht="13.8" x14ac:dyDescent="0.25">
      <c r="B136" s="47"/>
      <c r="C136" s="47"/>
      <c r="D136" s="47" t="s">
        <v>323</v>
      </c>
      <c r="E136" s="47" t="s">
        <v>324</v>
      </c>
      <c r="F136" s="48" t="s">
        <v>807</v>
      </c>
    </row>
    <row r="137" spans="2:6" ht="13.8" x14ac:dyDescent="0.25">
      <c r="B137" s="47"/>
      <c r="C137" s="47"/>
      <c r="D137" s="47" t="s">
        <v>325</v>
      </c>
      <c r="E137" s="47" t="s">
        <v>326</v>
      </c>
      <c r="F137" s="48" t="s">
        <v>807</v>
      </c>
    </row>
    <row r="138" spans="2:6" ht="13.8" x14ac:dyDescent="0.25">
      <c r="B138" s="47"/>
      <c r="C138" s="47"/>
      <c r="D138" s="47" t="s">
        <v>327</v>
      </c>
      <c r="E138" s="47" t="s">
        <v>328</v>
      </c>
      <c r="F138" s="48" t="s">
        <v>807</v>
      </c>
    </row>
    <row r="139" spans="2:6" ht="13.8" x14ac:dyDescent="0.25">
      <c r="B139" s="47"/>
      <c r="C139" s="47"/>
      <c r="D139" s="47" t="s">
        <v>329</v>
      </c>
      <c r="E139" s="47" t="s">
        <v>330</v>
      </c>
      <c r="F139" s="48" t="s">
        <v>807</v>
      </c>
    </row>
    <row r="140" spans="2:6" ht="13.8" x14ac:dyDescent="0.25">
      <c r="B140" s="47"/>
      <c r="C140" s="47"/>
      <c r="D140" s="47" t="s">
        <v>331</v>
      </c>
      <c r="E140" s="47" t="s">
        <v>332</v>
      </c>
      <c r="F140" s="48" t="s">
        <v>807</v>
      </c>
    </row>
    <row r="141" spans="2:6" ht="13.8" x14ac:dyDescent="0.25">
      <c r="B141" s="47"/>
      <c r="C141" s="47"/>
      <c r="D141" s="47" t="s">
        <v>329</v>
      </c>
      <c r="E141" s="47" t="s">
        <v>333</v>
      </c>
      <c r="F141" s="48" t="s">
        <v>807</v>
      </c>
    </row>
    <row r="142" spans="2:6" ht="13.8" x14ac:dyDescent="0.25">
      <c r="B142" s="47"/>
      <c r="C142" s="47"/>
      <c r="D142" s="47" t="s">
        <v>334</v>
      </c>
      <c r="E142" s="47" t="s">
        <v>335</v>
      </c>
      <c r="F142" s="48" t="s">
        <v>807</v>
      </c>
    </row>
    <row r="143" spans="2:6" ht="13.8" x14ac:dyDescent="0.25">
      <c r="B143" s="47"/>
      <c r="C143" s="47"/>
      <c r="D143" s="47" t="s">
        <v>336</v>
      </c>
      <c r="E143" s="47" t="s">
        <v>337</v>
      </c>
      <c r="F143" s="48" t="s">
        <v>807</v>
      </c>
    </row>
    <row r="144" spans="2:6" ht="13.8" x14ac:dyDescent="0.25">
      <c r="B144" s="47"/>
      <c r="C144" s="47"/>
      <c r="D144" s="47" t="s">
        <v>338</v>
      </c>
      <c r="E144" s="47" t="s">
        <v>339</v>
      </c>
      <c r="F144" s="48" t="s">
        <v>807</v>
      </c>
    </row>
    <row r="145" spans="2:6" ht="13.8" x14ac:dyDescent="0.25">
      <c r="B145" s="47"/>
      <c r="C145" s="47"/>
      <c r="D145" s="47" t="s">
        <v>340</v>
      </c>
      <c r="E145" s="47" t="s">
        <v>341</v>
      </c>
      <c r="F145" s="48" t="s">
        <v>807</v>
      </c>
    </row>
    <row r="146" spans="2:6" ht="13.8" x14ac:dyDescent="0.25">
      <c r="B146" s="47"/>
      <c r="C146" s="47"/>
      <c r="D146" s="47" t="s">
        <v>342</v>
      </c>
      <c r="E146" s="47" t="s">
        <v>343</v>
      </c>
      <c r="F146" s="48" t="s">
        <v>807</v>
      </c>
    </row>
    <row r="147" spans="2:6" ht="13.8" x14ac:dyDescent="0.25">
      <c r="B147" s="47"/>
      <c r="C147" s="47"/>
      <c r="D147" s="47" t="s">
        <v>344</v>
      </c>
      <c r="E147" s="47" t="s">
        <v>345</v>
      </c>
      <c r="F147" s="48" t="s">
        <v>807</v>
      </c>
    </row>
    <row r="148" spans="2:6" ht="13.8" x14ac:dyDescent="0.25">
      <c r="B148" s="47"/>
      <c r="C148" s="47"/>
      <c r="D148" s="47" t="s">
        <v>346</v>
      </c>
      <c r="E148" s="47" t="s">
        <v>347</v>
      </c>
      <c r="F148" s="48" t="s">
        <v>807</v>
      </c>
    </row>
    <row r="149" spans="2:6" ht="13.8" x14ac:dyDescent="0.25">
      <c r="B149" s="47"/>
      <c r="C149" s="47"/>
      <c r="D149" s="47" t="s">
        <v>961</v>
      </c>
      <c r="E149" s="47" t="s">
        <v>962</v>
      </c>
      <c r="F149" s="48" t="s">
        <v>807</v>
      </c>
    </row>
    <row r="150" spans="2:6" ht="13.8" x14ac:dyDescent="0.25">
      <c r="B150" s="47"/>
      <c r="C150" s="47"/>
      <c r="D150" s="47" t="s">
        <v>348</v>
      </c>
      <c r="E150" s="47" t="s">
        <v>349</v>
      </c>
      <c r="F150" s="48" t="s">
        <v>807</v>
      </c>
    </row>
    <row r="151" spans="2:6" ht="13.8" x14ac:dyDescent="0.25">
      <c r="B151" s="47"/>
      <c r="C151" s="47"/>
      <c r="D151" s="47" t="s">
        <v>350</v>
      </c>
      <c r="E151" s="47" t="s">
        <v>351</v>
      </c>
      <c r="F151" s="48" t="s">
        <v>807</v>
      </c>
    </row>
    <row r="152" spans="2:6" ht="13.8" x14ac:dyDescent="0.25">
      <c r="B152" s="47"/>
      <c r="C152" s="47"/>
      <c r="D152" s="47" t="s">
        <v>963</v>
      </c>
      <c r="E152" s="47" t="s">
        <v>352</v>
      </c>
      <c r="F152" s="48" t="s">
        <v>807</v>
      </c>
    </row>
    <row r="153" spans="2:6" ht="13.8" x14ac:dyDescent="0.25">
      <c r="B153" s="47"/>
      <c r="C153" s="47"/>
      <c r="D153" s="47" t="s">
        <v>353</v>
      </c>
      <c r="E153" s="47" t="s">
        <v>354</v>
      </c>
      <c r="F153" s="48" t="s">
        <v>807</v>
      </c>
    </row>
    <row r="154" spans="2:6" ht="13.8" x14ac:dyDescent="0.25">
      <c r="B154" s="47"/>
      <c r="C154" s="47"/>
      <c r="D154" s="47" t="s">
        <v>355</v>
      </c>
      <c r="E154" s="47" t="s">
        <v>356</v>
      </c>
      <c r="F154" s="48" t="s">
        <v>807</v>
      </c>
    </row>
    <row r="155" spans="2:6" ht="13.8" x14ac:dyDescent="0.25">
      <c r="B155" s="47"/>
      <c r="C155" s="47"/>
      <c r="D155" s="47" t="s">
        <v>357</v>
      </c>
      <c r="E155" s="47" t="s">
        <v>358</v>
      </c>
      <c r="F155" s="48" t="s">
        <v>807</v>
      </c>
    </row>
    <row r="156" spans="2:6" ht="13.8" x14ac:dyDescent="0.25">
      <c r="B156" s="47"/>
      <c r="C156" s="47"/>
      <c r="D156" s="47" t="s">
        <v>359</v>
      </c>
      <c r="E156" s="47" t="s">
        <v>360</v>
      </c>
      <c r="F156" s="48" t="s">
        <v>807</v>
      </c>
    </row>
    <row r="157" spans="2:6" ht="13.8" x14ac:dyDescent="0.25">
      <c r="B157" s="47"/>
      <c r="C157" s="47"/>
      <c r="D157" s="47" t="s">
        <v>361</v>
      </c>
      <c r="E157" s="47" t="s">
        <v>362</v>
      </c>
      <c r="F157" s="48" t="s">
        <v>807</v>
      </c>
    </row>
    <row r="158" spans="2:6" ht="13.8" x14ac:dyDescent="0.25">
      <c r="B158" s="47"/>
      <c r="C158" s="47"/>
      <c r="D158" s="47" t="s">
        <v>363</v>
      </c>
      <c r="E158" s="47" t="s">
        <v>364</v>
      </c>
      <c r="F158" s="48" t="s">
        <v>807</v>
      </c>
    </row>
    <row r="159" spans="2:6" ht="13.8" x14ac:dyDescent="0.25">
      <c r="B159" s="47"/>
      <c r="C159" s="47"/>
      <c r="D159" s="47" t="s">
        <v>365</v>
      </c>
      <c r="E159" s="47" t="s">
        <v>366</v>
      </c>
      <c r="F159" s="48" t="s">
        <v>807</v>
      </c>
    </row>
    <row r="160" spans="2:6" ht="13.8" x14ac:dyDescent="0.25">
      <c r="B160" s="47"/>
      <c r="C160" s="47"/>
      <c r="D160" s="47" t="s">
        <v>367</v>
      </c>
      <c r="E160" s="47" t="s">
        <v>368</v>
      </c>
      <c r="F160" s="48" t="s">
        <v>807</v>
      </c>
    </row>
    <row r="161" spans="2:6" ht="13.8" x14ac:dyDescent="0.25">
      <c r="B161" s="47"/>
      <c r="C161" s="47"/>
      <c r="D161" s="47" t="s">
        <v>369</v>
      </c>
      <c r="E161" s="47" t="s">
        <v>370</v>
      </c>
      <c r="F161" s="48" t="s">
        <v>807</v>
      </c>
    </row>
    <row r="162" spans="2:6" ht="13.8" x14ac:dyDescent="0.25">
      <c r="B162" s="47"/>
      <c r="C162" s="47"/>
      <c r="D162" s="47" t="s">
        <v>371</v>
      </c>
      <c r="E162" s="47" t="s">
        <v>372</v>
      </c>
      <c r="F162" s="48" t="s">
        <v>807</v>
      </c>
    </row>
    <row r="163" spans="2:6" ht="13.8" x14ac:dyDescent="0.25">
      <c r="B163" s="47"/>
      <c r="C163" s="47"/>
      <c r="D163" s="47" t="s">
        <v>373</v>
      </c>
      <c r="E163" s="47" t="s">
        <v>374</v>
      </c>
      <c r="F163" s="48" t="s">
        <v>807</v>
      </c>
    </row>
    <row r="164" spans="2:6" ht="13.8" x14ac:dyDescent="0.25">
      <c r="B164" s="47"/>
      <c r="C164" s="47"/>
      <c r="D164" s="47" t="s">
        <v>375</v>
      </c>
      <c r="E164" s="47" t="s">
        <v>376</v>
      </c>
      <c r="F164" s="48" t="s">
        <v>807</v>
      </c>
    </row>
    <row r="165" spans="2:6" ht="13.8" x14ac:dyDescent="0.25">
      <c r="B165" s="47"/>
      <c r="C165" s="47"/>
      <c r="D165" s="47" t="s">
        <v>377</v>
      </c>
      <c r="E165" s="47" t="s">
        <v>378</v>
      </c>
      <c r="F165" s="48" t="s">
        <v>807</v>
      </c>
    </row>
    <row r="166" spans="2:6" ht="13.8" x14ac:dyDescent="0.25">
      <c r="B166" s="47"/>
      <c r="C166" s="47"/>
      <c r="D166" s="47" t="s">
        <v>379</v>
      </c>
      <c r="E166" s="47" t="s">
        <v>380</v>
      </c>
      <c r="F166" s="48" t="s">
        <v>807</v>
      </c>
    </row>
    <row r="167" spans="2:6" ht="13.8" x14ac:dyDescent="0.25">
      <c r="B167" s="47"/>
      <c r="C167" s="47"/>
      <c r="D167" s="47" t="s">
        <v>381</v>
      </c>
      <c r="E167" s="47" t="s">
        <v>382</v>
      </c>
      <c r="F167" s="48" t="s">
        <v>807</v>
      </c>
    </row>
    <row r="168" spans="2:6" ht="13.8" x14ac:dyDescent="0.25">
      <c r="B168" s="47"/>
      <c r="C168" s="47"/>
      <c r="D168" s="47" t="s">
        <v>383</v>
      </c>
      <c r="E168" s="47" t="s">
        <v>384</v>
      </c>
      <c r="F168" s="48" t="s">
        <v>807</v>
      </c>
    </row>
    <row r="169" spans="2:6" ht="13.8" x14ac:dyDescent="0.25">
      <c r="B169" s="47"/>
      <c r="C169" s="47"/>
      <c r="D169" s="47" t="s">
        <v>385</v>
      </c>
      <c r="E169" s="47" t="s">
        <v>386</v>
      </c>
      <c r="F169" s="48" t="s">
        <v>807</v>
      </c>
    </row>
    <row r="170" spans="2:6" ht="13.8" x14ac:dyDescent="0.25">
      <c r="B170" s="47"/>
      <c r="C170" s="47"/>
      <c r="D170" s="47" t="s">
        <v>387</v>
      </c>
      <c r="E170" s="47" t="s">
        <v>388</v>
      </c>
      <c r="F170" s="48" t="s">
        <v>807</v>
      </c>
    </row>
    <row r="171" spans="2:6" ht="13.8" x14ac:dyDescent="0.25">
      <c r="B171" s="47"/>
      <c r="C171" s="47"/>
      <c r="D171" s="47" t="s">
        <v>389</v>
      </c>
      <c r="E171" s="47" t="s">
        <v>390</v>
      </c>
      <c r="F171" s="48" t="s">
        <v>807</v>
      </c>
    </row>
    <row r="172" spans="2:6" ht="13.8" x14ac:dyDescent="0.25">
      <c r="B172" s="47"/>
      <c r="C172" s="47"/>
      <c r="D172" s="47" t="s">
        <v>391</v>
      </c>
      <c r="E172" s="47" t="s">
        <v>392</v>
      </c>
      <c r="F172" s="48" t="s">
        <v>807</v>
      </c>
    </row>
    <row r="173" spans="2:6" ht="13.8" x14ac:dyDescent="0.25">
      <c r="B173" s="47"/>
      <c r="C173" s="47"/>
      <c r="D173" s="47" t="s">
        <v>389</v>
      </c>
      <c r="E173" s="47" t="s">
        <v>393</v>
      </c>
      <c r="F173" s="48" t="s">
        <v>807</v>
      </c>
    </row>
    <row r="174" spans="2:6" ht="13.8" x14ac:dyDescent="0.25">
      <c r="B174" s="47"/>
      <c r="C174" s="47"/>
      <c r="D174" s="47" t="s">
        <v>394</v>
      </c>
      <c r="E174" s="47" t="s">
        <v>395</v>
      </c>
      <c r="F174" s="48" t="s">
        <v>807</v>
      </c>
    </row>
    <row r="175" spans="2:6" ht="13.8" x14ac:dyDescent="0.25">
      <c r="B175" s="47"/>
      <c r="C175" s="47"/>
      <c r="D175" s="47" t="s">
        <v>396</v>
      </c>
      <c r="E175" s="47" t="s">
        <v>397</v>
      </c>
      <c r="F175" s="48" t="s">
        <v>807</v>
      </c>
    </row>
    <row r="176" spans="2:6" ht="13.8" x14ac:dyDescent="0.25">
      <c r="B176" s="47"/>
      <c r="C176" s="47"/>
      <c r="D176" s="47" t="s">
        <v>398</v>
      </c>
      <c r="E176" s="47" t="s">
        <v>399</v>
      </c>
      <c r="F176" s="48" t="s">
        <v>807</v>
      </c>
    </row>
    <row r="177" spans="2:6" ht="13.8" x14ac:dyDescent="0.25">
      <c r="B177" s="47"/>
      <c r="C177" s="47"/>
      <c r="D177" s="47" t="s">
        <v>400</v>
      </c>
      <c r="E177" s="47" t="s">
        <v>401</v>
      </c>
      <c r="F177" s="48" t="s">
        <v>807</v>
      </c>
    </row>
    <row r="178" spans="2:6" ht="13.8" x14ac:dyDescent="0.25">
      <c r="B178" s="47"/>
      <c r="C178" s="47"/>
      <c r="D178" s="47" t="s">
        <v>402</v>
      </c>
      <c r="E178" s="47" t="s">
        <v>403</v>
      </c>
      <c r="F178" s="48" t="s">
        <v>807</v>
      </c>
    </row>
    <row r="179" spans="2:6" ht="13.8" x14ac:dyDescent="0.25">
      <c r="B179" s="47"/>
      <c r="C179" s="47"/>
      <c r="D179" s="47" t="s">
        <v>404</v>
      </c>
      <c r="E179" s="47" t="s">
        <v>405</v>
      </c>
      <c r="F179" s="48" t="s">
        <v>807</v>
      </c>
    </row>
    <row r="180" spans="2:6" ht="13.8" x14ac:dyDescent="0.25">
      <c r="B180" s="47"/>
      <c r="C180" s="47"/>
      <c r="D180" s="47" t="s">
        <v>406</v>
      </c>
      <c r="E180" s="47" t="s">
        <v>407</v>
      </c>
      <c r="F180" s="48" t="s">
        <v>807</v>
      </c>
    </row>
    <row r="181" spans="2:6" ht="13.8" x14ac:dyDescent="0.25">
      <c r="B181" s="47"/>
      <c r="C181" s="47"/>
      <c r="D181" s="47" t="s">
        <v>964</v>
      </c>
      <c r="E181" s="47" t="s">
        <v>965</v>
      </c>
      <c r="F181" s="48" t="s">
        <v>807</v>
      </c>
    </row>
    <row r="182" spans="2:6" ht="13.8" x14ac:dyDescent="0.25">
      <c r="B182" s="47"/>
      <c r="C182" s="47"/>
      <c r="D182" s="47" t="s">
        <v>408</v>
      </c>
      <c r="E182" s="47" t="s">
        <v>409</v>
      </c>
      <c r="F182" s="48" t="s">
        <v>807</v>
      </c>
    </row>
    <row r="183" spans="2:6" ht="13.8" x14ac:dyDescent="0.25">
      <c r="B183" s="47"/>
      <c r="C183" s="47"/>
      <c r="D183" s="47" t="s">
        <v>410</v>
      </c>
      <c r="E183" s="47" t="s">
        <v>411</v>
      </c>
      <c r="F183" s="48" t="s">
        <v>807</v>
      </c>
    </row>
    <row r="184" spans="2:6" ht="13.8" x14ac:dyDescent="0.25">
      <c r="B184" s="47"/>
      <c r="C184" s="47"/>
      <c r="D184" s="47" t="s">
        <v>966</v>
      </c>
      <c r="E184" s="47" t="s">
        <v>412</v>
      </c>
      <c r="F184" s="48" t="s">
        <v>807</v>
      </c>
    </row>
    <row r="185" spans="2:6" ht="13.8" x14ac:dyDescent="0.25">
      <c r="B185" s="47"/>
      <c r="C185" s="47"/>
      <c r="D185" s="47" t="s">
        <v>413</v>
      </c>
      <c r="E185" s="47" t="s">
        <v>414</v>
      </c>
      <c r="F185" s="48" t="s">
        <v>807</v>
      </c>
    </row>
    <row r="186" spans="2:6" ht="13.8" x14ac:dyDescent="0.25">
      <c r="B186" s="47"/>
      <c r="C186" s="47"/>
      <c r="D186" s="47" t="s">
        <v>415</v>
      </c>
      <c r="E186" s="47" t="s">
        <v>416</v>
      </c>
      <c r="F186" s="48" t="s">
        <v>807</v>
      </c>
    </row>
    <row r="187" spans="2:6" ht="13.8" x14ac:dyDescent="0.25">
      <c r="B187" s="47"/>
      <c r="C187" s="47"/>
      <c r="D187" s="47" t="s">
        <v>417</v>
      </c>
      <c r="E187" s="47" t="s">
        <v>418</v>
      </c>
      <c r="F187" s="48" t="s">
        <v>807</v>
      </c>
    </row>
    <row r="188" spans="2:6" ht="13.8" x14ac:dyDescent="0.25">
      <c r="B188" s="47"/>
      <c r="C188" s="47"/>
      <c r="D188" s="47" t="s">
        <v>419</v>
      </c>
      <c r="E188" s="47" t="s">
        <v>420</v>
      </c>
      <c r="F188" s="48" t="s">
        <v>807</v>
      </c>
    </row>
    <row r="189" spans="2:6" ht="13.8" x14ac:dyDescent="0.25">
      <c r="B189" s="47"/>
      <c r="C189" s="47"/>
      <c r="D189" s="47" t="s">
        <v>421</v>
      </c>
      <c r="E189" s="47" t="s">
        <v>422</v>
      </c>
      <c r="F189" s="48" t="s">
        <v>807</v>
      </c>
    </row>
    <row r="190" spans="2:6" ht="13.8" x14ac:dyDescent="0.25">
      <c r="B190" s="47"/>
      <c r="C190" s="47"/>
      <c r="D190" s="47" t="s">
        <v>423</v>
      </c>
      <c r="E190" s="47" t="s">
        <v>424</v>
      </c>
      <c r="F190" s="48" t="s">
        <v>807</v>
      </c>
    </row>
    <row r="191" spans="2:6" ht="13.8" x14ac:dyDescent="0.25">
      <c r="B191" s="47"/>
      <c r="C191" s="47"/>
      <c r="D191" s="47" t="s">
        <v>425</v>
      </c>
      <c r="E191" s="47" t="s">
        <v>426</v>
      </c>
      <c r="F191" s="48" t="s">
        <v>807</v>
      </c>
    </row>
    <row r="192" spans="2:6" ht="13.8" x14ac:dyDescent="0.25">
      <c r="B192" s="47"/>
      <c r="C192" s="47"/>
      <c r="D192" s="47" t="s">
        <v>427</v>
      </c>
      <c r="E192" s="47" t="s">
        <v>428</v>
      </c>
      <c r="F192" s="48" t="s">
        <v>807</v>
      </c>
    </row>
    <row r="193" spans="2:6" ht="13.8" x14ac:dyDescent="0.25">
      <c r="B193" s="47"/>
      <c r="C193" s="47"/>
      <c r="D193" s="47" t="s">
        <v>429</v>
      </c>
      <c r="E193" s="47" t="s">
        <v>430</v>
      </c>
      <c r="F193" s="48" t="s">
        <v>807</v>
      </c>
    </row>
    <row r="194" spans="2:6" ht="13.8" x14ac:dyDescent="0.25">
      <c r="B194" s="47"/>
      <c r="C194" s="47"/>
      <c r="D194" s="47" t="s">
        <v>431</v>
      </c>
      <c r="E194" s="47" t="s">
        <v>432</v>
      </c>
      <c r="F194" s="48" t="s">
        <v>807</v>
      </c>
    </row>
    <row r="195" spans="2:6" ht="13.8" x14ac:dyDescent="0.25">
      <c r="B195" s="47"/>
      <c r="C195" s="47"/>
      <c r="D195" s="47" t="s">
        <v>433</v>
      </c>
      <c r="E195" s="47" t="s">
        <v>434</v>
      </c>
      <c r="F195" s="48" t="s">
        <v>807</v>
      </c>
    </row>
    <row r="196" spans="2:6" ht="13.8" x14ac:dyDescent="0.25">
      <c r="B196" s="47"/>
      <c r="C196" s="47"/>
      <c r="D196" s="47" t="s">
        <v>435</v>
      </c>
      <c r="E196" s="47" t="s">
        <v>436</v>
      </c>
      <c r="F196" s="48" t="s">
        <v>807</v>
      </c>
    </row>
    <row r="197" spans="2:6" ht="13.8" x14ac:dyDescent="0.25">
      <c r="B197" s="47"/>
      <c r="C197" s="47"/>
      <c r="D197" s="47" t="s">
        <v>437</v>
      </c>
      <c r="E197" s="47" t="s">
        <v>438</v>
      </c>
      <c r="F197" s="48" t="s">
        <v>807</v>
      </c>
    </row>
    <row r="198" spans="2:6" ht="13.8" x14ac:dyDescent="0.25">
      <c r="B198" s="47"/>
      <c r="C198" s="47"/>
      <c r="D198" s="47" t="s">
        <v>439</v>
      </c>
      <c r="E198" s="47" t="s">
        <v>440</v>
      </c>
      <c r="F198" s="48" t="s">
        <v>807</v>
      </c>
    </row>
    <row r="199" spans="2:6" ht="13.8" x14ac:dyDescent="0.25">
      <c r="B199" s="47"/>
      <c r="C199" s="47"/>
      <c r="D199" s="47" t="s">
        <v>441</v>
      </c>
      <c r="E199" s="47" t="s">
        <v>442</v>
      </c>
      <c r="F199" s="48" t="s">
        <v>807</v>
      </c>
    </row>
    <row r="200" spans="2:6" ht="13.8" x14ac:dyDescent="0.25">
      <c r="B200" s="47"/>
      <c r="C200" s="47"/>
      <c r="D200" s="47" t="s">
        <v>443</v>
      </c>
      <c r="E200" s="47" t="s">
        <v>444</v>
      </c>
      <c r="F200" s="48" t="s">
        <v>807</v>
      </c>
    </row>
    <row r="201" spans="2:6" ht="13.8" x14ac:dyDescent="0.25">
      <c r="B201" s="47"/>
      <c r="C201" s="47"/>
      <c r="D201" s="47" t="s">
        <v>445</v>
      </c>
      <c r="E201" s="47" t="s">
        <v>446</v>
      </c>
      <c r="F201" s="48" t="s">
        <v>807</v>
      </c>
    </row>
    <row r="202" spans="2:6" ht="13.8" x14ac:dyDescent="0.25">
      <c r="B202" s="47"/>
      <c r="C202" s="47"/>
      <c r="D202" s="47" t="s">
        <v>447</v>
      </c>
      <c r="E202" s="47" t="s">
        <v>448</v>
      </c>
      <c r="F202" s="48" t="s">
        <v>807</v>
      </c>
    </row>
    <row r="203" spans="2:6" ht="13.8" x14ac:dyDescent="0.25">
      <c r="B203" s="47"/>
      <c r="C203" s="47"/>
      <c r="D203" s="47" t="s">
        <v>449</v>
      </c>
      <c r="E203" s="47" t="s">
        <v>450</v>
      </c>
      <c r="F203" s="48" t="s">
        <v>807</v>
      </c>
    </row>
    <row r="204" spans="2:6" ht="13.8" x14ac:dyDescent="0.25">
      <c r="B204" s="47"/>
      <c r="C204" s="47"/>
      <c r="D204" s="47" t="s">
        <v>451</v>
      </c>
      <c r="E204" s="47" t="s">
        <v>452</v>
      </c>
      <c r="F204" s="48" t="s">
        <v>807</v>
      </c>
    </row>
    <row r="205" spans="2:6" ht="13.8" x14ac:dyDescent="0.25">
      <c r="B205" s="47"/>
      <c r="C205" s="47"/>
      <c r="D205" s="47" t="s">
        <v>449</v>
      </c>
      <c r="E205" s="47" t="s">
        <v>453</v>
      </c>
      <c r="F205" s="48" t="s">
        <v>807</v>
      </c>
    </row>
    <row r="206" spans="2:6" ht="13.8" x14ac:dyDescent="0.25">
      <c r="B206" s="47"/>
      <c r="C206" s="47"/>
      <c r="D206" s="47" t="s">
        <v>454</v>
      </c>
      <c r="E206" s="47" t="s">
        <v>455</v>
      </c>
      <c r="F206" s="48" t="s">
        <v>807</v>
      </c>
    </row>
    <row r="207" spans="2:6" ht="13.8" x14ac:dyDescent="0.25">
      <c r="B207" s="47"/>
      <c r="C207" s="47"/>
      <c r="D207" s="47" t="s">
        <v>456</v>
      </c>
      <c r="E207" s="47" t="s">
        <v>457</v>
      </c>
      <c r="F207" s="48" t="s">
        <v>807</v>
      </c>
    </row>
    <row r="208" spans="2:6" ht="13.8" x14ac:dyDescent="0.25">
      <c r="B208" s="47"/>
      <c r="C208" s="47"/>
      <c r="D208" s="47" t="s">
        <v>458</v>
      </c>
      <c r="E208" s="47" t="s">
        <v>459</v>
      </c>
      <c r="F208" s="48" t="s">
        <v>807</v>
      </c>
    </row>
    <row r="209" spans="2:6" ht="13.8" x14ac:dyDescent="0.25">
      <c r="B209" s="47"/>
      <c r="C209" s="47"/>
      <c r="D209" s="47" t="s">
        <v>460</v>
      </c>
      <c r="E209" s="47" t="s">
        <v>461</v>
      </c>
      <c r="F209" s="48" t="s">
        <v>807</v>
      </c>
    </row>
    <row r="210" spans="2:6" ht="13.8" x14ac:dyDescent="0.25">
      <c r="B210" s="47"/>
      <c r="C210" s="47"/>
      <c r="D210" s="47" t="s">
        <v>462</v>
      </c>
      <c r="E210" s="47" t="s">
        <v>463</v>
      </c>
      <c r="F210" s="48" t="s">
        <v>807</v>
      </c>
    </row>
    <row r="211" spans="2:6" ht="13.8" x14ac:dyDescent="0.25">
      <c r="B211" s="47"/>
      <c r="C211" s="47"/>
      <c r="D211" s="47" t="s">
        <v>464</v>
      </c>
      <c r="E211" s="47" t="s">
        <v>465</v>
      </c>
      <c r="F211" s="48" t="s">
        <v>807</v>
      </c>
    </row>
    <row r="212" spans="2:6" ht="13.8" x14ac:dyDescent="0.25">
      <c r="B212" s="47"/>
      <c r="C212" s="47"/>
      <c r="D212" s="47" t="s">
        <v>466</v>
      </c>
      <c r="E212" s="47" t="s">
        <v>467</v>
      </c>
      <c r="F212" s="48" t="s">
        <v>807</v>
      </c>
    </row>
    <row r="213" spans="2:6" ht="13.8" x14ac:dyDescent="0.25">
      <c r="B213" s="47"/>
      <c r="C213" s="47"/>
      <c r="D213" s="47" t="s">
        <v>967</v>
      </c>
      <c r="E213" s="47" t="s">
        <v>968</v>
      </c>
      <c r="F213" s="48" t="s">
        <v>807</v>
      </c>
    </row>
    <row r="214" spans="2:6" ht="13.8" x14ac:dyDescent="0.25">
      <c r="B214" s="47"/>
      <c r="C214" s="47"/>
      <c r="D214" s="47" t="s">
        <v>468</v>
      </c>
      <c r="E214" s="47" t="s">
        <v>469</v>
      </c>
      <c r="F214" s="48" t="s">
        <v>807</v>
      </c>
    </row>
    <row r="215" spans="2:6" ht="13.8" x14ac:dyDescent="0.25">
      <c r="B215" s="47"/>
      <c r="C215" s="47"/>
      <c r="D215" s="47" t="s">
        <v>470</v>
      </c>
      <c r="E215" s="47" t="s">
        <v>471</v>
      </c>
      <c r="F215" s="48" t="s">
        <v>807</v>
      </c>
    </row>
    <row r="216" spans="2:6" ht="13.8" x14ac:dyDescent="0.25">
      <c r="B216" s="47"/>
      <c r="C216" s="47"/>
      <c r="D216" s="47" t="s">
        <v>969</v>
      </c>
      <c r="E216" s="47" t="s">
        <v>472</v>
      </c>
      <c r="F216" s="48" t="s">
        <v>807</v>
      </c>
    </row>
    <row r="217" spans="2:6" ht="13.8" x14ac:dyDescent="0.25">
      <c r="B217" s="47"/>
      <c r="C217" s="47"/>
      <c r="D217" s="47" t="s">
        <v>473</v>
      </c>
      <c r="E217" s="47" t="s">
        <v>474</v>
      </c>
      <c r="F217" s="48" t="s">
        <v>807</v>
      </c>
    </row>
    <row r="218" spans="2:6" ht="13.8" x14ac:dyDescent="0.25">
      <c r="B218" s="47"/>
      <c r="C218" s="47"/>
      <c r="D218" s="47" t="s">
        <v>475</v>
      </c>
      <c r="E218" s="47" t="s">
        <v>476</v>
      </c>
      <c r="F218" s="48" t="s">
        <v>807</v>
      </c>
    </row>
    <row r="219" spans="2:6" ht="13.8" x14ac:dyDescent="0.25">
      <c r="B219" s="47"/>
      <c r="C219" s="47"/>
      <c r="D219" s="47" t="s">
        <v>477</v>
      </c>
      <c r="E219" s="47" t="s">
        <v>478</v>
      </c>
      <c r="F219" s="48" t="s">
        <v>807</v>
      </c>
    </row>
    <row r="220" spans="2:6" ht="13.8" x14ac:dyDescent="0.25">
      <c r="B220" s="47"/>
      <c r="C220" s="47"/>
      <c r="D220" s="47" t="s">
        <v>479</v>
      </c>
      <c r="E220" s="47" t="s">
        <v>480</v>
      </c>
      <c r="F220" s="48" t="s">
        <v>807</v>
      </c>
    </row>
    <row r="221" spans="2:6" ht="13.8" x14ac:dyDescent="0.25">
      <c r="B221" s="47"/>
      <c r="C221" s="47"/>
      <c r="D221" s="47" t="s">
        <v>481</v>
      </c>
      <c r="E221" s="47" t="s">
        <v>482</v>
      </c>
      <c r="F221" s="48" t="s">
        <v>807</v>
      </c>
    </row>
    <row r="222" spans="2:6" ht="13.8" x14ac:dyDescent="0.25">
      <c r="B222" s="47"/>
      <c r="C222" s="47"/>
      <c r="D222" s="47" t="s">
        <v>483</v>
      </c>
      <c r="E222" s="47" t="s">
        <v>484</v>
      </c>
      <c r="F222" s="48" t="s">
        <v>807</v>
      </c>
    </row>
    <row r="223" spans="2:6" ht="13.8" x14ac:dyDescent="0.25">
      <c r="B223" s="47"/>
      <c r="C223" s="47"/>
      <c r="D223" s="47" t="s">
        <v>485</v>
      </c>
      <c r="E223" s="47" t="s">
        <v>486</v>
      </c>
      <c r="F223" s="48" t="s">
        <v>807</v>
      </c>
    </row>
    <row r="224" spans="2:6" ht="13.8" x14ac:dyDescent="0.25">
      <c r="B224" s="47"/>
      <c r="C224" s="47"/>
      <c r="D224" s="47" t="s">
        <v>487</v>
      </c>
      <c r="E224" s="47" t="s">
        <v>488</v>
      </c>
      <c r="F224" s="48" t="s">
        <v>807</v>
      </c>
    </row>
    <row r="225" spans="2:6" ht="13.8" x14ac:dyDescent="0.25">
      <c r="B225" s="47"/>
      <c r="C225" s="47"/>
      <c r="D225" s="47" t="s">
        <v>489</v>
      </c>
      <c r="E225" s="47" t="s">
        <v>490</v>
      </c>
      <c r="F225" s="48" t="s">
        <v>807</v>
      </c>
    </row>
    <row r="226" spans="2:6" ht="13.8" x14ac:dyDescent="0.25">
      <c r="B226" s="47"/>
      <c r="C226" s="47"/>
      <c r="D226" s="47" t="s">
        <v>491</v>
      </c>
      <c r="E226" s="47" t="s">
        <v>492</v>
      </c>
      <c r="F226" s="48" t="s">
        <v>807</v>
      </c>
    </row>
    <row r="227" spans="2:6" ht="13.8" x14ac:dyDescent="0.25">
      <c r="B227" s="47"/>
      <c r="C227" s="47"/>
      <c r="D227" s="47" t="s">
        <v>493</v>
      </c>
      <c r="E227" s="47" t="s">
        <v>494</v>
      </c>
      <c r="F227" s="48" t="s">
        <v>807</v>
      </c>
    </row>
    <row r="228" spans="2:6" ht="13.8" x14ac:dyDescent="0.25">
      <c r="B228" s="47"/>
      <c r="C228" s="47"/>
      <c r="D228" s="47" t="s">
        <v>495</v>
      </c>
      <c r="E228" s="47" t="s">
        <v>496</v>
      </c>
      <c r="F228" s="48" t="s">
        <v>807</v>
      </c>
    </row>
    <row r="229" spans="2:6" ht="13.8" x14ac:dyDescent="0.25">
      <c r="B229" s="47"/>
      <c r="C229" s="47"/>
      <c r="D229" s="47" t="s">
        <v>497</v>
      </c>
      <c r="E229" s="47" t="s">
        <v>498</v>
      </c>
      <c r="F229" s="48" t="s">
        <v>807</v>
      </c>
    </row>
    <row r="230" spans="2:6" ht="13.8" x14ac:dyDescent="0.25">
      <c r="B230" s="47"/>
      <c r="C230" s="47"/>
      <c r="D230" s="47" t="s">
        <v>499</v>
      </c>
      <c r="E230" s="47" t="s">
        <v>500</v>
      </c>
      <c r="F230" s="48" t="s">
        <v>807</v>
      </c>
    </row>
    <row r="231" spans="2:6" ht="13.8" x14ac:dyDescent="0.25">
      <c r="B231" s="47"/>
      <c r="C231" s="47"/>
      <c r="D231" s="47" t="s">
        <v>501</v>
      </c>
      <c r="E231" s="47" t="s">
        <v>502</v>
      </c>
      <c r="F231" s="48" t="s">
        <v>807</v>
      </c>
    </row>
    <row r="232" spans="2:6" ht="13.8" x14ac:dyDescent="0.25">
      <c r="B232" s="47"/>
      <c r="C232" s="47"/>
      <c r="D232" s="47" t="s">
        <v>503</v>
      </c>
      <c r="E232" s="47" t="s">
        <v>504</v>
      </c>
      <c r="F232" s="48" t="s">
        <v>807</v>
      </c>
    </row>
    <row r="233" spans="2:6" ht="13.8" x14ac:dyDescent="0.25">
      <c r="B233" s="47"/>
      <c r="C233" s="47"/>
      <c r="D233" s="47" t="s">
        <v>505</v>
      </c>
      <c r="E233" s="47" t="s">
        <v>506</v>
      </c>
      <c r="F233" s="48" t="s">
        <v>807</v>
      </c>
    </row>
    <row r="234" spans="2:6" ht="13.8" x14ac:dyDescent="0.25">
      <c r="B234" s="47"/>
      <c r="C234" s="47"/>
      <c r="D234" s="47" t="s">
        <v>507</v>
      </c>
      <c r="E234" s="47" t="s">
        <v>508</v>
      </c>
      <c r="F234" s="48" t="s">
        <v>807</v>
      </c>
    </row>
    <row r="235" spans="2:6" ht="13.8" x14ac:dyDescent="0.25">
      <c r="B235" s="47"/>
      <c r="C235" s="47"/>
      <c r="D235" s="47" t="s">
        <v>509</v>
      </c>
      <c r="E235" s="47" t="s">
        <v>510</v>
      </c>
      <c r="F235" s="48" t="s">
        <v>807</v>
      </c>
    </row>
    <row r="236" spans="2:6" ht="13.8" x14ac:dyDescent="0.25">
      <c r="B236" s="47"/>
      <c r="C236" s="47"/>
      <c r="D236" s="47" t="s">
        <v>511</v>
      </c>
      <c r="E236" s="47" t="s">
        <v>512</v>
      </c>
      <c r="F236" s="48" t="s">
        <v>807</v>
      </c>
    </row>
    <row r="237" spans="2:6" ht="13.8" x14ac:dyDescent="0.25">
      <c r="B237" s="47"/>
      <c r="C237" s="47"/>
      <c r="D237" s="47" t="s">
        <v>509</v>
      </c>
      <c r="E237" s="47" t="s">
        <v>513</v>
      </c>
      <c r="F237" s="48" t="s">
        <v>807</v>
      </c>
    </row>
    <row r="238" spans="2:6" ht="13.8" x14ac:dyDescent="0.25">
      <c r="B238" s="47"/>
      <c r="C238" s="47"/>
      <c r="D238" s="47" t="s">
        <v>514</v>
      </c>
      <c r="E238" s="47" t="s">
        <v>515</v>
      </c>
      <c r="F238" s="48" t="s">
        <v>807</v>
      </c>
    </row>
    <row r="239" spans="2:6" ht="13.8" x14ac:dyDescent="0.25">
      <c r="B239" s="47"/>
      <c r="C239" s="47"/>
      <c r="D239" s="47" t="s">
        <v>516</v>
      </c>
      <c r="E239" s="47" t="s">
        <v>517</v>
      </c>
      <c r="F239" s="48" t="s">
        <v>807</v>
      </c>
    </row>
    <row r="240" spans="2:6" ht="13.8" x14ac:dyDescent="0.25">
      <c r="B240" s="47"/>
      <c r="C240" s="47"/>
      <c r="D240" s="47" t="s">
        <v>518</v>
      </c>
      <c r="E240" s="47" t="s">
        <v>519</v>
      </c>
      <c r="F240" s="48" t="s">
        <v>807</v>
      </c>
    </row>
    <row r="241" spans="2:6" ht="13.8" x14ac:dyDescent="0.25">
      <c r="B241" s="47"/>
      <c r="C241" s="47"/>
      <c r="D241" s="47" t="s">
        <v>520</v>
      </c>
      <c r="E241" s="47" t="s">
        <v>521</v>
      </c>
      <c r="F241" s="48" t="s">
        <v>807</v>
      </c>
    </row>
    <row r="242" spans="2:6" ht="13.8" x14ac:dyDescent="0.25">
      <c r="B242" s="47"/>
      <c r="C242" s="47"/>
      <c r="D242" s="47" t="s">
        <v>522</v>
      </c>
      <c r="E242" s="47" t="s">
        <v>523</v>
      </c>
      <c r="F242" s="48" t="s">
        <v>807</v>
      </c>
    </row>
    <row r="243" spans="2:6" ht="13.8" x14ac:dyDescent="0.25">
      <c r="B243" s="47"/>
      <c r="C243" s="47"/>
      <c r="D243" s="47" t="s">
        <v>524</v>
      </c>
      <c r="E243" s="47" t="s">
        <v>525</v>
      </c>
      <c r="F243" s="48" t="s">
        <v>807</v>
      </c>
    </row>
    <row r="244" spans="2:6" ht="13.8" x14ac:dyDescent="0.25">
      <c r="B244" s="47"/>
      <c r="C244" s="47"/>
      <c r="D244" s="47" t="s">
        <v>526</v>
      </c>
      <c r="E244" s="47" t="s">
        <v>527</v>
      </c>
      <c r="F244" s="48" t="s">
        <v>807</v>
      </c>
    </row>
    <row r="245" spans="2:6" ht="13.8" x14ac:dyDescent="0.25">
      <c r="B245" s="47"/>
      <c r="C245" s="47"/>
      <c r="D245" s="47" t="s">
        <v>528</v>
      </c>
      <c r="E245" s="47" t="s">
        <v>529</v>
      </c>
      <c r="F245" s="48" t="s">
        <v>807</v>
      </c>
    </row>
    <row r="246" spans="2:6" ht="13.8" x14ac:dyDescent="0.25">
      <c r="B246" s="47"/>
      <c r="C246" s="47"/>
      <c r="D246" s="47" t="s">
        <v>530</v>
      </c>
      <c r="E246" s="47" t="s">
        <v>531</v>
      </c>
      <c r="F246" s="48" t="s">
        <v>807</v>
      </c>
    </row>
    <row r="247" spans="2:6" ht="13.8" x14ac:dyDescent="0.25">
      <c r="B247" s="47"/>
      <c r="C247" s="47"/>
      <c r="D247" s="47" t="s">
        <v>532</v>
      </c>
      <c r="E247" s="47" t="s">
        <v>533</v>
      </c>
      <c r="F247" s="48" t="s">
        <v>807</v>
      </c>
    </row>
    <row r="248" spans="2:6" ht="13.8" x14ac:dyDescent="0.25">
      <c r="B248" s="47"/>
      <c r="C248" s="47"/>
      <c r="D248" s="47" t="s">
        <v>534</v>
      </c>
      <c r="E248" s="47" t="s">
        <v>535</v>
      </c>
      <c r="F248" s="48" t="s">
        <v>807</v>
      </c>
    </row>
    <row r="249" spans="2:6" ht="13.8" x14ac:dyDescent="0.25">
      <c r="B249" s="47"/>
      <c r="C249" s="47"/>
      <c r="D249" s="47" t="s">
        <v>536</v>
      </c>
      <c r="E249" s="47" t="s">
        <v>537</v>
      </c>
      <c r="F249" s="48" t="s">
        <v>807</v>
      </c>
    </row>
    <row r="250" spans="2:6" ht="13.8" x14ac:dyDescent="0.25">
      <c r="B250" s="47"/>
      <c r="C250" s="47"/>
      <c r="D250" s="47" t="s">
        <v>538</v>
      </c>
      <c r="E250" s="47" t="s">
        <v>539</v>
      </c>
      <c r="F250" s="48" t="s">
        <v>807</v>
      </c>
    </row>
    <row r="251" spans="2:6" ht="13.8" x14ac:dyDescent="0.25">
      <c r="B251" s="47"/>
      <c r="C251" s="47"/>
      <c r="D251" s="47" t="s">
        <v>540</v>
      </c>
      <c r="E251" s="47" t="s">
        <v>541</v>
      </c>
      <c r="F251" s="48" t="s">
        <v>807</v>
      </c>
    </row>
    <row r="252" spans="2:6" ht="13.8" x14ac:dyDescent="0.25">
      <c r="B252" s="47"/>
      <c r="C252" s="47"/>
      <c r="D252" s="47" t="s">
        <v>542</v>
      </c>
      <c r="E252" s="47" t="s">
        <v>543</v>
      </c>
      <c r="F252" s="48" t="s">
        <v>807</v>
      </c>
    </row>
    <row r="253" spans="2:6" ht="13.8" x14ac:dyDescent="0.25">
      <c r="B253" s="47"/>
      <c r="C253" s="47"/>
      <c r="D253" s="47" t="s">
        <v>544</v>
      </c>
      <c r="E253" s="47" t="s">
        <v>545</v>
      </c>
      <c r="F253" s="48" t="s">
        <v>807</v>
      </c>
    </row>
    <row r="254" spans="2:6" ht="13.8" x14ac:dyDescent="0.25">
      <c r="B254" s="47"/>
      <c r="C254" s="47"/>
      <c r="D254" s="47" t="s">
        <v>546</v>
      </c>
      <c r="E254" s="47" t="s">
        <v>547</v>
      </c>
      <c r="F254" s="48" t="s">
        <v>807</v>
      </c>
    </row>
    <row r="255" spans="2:6" ht="13.8" x14ac:dyDescent="0.25">
      <c r="B255" s="47"/>
      <c r="C255" s="47"/>
      <c r="D255" s="47" t="s">
        <v>548</v>
      </c>
      <c r="E255" s="47" t="s">
        <v>970</v>
      </c>
      <c r="F255" s="48" t="s">
        <v>807</v>
      </c>
    </row>
    <row r="256" spans="2:6" ht="13.8" x14ac:dyDescent="0.25">
      <c r="B256" s="47"/>
      <c r="C256" s="47"/>
      <c r="D256" s="47" t="s">
        <v>549</v>
      </c>
      <c r="E256" s="47" t="s">
        <v>550</v>
      </c>
      <c r="F256" s="48" t="s">
        <v>807</v>
      </c>
    </row>
    <row r="257" spans="2:6" ht="13.8" x14ac:dyDescent="0.25">
      <c r="B257" s="47"/>
      <c r="C257" s="47"/>
      <c r="D257" s="47" t="s">
        <v>548</v>
      </c>
      <c r="E257" s="47" t="s">
        <v>551</v>
      </c>
      <c r="F257" s="48" t="s">
        <v>807</v>
      </c>
    </row>
    <row r="258" spans="2:6" ht="13.8" x14ac:dyDescent="0.25">
      <c r="B258" s="47"/>
      <c r="C258" s="47"/>
      <c r="D258" s="47" t="s">
        <v>552</v>
      </c>
      <c r="E258" s="47" t="s">
        <v>553</v>
      </c>
      <c r="F258" s="48" t="s">
        <v>807</v>
      </c>
    </row>
    <row r="259" spans="2:6" ht="13.8" x14ac:dyDescent="0.25">
      <c r="B259" s="47"/>
      <c r="C259" s="47"/>
      <c r="D259" s="47" t="s">
        <v>971</v>
      </c>
      <c r="E259" s="47" t="s">
        <v>972</v>
      </c>
      <c r="F259" s="48" t="s">
        <v>807</v>
      </c>
    </row>
    <row r="260" spans="2:6" ht="13.8" x14ac:dyDescent="0.25">
      <c r="B260" s="47"/>
      <c r="C260" s="47"/>
      <c r="D260" s="47" t="s">
        <v>554</v>
      </c>
      <c r="E260" s="47" t="s">
        <v>555</v>
      </c>
      <c r="F260" s="48" t="s">
        <v>807</v>
      </c>
    </row>
    <row r="261" spans="2:6" ht="13.8" x14ac:dyDescent="0.25">
      <c r="B261" s="47"/>
      <c r="C261" s="47"/>
      <c r="D261" s="47" t="s">
        <v>556</v>
      </c>
      <c r="E261" s="47" t="s">
        <v>557</v>
      </c>
      <c r="F261" s="48" t="s">
        <v>807</v>
      </c>
    </row>
    <row r="262" spans="2:6" ht="13.8" x14ac:dyDescent="0.25">
      <c r="B262" s="47"/>
      <c r="C262" s="47"/>
      <c r="D262" s="47" t="s">
        <v>973</v>
      </c>
      <c r="E262" s="47" t="s">
        <v>558</v>
      </c>
      <c r="F262" s="48" t="s">
        <v>807</v>
      </c>
    </row>
    <row r="263" spans="2:6" ht="13.8" x14ac:dyDescent="0.25">
      <c r="B263" s="47"/>
      <c r="C263" s="47"/>
      <c r="D263" s="47" t="s">
        <v>559</v>
      </c>
      <c r="E263" s="47" t="s">
        <v>560</v>
      </c>
      <c r="F263" s="48" t="s">
        <v>807</v>
      </c>
    </row>
    <row r="264" spans="2:6" ht="13.8" x14ac:dyDescent="0.25">
      <c r="B264" s="47"/>
      <c r="C264" s="47"/>
      <c r="D264" s="47" t="s">
        <v>561</v>
      </c>
      <c r="E264" s="47" t="s">
        <v>562</v>
      </c>
      <c r="F264" s="48" t="s">
        <v>807</v>
      </c>
    </row>
    <row r="265" spans="2:6" ht="13.8" x14ac:dyDescent="0.25">
      <c r="B265" s="47"/>
      <c r="C265" s="47"/>
      <c r="D265" s="47" t="s">
        <v>563</v>
      </c>
      <c r="E265" s="47" t="s">
        <v>564</v>
      </c>
      <c r="F265" s="48" t="s">
        <v>807</v>
      </c>
    </row>
    <row r="266" spans="2:6" ht="13.8" x14ac:dyDescent="0.25">
      <c r="B266" s="47"/>
      <c r="C266" s="47"/>
      <c r="D266" s="47" t="s">
        <v>565</v>
      </c>
      <c r="E266" s="47" t="s">
        <v>566</v>
      </c>
      <c r="F266" s="48" t="s">
        <v>807</v>
      </c>
    </row>
    <row r="267" spans="2:6" ht="13.8" x14ac:dyDescent="0.25">
      <c r="B267" s="47"/>
      <c r="C267" s="47"/>
      <c r="D267" s="47" t="s">
        <v>567</v>
      </c>
      <c r="E267" s="47" t="s">
        <v>568</v>
      </c>
      <c r="F267" s="48" t="s">
        <v>807</v>
      </c>
    </row>
    <row r="268" spans="2:6" ht="13.8" x14ac:dyDescent="0.25">
      <c r="B268" s="47"/>
      <c r="C268" s="47"/>
      <c r="D268" s="47" t="s">
        <v>569</v>
      </c>
      <c r="E268" s="47" t="s">
        <v>570</v>
      </c>
      <c r="F268" s="48" t="s">
        <v>807</v>
      </c>
    </row>
    <row r="269" spans="2:6" ht="13.8" x14ac:dyDescent="0.25">
      <c r="B269" s="47"/>
      <c r="C269" s="47"/>
      <c r="D269" s="47" t="s">
        <v>571</v>
      </c>
      <c r="E269" s="47" t="s">
        <v>572</v>
      </c>
      <c r="F269" s="48" t="s">
        <v>807</v>
      </c>
    </row>
    <row r="270" spans="2:6" ht="13.8" x14ac:dyDescent="0.25">
      <c r="B270" s="47"/>
      <c r="C270" s="47"/>
      <c r="D270" s="47" t="s">
        <v>573</v>
      </c>
      <c r="E270" s="47" t="s">
        <v>574</v>
      </c>
      <c r="F270" s="48" t="s">
        <v>807</v>
      </c>
    </row>
    <row r="271" spans="2:6" ht="13.8" x14ac:dyDescent="0.25">
      <c r="B271" s="47"/>
      <c r="C271" s="47"/>
      <c r="D271" s="47" t="s">
        <v>575</v>
      </c>
      <c r="E271" s="47" t="s">
        <v>576</v>
      </c>
      <c r="F271" s="48" t="s">
        <v>807</v>
      </c>
    </row>
    <row r="272" spans="2:6" ht="13.8" x14ac:dyDescent="0.25">
      <c r="B272" s="47"/>
      <c r="C272" s="47"/>
      <c r="D272" s="47" t="s">
        <v>577</v>
      </c>
      <c r="E272" s="47" t="s">
        <v>578</v>
      </c>
      <c r="F272" s="48" t="s">
        <v>807</v>
      </c>
    </row>
    <row r="273" spans="2:6" ht="13.8" x14ac:dyDescent="0.25">
      <c r="B273" s="47"/>
      <c r="C273" s="47"/>
      <c r="D273" s="47" t="s">
        <v>579</v>
      </c>
      <c r="E273" s="47" t="s">
        <v>580</v>
      </c>
      <c r="F273" s="48" t="s">
        <v>807</v>
      </c>
    </row>
    <row r="274" spans="2:6" ht="13.8" x14ac:dyDescent="0.25">
      <c r="B274" s="47"/>
      <c r="C274" s="47"/>
      <c r="D274" s="47" t="s">
        <v>581</v>
      </c>
      <c r="E274" s="47" t="s">
        <v>582</v>
      </c>
      <c r="F274" s="48" t="s">
        <v>807</v>
      </c>
    </row>
    <row r="275" spans="2:6" ht="13.8" x14ac:dyDescent="0.25">
      <c r="B275" s="47"/>
      <c r="C275" s="47"/>
      <c r="D275" s="47" t="s">
        <v>583</v>
      </c>
      <c r="E275" s="47" t="s">
        <v>584</v>
      </c>
      <c r="F275" s="48" t="s">
        <v>807</v>
      </c>
    </row>
    <row r="276" spans="2:6" ht="13.8" x14ac:dyDescent="0.25">
      <c r="B276" s="47"/>
      <c r="C276" s="47"/>
      <c r="D276" s="47" t="s">
        <v>585</v>
      </c>
      <c r="E276" s="47" t="s">
        <v>586</v>
      </c>
      <c r="F276" s="48" t="s">
        <v>807</v>
      </c>
    </row>
    <row r="277" spans="2:6" ht="13.8" x14ac:dyDescent="0.25">
      <c r="B277" s="47"/>
      <c r="C277" s="47"/>
      <c r="D277" s="47" t="s">
        <v>587</v>
      </c>
      <c r="E277" s="47" t="s">
        <v>588</v>
      </c>
      <c r="F277" s="48" t="s">
        <v>807</v>
      </c>
    </row>
    <row r="278" spans="2:6" ht="13.8" x14ac:dyDescent="0.25">
      <c r="B278" s="47"/>
      <c r="C278" s="47"/>
      <c r="D278" s="47" t="s">
        <v>589</v>
      </c>
      <c r="E278" s="47" t="s">
        <v>590</v>
      </c>
      <c r="F278" s="48" t="s">
        <v>807</v>
      </c>
    </row>
    <row r="279" spans="2:6" ht="13.8" x14ac:dyDescent="0.25">
      <c r="B279" s="47"/>
      <c r="C279" s="47"/>
      <c r="D279" s="47" t="s">
        <v>591</v>
      </c>
      <c r="E279" s="47" t="s">
        <v>592</v>
      </c>
      <c r="F279" s="48" t="s">
        <v>807</v>
      </c>
    </row>
    <row r="280" spans="2:6" ht="13.8" x14ac:dyDescent="0.25">
      <c r="B280" s="47"/>
      <c r="C280" s="47"/>
      <c r="D280" s="47" t="s">
        <v>593</v>
      </c>
      <c r="E280" s="47" t="s">
        <v>594</v>
      </c>
      <c r="F280" s="48" t="s">
        <v>807</v>
      </c>
    </row>
    <row r="281" spans="2:6" ht="13.8" x14ac:dyDescent="0.25">
      <c r="B281" s="47"/>
      <c r="C281" s="47"/>
      <c r="D281" s="47" t="s">
        <v>595</v>
      </c>
      <c r="E281" s="47" t="s">
        <v>596</v>
      </c>
      <c r="F281" s="48" t="s">
        <v>807</v>
      </c>
    </row>
    <row r="282" spans="2:6" ht="13.8" x14ac:dyDescent="0.25">
      <c r="B282" s="47"/>
      <c r="C282" s="47"/>
      <c r="D282" s="47" t="s">
        <v>597</v>
      </c>
      <c r="E282" s="47" t="s">
        <v>598</v>
      </c>
      <c r="F282" s="48" t="s">
        <v>807</v>
      </c>
    </row>
    <row r="283" spans="2:6" ht="13.8" x14ac:dyDescent="0.25">
      <c r="B283" s="47"/>
      <c r="C283" s="47"/>
      <c r="D283" s="47" t="s">
        <v>599</v>
      </c>
      <c r="E283" s="47" t="s">
        <v>600</v>
      </c>
      <c r="F283" s="48" t="s">
        <v>807</v>
      </c>
    </row>
    <row r="284" spans="2:6" ht="13.8" x14ac:dyDescent="0.25">
      <c r="B284" s="47"/>
      <c r="C284" s="47"/>
      <c r="D284" s="47" t="s">
        <v>601</v>
      </c>
      <c r="E284" s="47" t="s">
        <v>602</v>
      </c>
      <c r="F284" s="48" t="s">
        <v>807</v>
      </c>
    </row>
    <row r="285" spans="2:6" ht="13.8" x14ac:dyDescent="0.25">
      <c r="B285" s="47"/>
      <c r="C285" s="47"/>
      <c r="D285" s="47" t="s">
        <v>603</v>
      </c>
      <c r="E285" s="47" t="s">
        <v>604</v>
      </c>
      <c r="F285" s="48" t="s">
        <v>807</v>
      </c>
    </row>
    <row r="286" spans="2:6" ht="13.8" x14ac:dyDescent="0.25">
      <c r="B286" s="47"/>
      <c r="C286" s="47"/>
      <c r="D286" s="47" t="s">
        <v>605</v>
      </c>
      <c r="E286" s="47" t="s">
        <v>606</v>
      </c>
      <c r="F286" s="48" t="s">
        <v>807</v>
      </c>
    </row>
    <row r="287" spans="2:6" ht="13.8" x14ac:dyDescent="0.25">
      <c r="B287" s="47"/>
      <c r="C287" s="47"/>
      <c r="D287" s="47" t="s">
        <v>607</v>
      </c>
      <c r="E287" s="47" t="s">
        <v>608</v>
      </c>
      <c r="F287" s="48" t="s">
        <v>807</v>
      </c>
    </row>
    <row r="288" spans="2:6" ht="13.8" x14ac:dyDescent="0.25">
      <c r="B288" s="47"/>
      <c r="C288" s="47"/>
      <c r="D288" s="47" t="s">
        <v>605</v>
      </c>
      <c r="E288" s="47" t="s">
        <v>609</v>
      </c>
      <c r="F288" s="48" t="s">
        <v>807</v>
      </c>
    </row>
    <row r="289" spans="2:6" ht="13.8" x14ac:dyDescent="0.25">
      <c r="B289" s="47"/>
      <c r="C289" s="47"/>
      <c r="D289" s="47" t="s">
        <v>610</v>
      </c>
      <c r="E289" s="47" t="s">
        <v>611</v>
      </c>
      <c r="F289" s="48" t="s">
        <v>807</v>
      </c>
    </row>
    <row r="290" spans="2:6" ht="13.8" x14ac:dyDescent="0.25">
      <c r="B290" s="47"/>
      <c r="C290" s="47"/>
      <c r="D290" s="47" t="s">
        <v>612</v>
      </c>
      <c r="E290" s="47" t="s">
        <v>613</v>
      </c>
      <c r="F290" s="48" t="s">
        <v>807</v>
      </c>
    </row>
    <row r="291" spans="2:6" ht="13.8" x14ac:dyDescent="0.25">
      <c r="B291" s="47"/>
      <c r="C291" s="47"/>
      <c r="D291" s="47" t="s">
        <v>614</v>
      </c>
      <c r="E291" s="47" t="s">
        <v>615</v>
      </c>
      <c r="F291" s="48" t="s">
        <v>807</v>
      </c>
    </row>
    <row r="292" spans="2:6" ht="13.8" x14ac:dyDescent="0.25">
      <c r="B292" s="47"/>
      <c r="C292" s="47"/>
      <c r="D292" s="47" t="s">
        <v>616</v>
      </c>
      <c r="E292" s="47" t="s">
        <v>617</v>
      </c>
      <c r="F292" s="48" t="s">
        <v>807</v>
      </c>
    </row>
    <row r="293" spans="2:6" ht="13.8" x14ac:dyDescent="0.25">
      <c r="B293" s="47"/>
      <c r="C293" s="47"/>
      <c r="D293" s="47" t="s">
        <v>618</v>
      </c>
      <c r="E293" s="47" t="s">
        <v>619</v>
      </c>
      <c r="F293" s="48" t="s">
        <v>807</v>
      </c>
    </row>
    <row r="294" spans="2:6" ht="13.8" x14ac:dyDescent="0.25">
      <c r="B294" s="47"/>
      <c r="C294" s="47"/>
      <c r="D294" s="47" t="s">
        <v>620</v>
      </c>
      <c r="E294" s="47" t="s">
        <v>621</v>
      </c>
      <c r="F294" s="48" t="s">
        <v>807</v>
      </c>
    </row>
    <row r="295" spans="2:6" ht="13.8" x14ac:dyDescent="0.25">
      <c r="B295" s="47"/>
      <c r="C295" s="47"/>
      <c r="D295" s="47" t="s">
        <v>622</v>
      </c>
      <c r="E295" s="47" t="s">
        <v>623</v>
      </c>
      <c r="F295" s="48" t="s">
        <v>807</v>
      </c>
    </row>
    <row r="296" spans="2:6" ht="13.8" x14ac:dyDescent="0.25">
      <c r="B296" s="47"/>
      <c r="C296" s="47"/>
      <c r="D296" s="47" t="s">
        <v>974</v>
      </c>
      <c r="E296" s="47" t="s">
        <v>975</v>
      </c>
      <c r="F296" s="48" t="s">
        <v>807</v>
      </c>
    </row>
    <row r="297" spans="2:6" ht="13.8" x14ac:dyDescent="0.25">
      <c r="B297" s="47"/>
      <c r="C297" s="47"/>
      <c r="D297" s="47" t="s">
        <v>624</v>
      </c>
      <c r="E297" s="47" t="s">
        <v>625</v>
      </c>
      <c r="F297" s="48" t="s">
        <v>807</v>
      </c>
    </row>
    <row r="298" spans="2:6" ht="13.8" x14ac:dyDescent="0.25">
      <c r="B298" s="47"/>
      <c r="C298" s="47"/>
      <c r="D298" s="47" t="s">
        <v>626</v>
      </c>
      <c r="E298" s="47" t="s">
        <v>627</v>
      </c>
      <c r="F298" s="48" t="s">
        <v>807</v>
      </c>
    </row>
    <row r="299" spans="2:6" ht="13.8" x14ac:dyDescent="0.25">
      <c r="B299" s="47"/>
      <c r="C299" s="47"/>
      <c r="D299" s="47" t="s">
        <v>976</v>
      </c>
      <c r="E299" s="47" t="s">
        <v>628</v>
      </c>
      <c r="F299" s="48" t="s">
        <v>807</v>
      </c>
    </row>
    <row r="300" spans="2:6" ht="13.8" x14ac:dyDescent="0.25">
      <c r="B300" s="47"/>
      <c r="C300" s="47"/>
      <c r="D300" s="47" t="s">
        <v>629</v>
      </c>
      <c r="E300" s="47" t="s">
        <v>630</v>
      </c>
      <c r="F300" s="48" t="s">
        <v>807</v>
      </c>
    </row>
    <row r="301" spans="2:6" ht="13.8" x14ac:dyDescent="0.25">
      <c r="B301" s="47"/>
      <c r="C301" s="47"/>
      <c r="D301" s="47" t="s">
        <v>631</v>
      </c>
      <c r="E301" s="47" t="s">
        <v>632</v>
      </c>
      <c r="F301" s="48" t="s">
        <v>807</v>
      </c>
    </row>
    <row r="302" spans="2:6" ht="13.8" x14ac:dyDescent="0.25">
      <c r="B302" s="47"/>
      <c r="C302" s="47"/>
      <c r="D302" s="47" t="s">
        <v>633</v>
      </c>
      <c r="E302" s="47" t="s">
        <v>634</v>
      </c>
      <c r="F302" s="48" t="s">
        <v>807</v>
      </c>
    </row>
    <row r="303" spans="2:6" ht="13.8" x14ac:dyDescent="0.25">
      <c r="B303" s="47"/>
      <c r="C303" s="47"/>
      <c r="D303" s="47" t="s">
        <v>635</v>
      </c>
      <c r="E303" s="47" t="s">
        <v>636</v>
      </c>
      <c r="F303" s="48" t="s">
        <v>807</v>
      </c>
    </row>
    <row r="304" spans="2:6" ht="13.8" x14ac:dyDescent="0.25">
      <c r="B304" s="47"/>
      <c r="C304" s="47"/>
      <c r="D304" s="47" t="s">
        <v>637</v>
      </c>
      <c r="E304" s="47" t="s">
        <v>638</v>
      </c>
      <c r="F304" s="48" t="s">
        <v>807</v>
      </c>
    </row>
    <row r="305" spans="2:6" ht="13.8" x14ac:dyDescent="0.25">
      <c r="B305" s="47"/>
      <c r="C305" s="47"/>
      <c r="D305" s="47" t="s">
        <v>639</v>
      </c>
      <c r="E305" s="47" t="s">
        <v>640</v>
      </c>
      <c r="F305" s="48" t="s">
        <v>807</v>
      </c>
    </row>
    <row r="306" spans="2:6" ht="13.8" x14ac:dyDescent="0.25">
      <c r="B306" s="47"/>
      <c r="C306" s="47"/>
      <c r="D306" s="47" t="s">
        <v>641</v>
      </c>
      <c r="E306" s="47" t="s">
        <v>642</v>
      </c>
      <c r="F306" s="48" t="s">
        <v>807</v>
      </c>
    </row>
    <row r="307" spans="2:6" ht="13.8" x14ac:dyDescent="0.25">
      <c r="B307" s="47"/>
      <c r="C307" s="47"/>
      <c r="D307" s="47" t="s">
        <v>643</v>
      </c>
      <c r="E307" s="47" t="s">
        <v>644</v>
      </c>
      <c r="F307" s="48" t="s">
        <v>807</v>
      </c>
    </row>
    <row r="308" spans="2:6" ht="13.8" x14ac:dyDescent="0.25">
      <c r="B308" s="47"/>
      <c r="C308" s="47"/>
      <c r="D308" s="47" t="s">
        <v>645</v>
      </c>
      <c r="E308" s="47" t="s">
        <v>646</v>
      </c>
      <c r="F308" s="48" t="s">
        <v>807</v>
      </c>
    </row>
    <row r="309" spans="2:6" ht="13.8" x14ac:dyDescent="0.25">
      <c r="B309" s="47"/>
      <c r="C309" s="47"/>
      <c r="D309" s="47" t="s">
        <v>647</v>
      </c>
      <c r="E309" s="47" t="s">
        <v>648</v>
      </c>
      <c r="F309" s="48" t="s">
        <v>807</v>
      </c>
    </row>
    <row r="310" spans="2:6" ht="13.8" x14ac:dyDescent="0.25">
      <c r="B310" s="47"/>
      <c r="C310" s="47"/>
      <c r="D310" s="47" t="s">
        <v>649</v>
      </c>
      <c r="E310" s="47" t="s">
        <v>650</v>
      </c>
      <c r="F310" s="48" t="s">
        <v>807</v>
      </c>
    </row>
    <row r="311" spans="2:6" ht="13.8" x14ac:dyDescent="0.25">
      <c r="B311" s="47"/>
      <c r="C311" s="47"/>
      <c r="D311" s="47" t="s">
        <v>651</v>
      </c>
      <c r="E311" s="47" t="s">
        <v>652</v>
      </c>
      <c r="F311" s="48" t="s">
        <v>807</v>
      </c>
    </row>
    <row r="312" spans="2:6" ht="13.8" x14ac:dyDescent="0.25">
      <c r="B312" s="47"/>
      <c r="C312" s="47"/>
      <c r="D312" s="47" t="s">
        <v>653</v>
      </c>
      <c r="E312" s="47" t="s">
        <v>654</v>
      </c>
      <c r="F312" s="48" t="s">
        <v>807</v>
      </c>
    </row>
    <row r="313" spans="2:6" ht="13.8" x14ac:dyDescent="0.25">
      <c r="B313" s="47"/>
      <c r="C313" s="47"/>
      <c r="D313" s="47" t="s">
        <v>655</v>
      </c>
      <c r="E313" s="47" t="s">
        <v>656</v>
      </c>
      <c r="F313" s="48" t="s">
        <v>807</v>
      </c>
    </row>
    <row r="314" spans="2:6" ht="13.8" x14ac:dyDescent="0.25">
      <c r="B314" s="47"/>
      <c r="C314" s="47"/>
      <c r="D314" s="47" t="s">
        <v>657</v>
      </c>
      <c r="E314" s="47" t="s">
        <v>658</v>
      </c>
      <c r="F314" s="48" t="s">
        <v>807</v>
      </c>
    </row>
    <row r="315" spans="2:6" ht="13.8" x14ac:dyDescent="0.25">
      <c r="B315" s="47"/>
      <c r="C315" s="47"/>
      <c r="D315" s="47" t="s">
        <v>659</v>
      </c>
      <c r="E315" s="47" t="s">
        <v>660</v>
      </c>
      <c r="F315" s="48" t="s">
        <v>807</v>
      </c>
    </row>
    <row r="316" spans="2:6" ht="13.8" x14ac:dyDescent="0.25">
      <c r="B316" s="47"/>
      <c r="C316" s="47"/>
      <c r="D316" s="47" t="s">
        <v>661</v>
      </c>
      <c r="E316" s="47" t="s">
        <v>662</v>
      </c>
      <c r="F316" s="48" t="s">
        <v>807</v>
      </c>
    </row>
    <row r="317" spans="2:6" ht="13.8" x14ac:dyDescent="0.25">
      <c r="B317" s="47"/>
      <c r="C317" s="47"/>
      <c r="D317" s="47" t="s">
        <v>663</v>
      </c>
      <c r="E317" s="47" t="s">
        <v>664</v>
      </c>
      <c r="F317" s="48" t="s">
        <v>807</v>
      </c>
    </row>
    <row r="318" spans="2:6" ht="13.8" x14ac:dyDescent="0.25">
      <c r="B318" s="47"/>
      <c r="C318" s="47"/>
      <c r="D318" s="47" t="s">
        <v>665</v>
      </c>
      <c r="E318" s="47" t="s">
        <v>666</v>
      </c>
      <c r="F318" s="48" t="s">
        <v>807</v>
      </c>
    </row>
    <row r="319" spans="2:6" ht="13.8" x14ac:dyDescent="0.25">
      <c r="B319" s="47"/>
      <c r="C319" s="47"/>
      <c r="D319" s="47" t="s">
        <v>667</v>
      </c>
      <c r="E319" s="47" t="s">
        <v>668</v>
      </c>
      <c r="F319" s="48" t="s">
        <v>807</v>
      </c>
    </row>
    <row r="320" spans="2:6" ht="13.8" x14ac:dyDescent="0.25">
      <c r="B320" s="47"/>
      <c r="C320" s="47"/>
      <c r="D320" s="47" t="s">
        <v>669</v>
      </c>
      <c r="E320" s="47" t="s">
        <v>670</v>
      </c>
      <c r="F320" s="48" t="s">
        <v>807</v>
      </c>
    </row>
    <row r="321" spans="2:6" ht="13.8" x14ac:dyDescent="0.25">
      <c r="B321" s="47"/>
      <c r="C321" s="47"/>
      <c r="D321" s="47" t="s">
        <v>671</v>
      </c>
      <c r="E321" s="47" t="s">
        <v>672</v>
      </c>
      <c r="F321" s="48" t="s">
        <v>807</v>
      </c>
    </row>
    <row r="322" spans="2:6" ht="13.8" x14ac:dyDescent="0.25">
      <c r="B322" s="47"/>
      <c r="C322" s="47"/>
      <c r="D322" s="47" t="s">
        <v>673</v>
      </c>
      <c r="E322" s="47" t="s">
        <v>674</v>
      </c>
      <c r="F322" s="48" t="s">
        <v>807</v>
      </c>
    </row>
    <row r="323" spans="2:6" ht="13.8" x14ac:dyDescent="0.25">
      <c r="B323" s="47"/>
      <c r="C323" s="47"/>
      <c r="D323" s="47" t="s">
        <v>675</v>
      </c>
      <c r="E323" s="47" t="s">
        <v>676</v>
      </c>
      <c r="F323" s="48" t="s">
        <v>807</v>
      </c>
    </row>
    <row r="324" spans="2:6" ht="13.8" x14ac:dyDescent="0.25">
      <c r="B324" s="47"/>
      <c r="C324" s="47"/>
      <c r="D324" s="47" t="s">
        <v>677</v>
      </c>
      <c r="E324" s="47" t="s">
        <v>678</v>
      </c>
      <c r="F324" s="48" t="s">
        <v>807</v>
      </c>
    </row>
    <row r="325" spans="2:6" ht="13.8" x14ac:dyDescent="0.25">
      <c r="B325" s="47"/>
      <c r="C325" s="47"/>
      <c r="D325" s="47" t="s">
        <v>675</v>
      </c>
      <c r="E325" s="47" t="s">
        <v>679</v>
      </c>
      <c r="F325" s="48" t="s">
        <v>807</v>
      </c>
    </row>
    <row r="326" spans="2:6" ht="13.8" x14ac:dyDescent="0.25">
      <c r="B326" s="47"/>
      <c r="C326" s="47"/>
      <c r="D326" s="47" t="s">
        <v>680</v>
      </c>
      <c r="E326" s="47" t="s">
        <v>681</v>
      </c>
      <c r="F326" s="48" t="s">
        <v>807</v>
      </c>
    </row>
    <row r="327" spans="2:6" ht="13.8" x14ac:dyDescent="0.25">
      <c r="B327" s="47"/>
      <c r="C327" s="47"/>
      <c r="D327" s="47" t="s">
        <v>682</v>
      </c>
      <c r="E327" s="47" t="s">
        <v>683</v>
      </c>
      <c r="F327" s="48" t="s">
        <v>807</v>
      </c>
    </row>
    <row r="328" spans="2:6" ht="13.8" x14ac:dyDescent="0.25">
      <c r="B328" s="47"/>
      <c r="C328" s="47"/>
      <c r="D328" s="49" t="s">
        <v>711</v>
      </c>
      <c r="E328" s="49" t="s">
        <v>712</v>
      </c>
      <c r="F328" s="50" t="s">
        <v>807</v>
      </c>
    </row>
    <row r="329" spans="2:6" ht="13.8" x14ac:dyDescent="0.25">
      <c r="B329" s="47"/>
      <c r="C329" s="47"/>
      <c r="D329" s="47" t="s">
        <v>684</v>
      </c>
      <c r="E329" s="47" t="s">
        <v>685</v>
      </c>
      <c r="F329" s="48" t="s">
        <v>807</v>
      </c>
    </row>
    <row r="330" spans="2:6" ht="13.8" x14ac:dyDescent="0.25">
      <c r="B330" s="47"/>
      <c r="C330" s="47"/>
      <c r="D330" s="47" t="s">
        <v>686</v>
      </c>
      <c r="E330" s="47" t="s">
        <v>687</v>
      </c>
      <c r="F330" s="48" t="s">
        <v>807</v>
      </c>
    </row>
    <row r="331" spans="2:6" ht="13.8" x14ac:dyDescent="0.25">
      <c r="B331" s="47"/>
      <c r="C331" s="47"/>
      <c r="D331" s="47" t="s">
        <v>688</v>
      </c>
      <c r="E331" s="47" t="s">
        <v>689</v>
      </c>
      <c r="F331" s="48" t="s">
        <v>807</v>
      </c>
    </row>
    <row r="332" spans="2:6" ht="13.8" x14ac:dyDescent="0.25">
      <c r="B332" s="47"/>
      <c r="C332" s="47"/>
      <c r="D332" s="47" t="s">
        <v>690</v>
      </c>
      <c r="E332" s="47" t="s">
        <v>691</v>
      </c>
      <c r="F332" s="48" t="s">
        <v>807</v>
      </c>
    </row>
    <row r="333" spans="2:6" ht="13.8" x14ac:dyDescent="0.25">
      <c r="B333" s="47"/>
      <c r="C333" s="47"/>
      <c r="D333" s="47" t="s">
        <v>692</v>
      </c>
      <c r="E333" s="47" t="s">
        <v>694</v>
      </c>
      <c r="F333" s="48" t="s">
        <v>807</v>
      </c>
    </row>
    <row r="334" spans="2:6" ht="13.8" x14ac:dyDescent="0.25">
      <c r="B334" s="47"/>
      <c r="C334" s="47"/>
      <c r="D334" s="47" t="s">
        <v>75</v>
      </c>
      <c r="E334" s="47" t="s">
        <v>695</v>
      </c>
      <c r="F334" s="48" t="s">
        <v>807</v>
      </c>
    </row>
    <row r="335" spans="2:6" ht="13.8" x14ac:dyDescent="0.25">
      <c r="B335" s="47"/>
      <c r="C335" s="47"/>
      <c r="D335" s="47" t="s">
        <v>696</v>
      </c>
      <c r="E335" s="47" t="s">
        <v>697</v>
      </c>
      <c r="F335" s="48" t="s">
        <v>807</v>
      </c>
    </row>
    <row r="336" spans="2:6" ht="13.8" x14ac:dyDescent="0.25">
      <c r="B336" s="47"/>
      <c r="C336" s="47"/>
      <c r="D336" s="47" t="s">
        <v>698</v>
      </c>
      <c r="E336" s="47" t="s">
        <v>699</v>
      </c>
      <c r="F336" s="48" t="s">
        <v>807</v>
      </c>
    </row>
    <row r="337" spans="2:7" ht="13.8" x14ac:dyDescent="0.25">
      <c r="B337" s="47"/>
      <c r="C337" s="47"/>
      <c r="D337" s="47" t="s">
        <v>55</v>
      </c>
      <c r="E337" s="47" t="s">
        <v>700</v>
      </c>
      <c r="F337" s="48" t="s">
        <v>807</v>
      </c>
    </row>
    <row r="338" spans="2:7" ht="13.8" x14ac:dyDescent="0.25">
      <c r="B338" s="47"/>
      <c r="C338" s="47"/>
      <c r="D338" s="47" t="s">
        <v>701</v>
      </c>
      <c r="E338" s="47" t="s">
        <v>702</v>
      </c>
      <c r="F338" s="48" t="s">
        <v>807</v>
      </c>
    </row>
    <row r="339" spans="2:7" ht="13.8" x14ac:dyDescent="0.25">
      <c r="B339" s="47"/>
      <c r="C339" s="47"/>
      <c r="D339" s="47" t="s">
        <v>703</v>
      </c>
      <c r="E339" s="47" t="s">
        <v>704</v>
      </c>
      <c r="F339" s="48" t="s">
        <v>807</v>
      </c>
    </row>
    <row r="340" spans="2:7" ht="13.8" x14ac:dyDescent="0.25">
      <c r="B340" s="47"/>
      <c r="C340" s="47"/>
      <c r="D340" s="47" t="s">
        <v>705</v>
      </c>
      <c r="E340" s="47" t="s">
        <v>706</v>
      </c>
      <c r="F340" s="48" t="s">
        <v>807</v>
      </c>
    </row>
    <row r="341" spans="2:7" ht="13.8" x14ac:dyDescent="0.25">
      <c r="B341" s="47"/>
      <c r="C341" s="47"/>
      <c r="D341" s="47" t="s">
        <v>707</v>
      </c>
      <c r="E341" s="47" t="s">
        <v>708</v>
      </c>
      <c r="F341" s="48" t="s">
        <v>807</v>
      </c>
    </row>
    <row r="342" spans="2:7" ht="13.8" x14ac:dyDescent="0.25">
      <c r="B342" s="47"/>
      <c r="C342" s="47"/>
      <c r="D342" s="47" t="s">
        <v>709</v>
      </c>
      <c r="E342" s="47" t="s">
        <v>710</v>
      </c>
      <c r="F342" s="48" t="s">
        <v>807</v>
      </c>
    </row>
    <row r="343" spans="2:7" ht="13.8" x14ac:dyDescent="0.25">
      <c r="B343" s="47"/>
      <c r="C343" s="47"/>
      <c r="D343" s="47" t="s">
        <v>711</v>
      </c>
      <c r="E343" s="47" t="s">
        <v>712</v>
      </c>
      <c r="F343" s="48" t="s">
        <v>807</v>
      </c>
    </row>
    <row r="344" spans="2:7" s="47" customFormat="1" ht="13.8" x14ac:dyDescent="0.25">
      <c r="D344" s="47" t="s">
        <v>769</v>
      </c>
      <c r="E344" s="47" t="s">
        <v>770</v>
      </c>
      <c r="F344" s="48" t="s">
        <v>807</v>
      </c>
    </row>
    <row r="345" spans="2:7" s="47" customFormat="1" ht="13.8" x14ac:dyDescent="0.25">
      <c r="D345" s="47" t="s">
        <v>977</v>
      </c>
      <c r="E345" s="47" t="s">
        <v>978</v>
      </c>
      <c r="F345" s="48" t="s">
        <v>807</v>
      </c>
    </row>
    <row r="346" spans="2:7" s="47" customFormat="1" ht="13.8" x14ac:dyDescent="0.25">
      <c r="D346" s="47" t="s">
        <v>979</v>
      </c>
      <c r="E346" s="47" t="s">
        <v>978</v>
      </c>
      <c r="F346" s="48" t="s">
        <v>807</v>
      </c>
    </row>
    <row r="347" spans="2:7" s="47" customFormat="1" ht="13.8" x14ac:dyDescent="0.25">
      <c r="D347" s="47" t="s">
        <v>729</v>
      </c>
      <c r="E347" s="47" t="s">
        <v>980</v>
      </c>
      <c r="F347" s="34" t="s">
        <v>807</v>
      </c>
    </row>
    <row r="348" spans="2:7" ht="13.8" x14ac:dyDescent="0.25">
      <c r="D348" s="47"/>
      <c r="E348" s="47"/>
      <c r="F348" s="48"/>
      <c r="G348" s="47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SUP_Hydrogen</vt:lpstr>
      <vt:lpstr>SUP_Biomass</vt:lpstr>
      <vt:lpstr>SUP_Biofuels</vt:lpstr>
      <vt:lpstr>SUP_NUC</vt:lpstr>
      <vt:lpstr>SUP_WTR</vt:lpstr>
      <vt:lpstr>SUP_OilGas</vt:lpstr>
      <vt:lpstr>ELC_IMP</vt:lpstr>
      <vt:lpstr>SUP_CCS</vt:lpstr>
      <vt:lpstr>Commodities</vt:lpstr>
      <vt:lpstr>SUP</vt:lpstr>
      <vt:lpstr>General</vt:lpstr>
      <vt:lpstr>BASE_YEAR</vt:lpstr>
      <vt:lpstr>END_YEAR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dcterms:created xsi:type="dcterms:W3CDTF">2005-06-03T09:41:13Z</dcterms:created>
  <dcterms:modified xsi:type="dcterms:W3CDTF">2022-09-23T17:06:42Z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667197644710540</vt:r8>
  </property>
</Properties>
</file>