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71229E25-D11A-44BA-B8E4-F2ED3F49F6FD}" xr6:coauthVersionLast="47" xr6:coauthVersionMax="47" xr10:uidLastSave="{00000000-0000-0000-0000-000000000000}"/>
  <bookViews>
    <workbookView xWindow="372" yWindow="0" windowWidth="22668" windowHeight="12240" firstSheet="1" activeTab="1" xr2:uid="{00000000-000D-0000-FFFF-FFFF00000000}"/>
  </bookViews>
  <sheets>
    <sheet name="Commodities" sheetId="13" state="hidden" r:id="rId1"/>
    <sheet name="TER_NewBuildings" sheetId="5" r:id="rId2"/>
    <sheet name="TER_SpHeat" sheetId="15" r:id="rId3"/>
    <sheet name="TER_SpCool" sheetId="16" r:id="rId4"/>
    <sheet name="TER_WaterHeat" sheetId="17" r:id="rId5"/>
    <sheet name="TER_Appliances" sheetId="19" r:id="rId6"/>
    <sheet name="TER_Refurbishment" sheetId="20" r:id="rId7"/>
    <sheet name="General" sheetId="14" state="hidden" r:id="rId8"/>
    <sheet name="DATA " sheetId="21" state="hidden" r:id="rId9"/>
  </sheets>
  <definedNames>
    <definedName name="_xlnm._FilterDatabase" localSheetId="5" hidden="1">TER_Appliances!$S$5:$W$50</definedName>
    <definedName name="_xlnm._FilterDatabase" localSheetId="2" hidden="1">TER_SpHeat!$W$5:$AA$58</definedName>
    <definedName name="_xlnm._FilterDatabase" localSheetId="4" hidden="1">TER_WaterHeat!$V$5:$Z$24</definedName>
    <definedName name="BASE_YEAR">General!$F$1</definedName>
    <definedName name="END_YEAR">General!$F$2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" i="15" l="1"/>
  <c r="R62" i="15"/>
  <c r="K43" i="19"/>
  <c r="K42" i="19"/>
  <c r="K40" i="19"/>
  <c r="K39" i="19"/>
  <c r="J43" i="19"/>
  <c r="J42" i="19"/>
  <c r="J40" i="19"/>
  <c r="J39" i="19"/>
  <c r="G76" i="19" l="1"/>
  <c r="G41" i="19"/>
  <c r="G25" i="19"/>
  <c r="G22" i="19"/>
  <c r="G19" i="19"/>
  <c r="G12" i="19"/>
  <c r="G23" i="17"/>
  <c r="G18" i="17"/>
  <c r="G25" i="17" s="1"/>
  <c r="G20" i="17"/>
  <c r="G21" i="17"/>
  <c r="G17" i="16"/>
  <c r="G16" i="16"/>
  <c r="G15" i="16"/>
  <c r="G14" i="16"/>
  <c r="G84" i="15"/>
  <c r="G83" i="15"/>
  <c r="G81" i="15"/>
  <c r="G80" i="15"/>
  <c r="G78" i="15"/>
  <c r="G76" i="15"/>
  <c r="G74" i="15"/>
  <c r="G72" i="15"/>
  <c r="G64" i="15"/>
  <c r="G63" i="15"/>
  <c r="G62" i="15"/>
  <c r="G59" i="15"/>
  <c r="G54" i="15"/>
  <c r="G53" i="15"/>
  <c r="G51" i="15"/>
  <c r="G50" i="15"/>
  <c r="G11" i="17" l="1"/>
  <c r="G11" i="16"/>
  <c r="G10" i="16"/>
  <c r="G43" i="15"/>
  <c r="G42" i="15"/>
  <c r="G37" i="15"/>
  <c r="G35" i="15"/>
  <c r="F35" i="15" s="1"/>
  <c r="F36" i="15" s="1"/>
  <c r="J90" i="19"/>
  <c r="J89" i="19"/>
  <c r="J88" i="19"/>
  <c r="J87" i="19"/>
  <c r="H70" i="21"/>
  <c r="I70" i="21"/>
  <c r="H71" i="21"/>
  <c r="I71" i="21"/>
  <c r="H72" i="21"/>
  <c r="I72" i="21"/>
  <c r="H73" i="21"/>
  <c r="I73" i="21"/>
  <c r="H64" i="19"/>
  <c r="H63" i="19"/>
  <c r="H62" i="19"/>
  <c r="H61" i="19"/>
  <c r="H60" i="19"/>
  <c r="H59" i="19"/>
  <c r="H58" i="19"/>
  <c r="H57" i="19"/>
  <c r="J64" i="19"/>
  <c r="J63" i="19"/>
  <c r="J62" i="19"/>
  <c r="J61" i="19"/>
  <c r="J60" i="19"/>
  <c r="J59" i="19"/>
  <c r="J58" i="19"/>
  <c r="J57" i="19"/>
  <c r="I88" i="21"/>
  <c r="H88" i="21"/>
  <c r="I87" i="21"/>
  <c r="H87" i="21"/>
  <c r="I86" i="21"/>
  <c r="H86" i="21"/>
  <c r="I80" i="21"/>
  <c r="H80" i="21"/>
  <c r="I79" i="21"/>
  <c r="H79" i="21"/>
  <c r="I78" i="21"/>
  <c r="H78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J40" i="21"/>
  <c r="I40" i="21"/>
  <c r="H40" i="21"/>
  <c r="J39" i="21"/>
  <c r="I39" i="21"/>
  <c r="H39" i="21"/>
  <c r="J38" i="21"/>
  <c r="I38" i="21"/>
  <c r="H38" i="21"/>
  <c r="J37" i="21"/>
  <c r="I37" i="21"/>
  <c r="H37" i="21"/>
  <c r="H36" i="21"/>
  <c r="J35" i="21"/>
  <c r="I35" i="21"/>
  <c r="H35" i="21"/>
  <c r="J30" i="21"/>
  <c r="I30" i="21"/>
  <c r="H30" i="21"/>
  <c r="J29" i="21"/>
  <c r="I29" i="21"/>
  <c r="H29" i="21"/>
  <c r="J28" i="21"/>
  <c r="I28" i="21"/>
  <c r="H28" i="21"/>
  <c r="J27" i="21"/>
  <c r="I27" i="21"/>
  <c r="H27" i="21"/>
  <c r="J26" i="21"/>
  <c r="I26" i="21"/>
  <c r="J25" i="21"/>
  <c r="I25" i="21"/>
  <c r="H25" i="21"/>
  <c r="H26" i="21"/>
  <c r="J24" i="21"/>
  <c r="I24" i="21"/>
  <c r="H24" i="21"/>
  <c r="J23" i="21"/>
  <c r="I23" i="21"/>
  <c r="H23" i="21"/>
  <c r="J22" i="21"/>
  <c r="I22" i="21"/>
  <c r="H22" i="21"/>
  <c r="J21" i="21"/>
  <c r="I21" i="21"/>
  <c r="H21" i="21"/>
  <c r="J20" i="21"/>
  <c r="I20" i="21"/>
  <c r="J19" i="21"/>
  <c r="I19" i="21"/>
  <c r="H19" i="21"/>
  <c r="H20" i="21"/>
  <c r="J18" i="21"/>
  <c r="I18" i="21"/>
  <c r="J17" i="21"/>
  <c r="I17" i="21"/>
  <c r="H17" i="21"/>
  <c r="H18" i="21"/>
  <c r="J16" i="21"/>
  <c r="I16" i="21"/>
  <c r="H16" i="21"/>
  <c r="J15" i="21"/>
  <c r="I15" i="21"/>
  <c r="H15" i="21"/>
  <c r="J14" i="21"/>
  <c r="I14" i="21"/>
  <c r="H14" i="21"/>
  <c r="J13" i="21"/>
  <c r="I13" i="21"/>
  <c r="H13" i="21"/>
  <c r="J12" i="21"/>
  <c r="I12" i="21"/>
  <c r="J11" i="21"/>
  <c r="I11" i="21"/>
  <c r="H11" i="21"/>
  <c r="H12" i="21"/>
  <c r="J10" i="21"/>
  <c r="I10" i="21"/>
  <c r="J9" i="21"/>
  <c r="I9" i="21"/>
  <c r="H9" i="21"/>
  <c r="H10" i="21"/>
  <c r="J8" i="21"/>
  <c r="I8" i="21"/>
  <c r="H8" i="21"/>
  <c r="J7" i="21"/>
  <c r="I7" i="21"/>
  <c r="H7" i="21"/>
  <c r="J6" i="21"/>
  <c r="I6" i="21"/>
  <c r="H6" i="21"/>
  <c r="J5" i="21"/>
  <c r="I5" i="21"/>
  <c r="H5" i="21"/>
  <c r="AC9" i="13"/>
  <c r="AE9" i="13"/>
  <c r="AC10" i="13"/>
  <c r="AE10" i="13"/>
  <c r="AC11" i="13"/>
  <c r="AE11" i="13"/>
  <c r="AC12" i="13"/>
  <c r="AE12" i="13"/>
  <c r="AC13" i="13"/>
  <c r="AE13" i="13"/>
  <c r="AC14" i="13"/>
  <c r="AE14" i="13"/>
  <c r="AC15" i="13"/>
  <c r="AC16" i="13"/>
  <c r="AC17" i="13"/>
  <c r="AE17" i="13"/>
  <c r="AC18" i="13"/>
  <c r="AE18" i="13"/>
  <c r="AC19" i="13"/>
  <c r="AC20" i="13"/>
  <c r="AC21" i="13"/>
  <c r="L8" i="5"/>
  <c r="L7" i="5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C18" i="20"/>
  <c r="G18" i="20"/>
  <c r="C19" i="20"/>
  <c r="G19" i="20"/>
  <c r="C20" i="20"/>
  <c r="G20" i="20"/>
  <c r="G11" i="20"/>
  <c r="G12" i="20"/>
  <c r="G13" i="20"/>
  <c r="G14" i="20"/>
  <c r="C10" i="20"/>
  <c r="C11" i="20"/>
  <c r="C12" i="20"/>
  <c r="C13" i="20"/>
  <c r="C14" i="20"/>
  <c r="AC19" i="20"/>
  <c r="AC18" i="20"/>
  <c r="AC17" i="20"/>
  <c r="AC13" i="20"/>
  <c r="AC12" i="20"/>
  <c r="AC11" i="20"/>
  <c r="Q19" i="20"/>
  <c r="AA19" i="20"/>
  <c r="E41" i="20"/>
  <c r="Q18" i="20"/>
  <c r="AA18" i="20"/>
  <c r="E40" i="20"/>
  <c r="Q17" i="20"/>
  <c r="AA17" i="20"/>
  <c r="E39" i="20"/>
  <c r="Q16" i="20"/>
  <c r="Q15" i="20"/>
  <c r="Q14" i="20"/>
  <c r="T19" i="20"/>
  <c r="S19" i="20"/>
  <c r="T18" i="20"/>
  <c r="S18" i="20"/>
  <c r="T17" i="20"/>
  <c r="S17" i="20"/>
  <c r="Q13" i="20"/>
  <c r="AA13" i="20"/>
  <c r="E35" i="20"/>
  <c r="Q12" i="20"/>
  <c r="AA12" i="20"/>
  <c r="E34" i="20"/>
  <c r="Q11" i="20"/>
  <c r="AA11" i="20"/>
  <c r="E33" i="20"/>
  <c r="Q10" i="20"/>
  <c r="B11" i="20"/>
  <c r="Q9" i="20"/>
  <c r="B10" i="20"/>
  <c r="Q8" i="20"/>
  <c r="T13" i="20"/>
  <c r="S13" i="20"/>
  <c r="T12" i="20"/>
  <c r="S12" i="20"/>
  <c r="T11" i="20"/>
  <c r="S11" i="20"/>
  <c r="B20" i="20"/>
  <c r="B18" i="20"/>
  <c r="D19" i="20"/>
  <c r="B19" i="20"/>
  <c r="D20" i="20"/>
  <c r="D18" i="20"/>
  <c r="D13" i="20"/>
  <c r="D12" i="20"/>
  <c r="B14" i="20"/>
  <c r="B13" i="20"/>
  <c r="B12" i="20"/>
  <c r="D14" i="20"/>
  <c r="G30" i="20"/>
  <c r="AC16" i="20"/>
  <c r="AC15" i="20"/>
  <c r="AC14" i="20"/>
  <c r="AC10" i="20"/>
  <c r="AC9" i="20"/>
  <c r="AC8" i="20"/>
  <c r="M56" i="19"/>
  <c r="M37" i="19"/>
  <c r="M7" i="19"/>
  <c r="D24" i="19"/>
  <c r="D23" i="19"/>
  <c r="D21" i="19"/>
  <c r="D20" i="19"/>
  <c r="D18" i="19"/>
  <c r="D14" i="19"/>
  <c r="D13" i="19"/>
  <c r="D11" i="19"/>
  <c r="D10" i="19"/>
  <c r="M7" i="16"/>
  <c r="Q7" i="15"/>
  <c r="K7" i="16"/>
  <c r="J7" i="16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7" i="15"/>
  <c r="D27" i="19"/>
  <c r="D26" i="19"/>
  <c r="D25" i="19"/>
  <c r="D22" i="19"/>
  <c r="D19" i="19"/>
  <c r="D17" i="19"/>
  <c r="D16" i="19"/>
  <c r="D15" i="19"/>
  <c r="D12" i="19"/>
  <c r="D9" i="19"/>
  <c r="D8" i="19"/>
  <c r="L7" i="17"/>
  <c r="K7" i="17"/>
  <c r="O7" i="15"/>
  <c r="N7" i="15"/>
  <c r="D84" i="15"/>
  <c r="D83" i="15"/>
  <c r="D81" i="15"/>
  <c r="D80" i="15"/>
  <c r="D79" i="15"/>
  <c r="D78" i="15"/>
  <c r="D77" i="15"/>
  <c r="D76" i="15"/>
  <c r="D75" i="15"/>
  <c r="D74" i="15"/>
  <c r="D73" i="15"/>
  <c r="L47" i="15"/>
  <c r="D72" i="15"/>
  <c r="D70" i="15"/>
  <c r="D69" i="15"/>
  <c r="D67" i="15"/>
  <c r="D66" i="15"/>
  <c r="D64" i="15"/>
  <c r="D63" i="15"/>
  <c r="D62" i="15"/>
  <c r="D61" i="15"/>
  <c r="D60" i="15"/>
  <c r="D59" i="15"/>
  <c r="D57" i="15"/>
  <c r="D56" i="15"/>
  <c r="D54" i="15"/>
  <c r="D53" i="15"/>
  <c r="D52" i="15"/>
  <c r="D51" i="15"/>
  <c r="D50" i="15"/>
  <c r="D49" i="15"/>
  <c r="D40" i="15"/>
  <c r="D42" i="15"/>
  <c r="D43" i="15"/>
  <c r="D39" i="15"/>
  <c r="D38" i="15"/>
  <c r="L5" i="15"/>
  <c r="D37" i="15"/>
  <c r="D36" i="15"/>
  <c r="D35" i="15"/>
  <c r="D34" i="15"/>
  <c r="D33" i="15"/>
  <c r="D32" i="15"/>
  <c r="D31" i="15"/>
  <c r="D29" i="15"/>
  <c r="D28" i="15"/>
  <c r="D26" i="15"/>
  <c r="D25" i="15"/>
  <c r="D23" i="15"/>
  <c r="D22" i="15"/>
  <c r="D21" i="15"/>
  <c r="D20" i="15"/>
  <c r="D19" i="15"/>
  <c r="D18" i="15"/>
  <c r="D16" i="15"/>
  <c r="D15" i="15"/>
  <c r="D13" i="15"/>
  <c r="D12" i="15"/>
  <c r="D11" i="15"/>
  <c r="D10" i="15"/>
  <c r="D9" i="15"/>
  <c r="C84" i="15"/>
  <c r="C83" i="15"/>
  <c r="C81" i="15"/>
  <c r="C80" i="15"/>
  <c r="C78" i="15"/>
  <c r="C76" i="15"/>
  <c r="C74" i="15"/>
  <c r="C72" i="15"/>
  <c r="C70" i="15"/>
  <c r="C69" i="15"/>
  <c r="C67" i="15"/>
  <c r="C66" i="15"/>
  <c r="C64" i="15"/>
  <c r="C63" i="15"/>
  <c r="C62" i="15"/>
  <c r="C61" i="15"/>
  <c r="C60" i="15"/>
  <c r="C59" i="15"/>
  <c r="C57" i="15"/>
  <c r="C56" i="15"/>
  <c r="C54" i="15"/>
  <c r="C53" i="15"/>
  <c r="C52" i="15"/>
  <c r="C51" i="15"/>
  <c r="C50" i="15"/>
  <c r="C49" i="15"/>
  <c r="C43" i="15"/>
  <c r="C42" i="15"/>
  <c r="C40" i="15"/>
  <c r="C39" i="15"/>
  <c r="C37" i="15"/>
  <c r="C33" i="15"/>
  <c r="C31" i="15"/>
  <c r="C29" i="15"/>
  <c r="C28" i="15"/>
  <c r="C26" i="15"/>
  <c r="C25" i="15"/>
  <c r="C23" i="15"/>
  <c r="C22" i="15"/>
  <c r="C21" i="15"/>
  <c r="C20" i="15"/>
  <c r="C19" i="15"/>
  <c r="C18" i="15"/>
  <c r="C16" i="15"/>
  <c r="C11" i="15"/>
  <c r="F72" i="15"/>
  <c r="F73" i="15"/>
  <c r="F59" i="15"/>
  <c r="G40" i="15"/>
  <c r="F40" i="15"/>
  <c r="F41" i="15" s="1"/>
  <c r="G23" i="15"/>
  <c r="G13" i="15"/>
  <c r="F13" i="15" s="1"/>
  <c r="F14" i="15" s="1"/>
  <c r="F81" i="15"/>
  <c r="F82" i="15"/>
  <c r="F64" i="15"/>
  <c r="F65" i="15" s="1"/>
  <c r="F54" i="15"/>
  <c r="F55" i="15" s="1"/>
  <c r="G39" i="15"/>
  <c r="G22" i="15"/>
  <c r="G12" i="15"/>
  <c r="F80" i="15"/>
  <c r="F63" i="15"/>
  <c r="F53" i="15"/>
  <c r="G33" i="15"/>
  <c r="F33" i="15"/>
  <c r="F34" i="15"/>
  <c r="G21" i="15"/>
  <c r="G10" i="15"/>
  <c r="F74" i="15"/>
  <c r="F75" i="15" s="1"/>
  <c r="F62" i="15"/>
  <c r="F50" i="15"/>
  <c r="G31" i="15"/>
  <c r="G18" i="15"/>
  <c r="G9" i="15"/>
  <c r="F57" i="15"/>
  <c r="F58" i="15"/>
  <c r="F52" i="15"/>
  <c r="F84" i="15"/>
  <c r="F78" i="15"/>
  <c r="F79" i="15" s="1"/>
  <c r="F56" i="15"/>
  <c r="F51" i="15"/>
  <c r="F29" i="15"/>
  <c r="F30" i="15"/>
  <c r="F83" i="15"/>
  <c r="F66" i="15"/>
  <c r="F67" i="15"/>
  <c r="F68" i="15" s="1"/>
  <c r="F37" i="15"/>
  <c r="F38" i="15" s="1"/>
  <c r="F15" i="15"/>
  <c r="F60" i="15"/>
  <c r="F61" i="15" s="1"/>
  <c r="F42" i="15"/>
  <c r="F76" i="15"/>
  <c r="F77" i="15" s="1"/>
  <c r="F70" i="15"/>
  <c r="F71" i="15" s="1"/>
  <c r="F49" i="15"/>
  <c r="F69" i="15"/>
  <c r="F26" i="15"/>
  <c r="F27" i="15" s="1"/>
  <c r="F16" i="15"/>
  <c r="F17" i="15" s="1"/>
  <c r="F43" i="15"/>
  <c r="F44" i="15"/>
  <c r="C15" i="19"/>
  <c r="C89" i="19"/>
  <c r="C88" i="19"/>
  <c r="C87" i="19"/>
  <c r="C17" i="19"/>
  <c r="C12" i="19"/>
  <c r="C11" i="19"/>
  <c r="C9" i="19"/>
  <c r="C8" i="19"/>
  <c r="C8" i="17"/>
  <c r="C35" i="15"/>
  <c r="C15" i="15"/>
  <c r="C13" i="15"/>
  <c r="C12" i="15"/>
  <c r="C10" i="15"/>
  <c r="C9" i="15"/>
  <c r="C15" i="5"/>
  <c r="C8" i="5"/>
  <c r="S50" i="19"/>
  <c r="B90" i="19"/>
  <c r="S49" i="19"/>
  <c r="B89" i="19"/>
  <c r="S48" i="19"/>
  <c r="B88" i="19"/>
  <c r="S47" i="19"/>
  <c r="B87" i="19"/>
  <c r="E87" i="19"/>
  <c r="E88" i="19"/>
  <c r="E89" i="19"/>
  <c r="E90" i="19"/>
  <c r="S20" i="20"/>
  <c r="T20" i="20"/>
  <c r="T9" i="20"/>
  <c r="T10" i="20"/>
  <c r="T14" i="20"/>
  <c r="T15" i="20"/>
  <c r="T16" i="20"/>
  <c r="T8" i="20"/>
  <c r="S10" i="20"/>
  <c r="S9" i="20"/>
  <c r="S8" i="20"/>
  <c r="S16" i="20"/>
  <c r="S15" i="20"/>
  <c r="S14" i="20"/>
  <c r="B30" i="20"/>
  <c r="C30" i="20"/>
  <c r="K86" i="19"/>
  <c r="J86" i="19"/>
  <c r="K72" i="19"/>
  <c r="J72" i="19"/>
  <c r="K56" i="19"/>
  <c r="J56" i="19"/>
  <c r="K37" i="19"/>
  <c r="J37" i="19"/>
  <c r="K7" i="19"/>
  <c r="J7" i="19"/>
  <c r="D88" i="19"/>
  <c r="D89" i="19"/>
  <c r="D90" i="19"/>
  <c r="C90" i="19"/>
  <c r="V50" i="19"/>
  <c r="U50" i="19"/>
  <c r="D87" i="19"/>
  <c r="L86" i="19"/>
  <c r="U48" i="19"/>
  <c r="V48" i="19"/>
  <c r="U49" i="19"/>
  <c r="V49" i="19"/>
  <c r="V47" i="19"/>
  <c r="U47" i="19"/>
  <c r="V36" i="19"/>
  <c r="U36" i="19"/>
  <c r="V35" i="19"/>
  <c r="U35" i="19"/>
  <c r="V34" i="19"/>
  <c r="U34" i="19"/>
  <c r="V33" i="19"/>
  <c r="U33" i="19"/>
  <c r="U38" i="19"/>
  <c r="V38" i="19"/>
  <c r="U39" i="19"/>
  <c r="V39" i="19"/>
  <c r="U40" i="19"/>
  <c r="V40" i="19"/>
  <c r="V37" i="19"/>
  <c r="U37" i="19"/>
  <c r="D78" i="19"/>
  <c r="D77" i="19"/>
  <c r="D76" i="19"/>
  <c r="V46" i="19"/>
  <c r="U46" i="19"/>
  <c r="V45" i="19"/>
  <c r="U45" i="19"/>
  <c r="V44" i="19"/>
  <c r="U44" i="19"/>
  <c r="D75" i="19"/>
  <c r="D74" i="19"/>
  <c r="D73" i="19"/>
  <c r="L72" i="19"/>
  <c r="V43" i="19"/>
  <c r="U43" i="19"/>
  <c r="V42" i="19"/>
  <c r="U42" i="19"/>
  <c r="V41" i="19"/>
  <c r="U41" i="19"/>
  <c r="D64" i="19"/>
  <c r="D63" i="19"/>
  <c r="D62" i="19"/>
  <c r="D61" i="19"/>
  <c r="D60" i="19"/>
  <c r="D59" i="19"/>
  <c r="D58" i="19"/>
  <c r="D57" i="19"/>
  <c r="L56" i="19"/>
  <c r="V32" i="19"/>
  <c r="U32" i="19"/>
  <c r="V31" i="19"/>
  <c r="U31" i="19"/>
  <c r="V30" i="19"/>
  <c r="U30" i="19"/>
  <c r="D43" i="19"/>
  <c r="D42" i="19"/>
  <c r="D41" i="19"/>
  <c r="D40" i="19"/>
  <c r="D39" i="19"/>
  <c r="D38" i="19"/>
  <c r="L37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L7" i="19"/>
  <c r="D29" i="17"/>
  <c r="D28" i="17"/>
  <c r="D27" i="17"/>
  <c r="D26" i="17"/>
  <c r="D25" i="17"/>
  <c r="D24" i="17"/>
  <c r="D23" i="17"/>
  <c r="D22" i="17"/>
  <c r="D21" i="17"/>
  <c r="D20" i="17"/>
  <c r="D19" i="17"/>
  <c r="D18" i="17"/>
  <c r="Y24" i="17"/>
  <c r="X24" i="17"/>
  <c r="Y23" i="17"/>
  <c r="X23" i="17"/>
  <c r="Y22" i="17"/>
  <c r="X22" i="17"/>
  <c r="Y21" i="17"/>
  <c r="X21" i="17"/>
  <c r="Y20" i="17"/>
  <c r="X20" i="17"/>
  <c r="Y19" i="17"/>
  <c r="X19" i="17"/>
  <c r="Y18" i="17"/>
  <c r="X18" i="17"/>
  <c r="Y17" i="17"/>
  <c r="X17" i="17"/>
  <c r="Y16" i="17"/>
  <c r="X16" i="17"/>
  <c r="Y15" i="17"/>
  <c r="X15" i="17"/>
  <c r="D16" i="17"/>
  <c r="D17" i="17"/>
  <c r="D15" i="17"/>
  <c r="I5" i="17"/>
  <c r="D12" i="17"/>
  <c r="D11" i="17"/>
  <c r="D10" i="17"/>
  <c r="P7" i="15"/>
  <c r="Y14" i="17"/>
  <c r="X14" i="17"/>
  <c r="Y13" i="17"/>
  <c r="X13" i="17"/>
  <c r="Y12" i="17"/>
  <c r="X12" i="17"/>
  <c r="D14" i="17"/>
  <c r="Y11" i="17"/>
  <c r="X11" i="17"/>
  <c r="D13" i="17"/>
  <c r="Y10" i="17"/>
  <c r="X10" i="17"/>
  <c r="Y9" i="17"/>
  <c r="X9" i="17"/>
  <c r="D9" i="17"/>
  <c r="Y8" i="17"/>
  <c r="X8" i="17"/>
  <c r="D8" i="17"/>
  <c r="Y7" i="17"/>
  <c r="X7" i="17"/>
  <c r="M7" i="17"/>
  <c r="G8" i="17"/>
  <c r="F8" i="17" s="1"/>
  <c r="D19" i="16"/>
  <c r="D13" i="16"/>
  <c r="X18" i="16"/>
  <c r="W18" i="16"/>
  <c r="X12" i="16"/>
  <c r="W12" i="16"/>
  <c r="D9" i="16"/>
  <c r="D10" i="16"/>
  <c r="D11" i="16"/>
  <c r="D12" i="16"/>
  <c r="D14" i="16"/>
  <c r="D15" i="16"/>
  <c r="D16" i="16"/>
  <c r="D17" i="16"/>
  <c r="D18" i="16"/>
  <c r="X17" i="16"/>
  <c r="W17" i="16"/>
  <c r="X16" i="16"/>
  <c r="W16" i="16"/>
  <c r="X15" i="16"/>
  <c r="W15" i="16"/>
  <c r="X14" i="16"/>
  <c r="W14" i="16"/>
  <c r="X13" i="16"/>
  <c r="W13" i="16"/>
  <c r="X11" i="16"/>
  <c r="W11" i="16"/>
  <c r="X10" i="16"/>
  <c r="W10" i="16"/>
  <c r="X9" i="16"/>
  <c r="W9" i="16"/>
  <c r="X8" i="16"/>
  <c r="W8" i="16"/>
  <c r="D8" i="16"/>
  <c r="X7" i="16"/>
  <c r="W7" i="16"/>
  <c r="L7" i="16"/>
  <c r="F19" i="15"/>
  <c r="F20" i="15"/>
  <c r="D8" i="15"/>
  <c r="C8" i="15"/>
  <c r="E15" i="5"/>
  <c r="E8" i="5"/>
  <c r="O8" i="5"/>
  <c r="O7" i="5"/>
  <c r="N8" i="5"/>
  <c r="N7" i="5"/>
  <c r="B15" i="5"/>
  <c r="B8" i="5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6" i="13"/>
  <c r="D21" i="14"/>
  <c r="D19" i="14"/>
  <c r="H72" i="19"/>
  <c r="E16" i="14"/>
  <c r="R7" i="15"/>
  <c r="E15" i="14"/>
  <c r="E14" i="14"/>
  <c r="D13" i="14"/>
  <c r="E12" i="14"/>
  <c r="AC22" i="13"/>
  <c r="D14" i="5"/>
  <c r="D13" i="5"/>
  <c r="D19" i="5"/>
  <c r="D12" i="5"/>
  <c r="U18" i="16"/>
  <c r="U12" i="16"/>
  <c r="F59" i="19"/>
  <c r="F24" i="19"/>
  <c r="G87" i="19"/>
  <c r="F87" i="19" s="1"/>
  <c r="F11" i="19"/>
  <c r="F19" i="17"/>
  <c r="F39" i="19"/>
  <c r="F10" i="19"/>
  <c r="F41" i="19"/>
  <c r="F78" i="19"/>
  <c r="G58" i="19"/>
  <c r="F58" i="19" s="1"/>
  <c r="F74" i="19"/>
  <c r="F22" i="19"/>
  <c r="F19" i="19"/>
  <c r="F18" i="19"/>
  <c r="F18" i="17"/>
  <c r="F12" i="16"/>
  <c r="F8" i="15"/>
  <c r="F28" i="15"/>
  <c r="F14" i="19"/>
  <c r="F9" i="15"/>
  <c r="F26" i="19"/>
  <c r="F23" i="19"/>
  <c r="F21" i="19"/>
  <c r="F9" i="17"/>
  <c r="F77" i="19"/>
  <c r="F88" i="19"/>
  <c r="F89" i="19"/>
  <c r="F25" i="15"/>
  <c r="F26" i="17"/>
  <c r="F27" i="17" s="1"/>
  <c r="F40" i="19"/>
  <c r="F11" i="17"/>
  <c r="F18" i="16"/>
  <c r="F10" i="16"/>
  <c r="F8" i="5"/>
  <c r="F90" i="19"/>
  <c r="F15" i="16"/>
  <c r="G15" i="19"/>
  <c r="F15" i="19"/>
  <c r="F25" i="19"/>
  <c r="F22" i="17"/>
  <c r="G57" i="19"/>
  <c r="F57" i="19"/>
  <c r="F12" i="17"/>
  <c r="G38" i="19"/>
  <c r="F38" i="19"/>
  <c r="F16" i="19"/>
  <c r="F14" i="17"/>
  <c r="F15" i="17" s="1"/>
  <c r="F17" i="19"/>
  <c r="F10" i="17"/>
  <c r="F31" i="15"/>
  <c r="F32" i="15" s="1"/>
  <c r="G8" i="16"/>
  <c r="F8" i="16"/>
  <c r="G62" i="19"/>
  <c r="F62" i="19"/>
  <c r="F11" i="15"/>
  <c r="F17" i="16"/>
  <c r="G9" i="16"/>
  <c r="F9" i="16"/>
  <c r="F16" i="16"/>
  <c r="F20" i="19"/>
  <c r="G17" i="20"/>
  <c r="G64" i="19"/>
  <c r="F64" i="19"/>
  <c r="F15" i="5"/>
  <c r="F8" i="19"/>
  <c r="F10" i="15"/>
  <c r="F12" i="19"/>
  <c r="F11" i="16"/>
  <c r="F18" i="15"/>
  <c r="F23" i="17"/>
  <c r="F75" i="19"/>
  <c r="G9" i="19"/>
  <c r="F9" i="19"/>
  <c r="F25" i="17"/>
  <c r="F16" i="17"/>
  <c r="F17" i="17" s="1"/>
  <c r="F14" i="16"/>
  <c r="F13" i="19"/>
  <c r="F21" i="15"/>
  <c r="G13" i="17"/>
  <c r="F13" i="17" s="1"/>
  <c r="F42" i="19"/>
  <c r="G10" i="20"/>
  <c r="F27" i="19"/>
  <c r="F24" i="17"/>
  <c r="F13" i="16"/>
  <c r="F23" i="15"/>
  <c r="F24" i="15"/>
  <c r="F63" i="19"/>
  <c r="F21" i="17"/>
  <c r="G9" i="20"/>
  <c r="F19" i="16"/>
  <c r="G73" i="19"/>
  <c r="F73" i="19" s="1"/>
  <c r="F28" i="17"/>
  <c r="F29" i="17" s="1"/>
  <c r="F12" i="15"/>
  <c r="F43" i="19"/>
  <c r="G60" i="19"/>
  <c r="F60" i="19"/>
  <c r="F39" i="15"/>
  <c r="F76" i="19"/>
  <c r="F20" i="17"/>
  <c r="G15" i="20"/>
  <c r="F22" i="15"/>
  <c r="G16" i="20"/>
  <c r="G61" i="19"/>
  <c r="F61" i="19"/>
  <c r="C14" i="19"/>
  <c r="C9" i="16"/>
  <c r="C16" i="19"/>
  <c r="AA14" i="20"/>
  <c r="B17" i="20"/>
  <c r="B16" i="20"/>
  <c r="AA9" i="20"/>
  <c r="D10" i="20"/>
  <c r="AA10" i="20"/>
  <c r="D11" i="20"/>
  <c r="AA8" i="20"/>
  <c r="D9" i="20"/>
  <c r="AA15" i="20"/>
  <c r="AA16" i="20"/>
  <c r="E38" i="20"/>
  <c r="C76" i="19"/>
  <c r="C41" i="19"/>
  <c r="C23" i="17"/>
  <c r="C28" i="17"/>
  <c r="C17" i="16"/>
  <c r="C22" i="17"/>
  <c r="C20" i="17"/>
  <c r="C21" i="17"/>
  <c r="C19" i="16"/>
  <c r="C15" i="16"/>
  <c r="C18" i="16"/>
  <c r="C64" i="19"/>
  <c r="C19" i="17"/>
  <c r="C24" i="17"/>
  <c r="C63" i="19"/>
  <c r="C26" i="17"/>
  <c r="C18" i="17"/>
  <c r="C16" i="16"/>
  <c r="C78" i="19"/>
  <c r="C62" i="19"/>
  <c r="C43" i="19"/>
  <c r="C25" i="17"/>
  <c r="C14" i="16"/>
  <c r="C77" i="19"/>
  <c r="C61" i="19"/>
  <c r="C42" i="19"/>
  <c r="C60" i="19"/>
  <c r="C13" i="17"/>
  <c r="C12" i="16"/>
  <c r="C73" i="19"/>
  <c r="C57" i="19"/>
  <c r="C38" i="19"/>
  <c r="C10" i="17"/>
  <c r="C75" i="19"/>
  <c r="C59" i="19"/>
  <c r="C40" i="19"/>
  <c r="C12" i="17"/>
  <c r="C11" i="16"/>
  <c r="C8" i="16"/>
  <c r="C74" i="19"/>
  <c r="C58" i="19"/>
  <c r="C39" i="19"/>
  <c r="C11" i="17"/>
  <c r="C10" i="16"/>
  <c r="C13" i="16"/>
  <c r="C16" i="17"/>
  <c r="C14" i="17"/>
  <c r="C22" i="19"/>
  <c r="C9" i="17"/>
  <c r="C13" i="19"/>
  <c r="B9" i="20"/>
  <c r="N7" i="16"/>
  <c r="C26" i="19"/>
  <c r="B15" i="20"/>
  <c r="O7" i="17"/>
  <c r="E81" i="15"/>
  <c r="E67" i="15"/>
  <c r="E57" i="15"/>
  <c r="I47" i="15"/>
  <c r="E80" i="15"/>
  <c r="E78" i="15"/>
  <c r="E64" i="15"/>
  <c r="E54" i="15"/>
  <c r="E63" i="15"/>
  <c r="E62" i="15"/>
  <c r="E66" i="15"/>
  <c r="E56" i="15"/>
  <c r="E76" i="15"/>
  <c r="E53" i="15"/>
  <c r="E74" i="15"/>
  <c r="E52" i="15"/>
  <c r="E72" i="15"/>
  <c r="E61" i="15"/>
  <c r="E51" i="15"/>
  <c r="E84" i="15"/>
  <c r="E70" i="15"/>
  <c r="E60" i="15"/>
  <c r="E50" i="15"/>
  <c r="E69" i="15"/>
  <c r="E59" i="15"/>
  <c r="E49" i="15"/>
  <c r="E83" i="15"/>
  <c r="H37" i="19"/>
  <c r="H56" i="19"/>
  <c r="M72" i="19"/>
  <c r="C23" i="19"/>
  <c r="C10" i="19"/>
  <c r="C18" i="19"/>
  <c r="C24" i="19"/>
  <c r="D16" i="5"/>
  <c r="E82" i="15"/>
  <c r="E58" i="15"/>
  <c r="E55" i="15"/>
  <c r="M47" i="15"/>
  <c r="E85" i="15"/>
  <c r="E38" i="15"/>
  <c r="E34" i="15"/>
  <c r="E24" i="15"/>
  <c r="E27" i="15"/>
  <c r="N7" i="17"/>
  <c r="C25" i="19"/>
  <c r="H7" i="19"/>
  <c r="H86" i="19"/>
  <c r="M86" i="19"/>
  <c r="C20" i="19"/>
  <c r="D17" i="5"/>
  <c r="E68" i="15"/>
  <c r="E65" i="15"/>
  <c r="E75" i="15"/>
  <c r="E79" i="15"/>
  <c r="E71" i="15"/>
  <c r="J47" i="15"/>
  <c r="D18" i="5"/>
  <c r="E18" i="19"/>
  <c r="C19" i="19"/>
  <c r="C27" i="19"/>
  <c r="E35" i="15"/>
  <c r="E26" i="15"/>
  <c r="E40" i="15"/>
  <c r="E16" i="15"/>
  <c r="E19" i="15"/>
  <c r="E20" i="15"/>
  <c r="E37" i="15"/>
  <c r="E29" i="15"/>
  <c r="E42" i="15"/>
  <c r="E21" i="15"/>
  <c r="E33" i="15"/>
  <c r="E22" i="15"/>
  <c r="E43" i="15"/>
  <c r="E23" i="15"/>
  <c r="E15" i="15"/>
  <c r="E44" i="15"/>
  <c r="E17" i="15"/>
  <c r="E14" i="15"/>
  <c r="M5" i="15"/>
  <c r="E41" i="15"/>
  <c r="C21" i="19"/>
  <c r="D8" i="5"/>
  <c r="E10" i="15"/>
  <c r="W30" i="15"/>
  <c r="B40" i="15"/>
  <c r="W26" i="15"/>
  <c r="B33" i="15"/>
  <c r="W22" i="15"/>
  <c r="B26" i="15"/>
  <c r="W18" i="15"/>
  <c r="B21" i="15"/>
  <c r="W14" i="15"/>
  <c r="B16" i="15"/>
  <c r="W10" i="15"/>
  <c r="B11" i="15"/>
  <c r="W24" i="15"/>
  <c r="B29" i="15"/>
  <c r="W12" i="15"/>
  <c r="B13" i="15"/>
  <c r="W29" i="15"/>
  <c r="B39" i="15"/>
  <c r="W25" i="15"/>
  <c r="B31" i="15"/>
  <c r="W21" i="15"/>
  <c r="B25" i="15"/>
  <c r="W17" i="15"/>
  <c r="B20" i="15"/>
  <c r="W13" i="15"/>
  <c r="B15" i="15"/>
  <c r="W9" i="15"/>
  <c r="B10" i="15"/>
  <c r="W28" i="15"/>
  <c r="B37" i="15"/>
  <c r="W16" i="15"/>
  <c r="B19" i="15"/>
  <c r="H19" i="15"/>
  <c r="W31" i="15"/>
  <c r="B42" i="15"/>
  <c r="W27" i="15"/>
  <c r="B35" i="15"/>
  <c r="W23" i="15"/>
  <c r="B28" i="15"/>
  <c r="W19" i="15"/>
  <c r="B22" i="15"/>
  <c r="W15" i="15"/>
  <c r="B18" i="15"/>
  <c r="W11" i="15"/>
  <c r="B12" i="15"/>
  <c r="W7" i="15"/>
  <c r="B8" i="15"/>
  <c r="W32" i="15"/>
  <c r="B43" i="15"/>
  <c r="W20" i="15"/>
  <c r="B23" i="15"/>
  <c r="W8" i="15"/>
  <c r="B9" i="15"/>
  <c r="E9" i="20"/>
  <c r="V14" i="17"/>
  <c r="B16" i="17"/>
  <c r="V10" i="17"/>
  <c r="B11" i="17"/>
  <c r="V8" i="17"/>
  <c r="B9" i="17"/>
  <c r="V13" i="17"/>
  <c r="B14" i="17"/>
  <c r="V9" i="17"/>
  <c r="B10" i="17"/>
  <c r="V7" i="17"/>
  <c r="B8" i="17"/>
  <c r="V12" i="17"/>
  <c r="B13" i="17"/>
  <c r="V11" i="17"/>
  <c r="B12" i="17"/>
  <c r="E8" i="17"/>
  <c r="B13" i="16"/>
  <c r="U9" i="16"/>
  <c r="B10" i="16"/>
  <c r="E8" i="16"/>
  <c r="E9" i="16"/>
  <c r="E10" i="16"/>
  <c r="E11" i="16"/>
  <c r="E12" i="16"/>
  <c r="E13" i="16"/>
  <c r="U11" i="16"/>
  <c r="B12" i="16"/>
  <c r="U8" i="16"/>
  <c r="B9" i="16"/>
  <c r="U10" i="16"/>
  <c r="B11" i="16"/>
  <c r="U7" i="16"/>
  <c r="B8" i="16"/>
  <c r="S14" i="19"/>
  <c r="B15" i="19"/>
  <c r="S10" i="19"/>
  <c r="B11" i="19"/>
  <c r="S13" i="19"/>
  <c r="B14" i="19"/>
  <c r="S9" i="19"/>
  <c r="B10" i="19"/>
  <c r="S7" i="19"/>
  <c r="B8" i="19"/>
  <c r="S16" i="19"/>
  <c r="B17" i="19"/>
  <c r="S12" i="19"/>
  <c r="B13" i="19"/>
  <c r="S8" i="19"/>
  <c r="B9" i="19"/>
  <c r="S15" i="19"/>
  <c r="B16" i="19"/>
  <c r="S11" i="19"/>
  <c r="B12" i="19"/>
  <c r="E8" i="19"/>
  <c r="S36" i="19"/>
  <c r="B60" i="19"/>
  <c r="S33" i="19"/>
  <c r="B57" i="19"/>
  <c r="E57" i="19"/>
  <c r="E60" i="19"/>
  <c r="S35" i="19"/>
  <c r="B59" i="19"/>
  <c r="S34" i="19"/>
  <c r="B58" i="19"/>
  <c r="S32" i="19"/>
  <c r="B43" i="19"/>
  <c r="S31" i="19"/>
  <c r="B42" i="19"/>
  <c r="S30" i="19"/>
  <c r="B41" i="19"/>
  <c r="E41" i="19"/>
  <c r="E76" i="19"/>
  <c r="E77" i="19"/>
  <c r="E78" i="19"/>
  <c r="S44" i="19"/>
  <c r="B76" i="19"/>
  <c r="S46" i="19"/>
  <c r="B78" i="19"/>
  <c r="S45" i="19"/>
  <c r="B77" i="19"/>
  <c r="D9" i="5"/>
  <c r="E11" i="15"/>
  <c r="E25" i="15"/>
  <c r="D10" i="5"/>
  <c r="D21" i="5"/>
  <c r="E8" i="15"/>
  <c r="E12" i="15"/>
  <c r="E31" i="15"/>
  <c r="E39" i="15"/>
  <c r="W58" i="15"/>
  <c r="B84" i="15"/>
  <c r="W54" i="15"/>
  <c r="B78" i="15"/>
  <c r="W50" i="15"/>
  <c r="B70" i="15"/>
  <c r="W46" i="15"/>
  <c r="B64" i="15"/>
  <c r="W42" i="15"/>
  <c r="B60" i="15"/>
  <c r="W38" i="15"/>
  <c r="B54" i="15"/>
  <c r="W34" i="15"/>
  <c r="B50" i="15"/>
  <c r="W52" i="15"/>
  <c r="B74" i="15"/>
  <c r="W40" i="15"/>
  <c r="B57" i="15"/>
  <c r="W57" i="15"/>
  <c r="B83" i="15"/>
  <c r="W53" i="15"/>
  <c r="B76" i="15"/>
  <c r="W49" i="15"/>
  <c r="B69" i="15"/>
  <c r="W45" i="15"/>
  <c r="B63" i="15"/>
  <c r="W41" i="15"/>
  <c r="B59" i="15"/>
  <c r="W37" i="15"/>
  <c r="B53" i="15"/>
  <c r="W33" i="15"/>
  <c r="B49" i="15"/>
  <c r="W48" i="15"/>
  <c r="B67" i="15"/>
  <c r="W36" i="15"/>
  <c r="B52" i="15"/>
  <c r="W55" i="15"/>
  <c r="B80" i="15"/>
  <c r="W51" i="15"/>
  <c r="B72" i="15"/>
  <c r="W47" i="15"/>
  <c r="B66" i="15"/>
  <c r="W43" i="15"/>
  <c r="B61" i="15"/>
  <c r="W39" i="15"/>
  <c r="B56" i="15"/>
  <c r="W35" i="15"/>
  <c r="B51" i="15"/>
  <c r="W56" i="15"/>
  <c r="B81" i="15"/>
  <c r="W44" i="15"/>
  <c r="B62" i="15"/>
  <c r="E15" i="20"/>
  <c r="V22" i="17"/>
  <c r="B25" i="17"/>
  <c r="V18" i="17"/>
  <c r="B21" i="17"/>
  <c r="V21" i="17"/>
  <c r="B24" i="17"/>
  <c r="V17" i="17"/>
  <c r="B20" i="17"/>
  <c r="V24" i="17"/>
  <c r="B28" i="17"/>
  <c r="V20" i="17"/>
  <c r="B23" i="17"/>
  <c r="V16" i="17"/>
  <c r="B19" i="17"/>
  <c r="V23" i="17"/>
  <c r="B26" i="17"/>
  <c r="V19" i="17"/>
  <c r="B22" i="17"/>
  <c r="V15" i="17"/>
  <c r="B18" i="17"/>
  <c r="E18" i="17"/>
  <c r="E14" i="16"/>
  <c r="E15" i="16"/>
  <c r="E16" i="16"/>
  <c r="E17" i="16"/>
  <c r="E18" i="16"/>
  <c r="E19" i="16"/>
  <c r="U13" i="16"/>
  <c r="B14" i="16"/>
  <c r="U16" i="16"/>
  <c r="B17" i="16"/>
  <c r="U15" i="16"/>
  <c r="B16" i="16"/>
  <c r="B19" i="16"/>
  <c r="U17" i="16"/>
  <c r="B18" i="16"/>
  <c r="U14" i="16"/>
  <c r="B15" i="16"/>
  <c r="S24" i="19"/>
  <c r="B25" i="19"/>
  <c r="S20" i="19"/>
  <c r="B21" i="19"/>
  <c r="S23" i="19"/>
  <c r="B24" i="19"/>
  <c r="S19" i="19"/>
  <c r="B20" i="19"/>
  <c r="S17" i="19"/>
  <c r="B18" i="19"/>
  <c r="S26" i="19"/>
  <c r="B27" i="19"/>
  <c r="S22" i="19"/>
  <c r="B23" i="19"/>
  <c r="S18" i="19"/>
  <c r="B19" i="19"/>
  <c r="S25" i="19"/>
  <c r="B26" i="19"/>
  <c r="S21" i="19"/>
  <c r="B22" i="19"/>
  <c r="S39" i="19"/>
  <c r="B63" i="19"/>
  <c r="S37" i="19"/>
  <c r="B61" i="19"/>
  <c r="E61" i="19"/>
  <c r="S38" i="19"/>
  <c r="B62" i="19"/>
  <c r="S40" i="19"/>
  <c r="B64" i="19"/>
  <c r="S28" i="19"/>
  <c r="B39" i="19"/>
  <c r="S27" i="19"/>
  <c r="B38" i="19"/>
  <c r="S29" i="19"/>
  <c r="B40" i="19"/>
  <c r="E38" i="19"/>
  <c r="S41" i="19"/>
  <c r="B73" i="19"/>
  <c r="S43" i="19"/>
  <c r="B75" i="19"/>
  <c r="E73" i="19"/>
  <c r="E74" i="19"/>
  <c r="E75" i="19"/>
  <c r="S42" i="19"/>
  <c r="B74" i="19"/>
  <c r="D11" i="5"/>
  <c r="D15" i="5"/>
  <c r="D20" i="5"/>
  <c r="E9" i="15"/>
  <c r="E13" i="15"/>
  <c r="E18" i="15"/>
  <c r="E28" i="15"/>
  <c r="E30" i="15"/>
  <c r="J5" i="15"/>
  <c r="E19" i="19"/>
  <c r="E20" i="19"/>
  <c r="E21" i="19"/>
  <c r="E22" i="19"/>
  <c r="E23" i="19"/>
  <c r="E24" i="19"/>
  <c r="E25" i="19"/>
  <c r="E26" i="19"/>
  <c r="E27" i="19"/>
  <c r="E9" i="19"/>
  <c r="E10" i="19"/>
  <c r="E11" i="19"/>
  <c r="E12" i="19"/>
  <c r="E13" i="19"/>
  <c r="E14" i="19"/>
  <c r="E15" i="19"/>
  <c r="E16" i="19"/>
  <c r="E17" i="19"/>
  <c r="E32" i="20"/>
  <c r="E31" i="20"/>
  <c r="D15" i="20"/>
  <c r="E36" i="20"/>
  <c r="D16" i="20"/>
  <c r="E37" i="20"/>
  <c r="E30" i="20"/>
  <c r="D17" i="20"/>
  <c r="E10" i="20"/>
  <c r="E11" i="20"/>
  <c r="E12" i="20"/>
  <c r="E13" i="20"/>
  <c r="E14" i="20"/>
  <c r="C15" i="20"/>
  <c r="C17" i="20"/>
  <c r="C16" i="20"/>
  <c r="C9" i="20"/>
  <c r="E16" i="20"/>
  <c r="E16" i="17"/>
  <c r="E14" i="17"/>
  <c r="E13" i="17"/>
  <c r="E12" i="17"/>
  <c r="E9" i="17"/>
  <c r="E10" i="17"/>
  <c r="E11" i="17"/>
  <c r="E40" i="19"/>
  <c r="E39" i="19"/>
  <c r="E26" i="17"/>
  <c r="E28" i="17"/>
  <c r="E22" i="17"/>
  <c r="E19" i="17"/>
  <c r="E20" i="17"/>
  <c r="E21" i="17"/>
  <c r="E23" i="17"/>
  <c r="E25" i="17"/>
  <c r="E24" i="17"/>
  <c r="E42" i="19"/>
  <c r="E43" i="19"/>
  <c r="E62" i="19"/>
  <c r="E63" i="19"/>
  <c r="E64" i="19"/>
  <c r="I5" i="15"/>
  <c r="E58" i="19"/>
  <c r="E59" i="19"/>
  <c r="K9" i="16"/>
  <c r="H26" i="17"/>
  <c r="K38" i="19"/>
  <c r="H13" i="16"/>
  <c r="J77" i="19"/>
  <c r="J74" i="19"/>
  <c r="K75" i="19"/>
  <c r="J41" i="19"/>
  <c r="L76" i="19"/>
  <c r="K76" i="19"/>
  <c r="L74" i="19"/>
  <c r="J76" i="19"/>
  <c r="L39" i="15"/>
  <c r="M39" i="15"/>
  <c r="P66" i="15"/>
  <c r="L35" i="15"/>
  <c r="K74" i="15"/>
  <c r="M23" i="15"/>
  <c r="L74" i="15"/>
  <c r="N39" i="15"/>
  <c r="L51" i="15"/>
  <c r="K64" i="15"/>
  <c r="L23" i="15"/>
  <c r="O18" i="15"/>
  <c r="L33" i="15"/>
  <c r="M40" i="15"/>
  <c r="K33" i="15"/>
  <c r="P60" i="15"/>
  <c r="O60" i="15"/>
  <c r="N18" i="15"/>
  <c r="K41" i="19"/>
  <c r="K78" i="19"/>
  <c r="L73" i="19"/>
  <c r="J78" i="19"/>
  <c r="L77" i="19"/>
  <c r="M33" i="15"/>
  <c r="K23" i="15"/>
  <c r="K60" i="15"/>
  <c r="K74" i="19"/>
  <c r="L41" i="19"/>
  <c r="L42" i="19"/>
  <c r="L43" i="19"/>
  <c r="L78" i="19"/>
  <c r="K73" i="19"/>
  <c r="J75" i="19"/>
  <c r="J38" i="19"/>
  <c r="N28" i="17"/>
  <c r="N72" i="15"/>
  <c r="J73" i="19"/>
  <c r="K77" i="19"/>
  <c r="L75" i="19"/>
  <c r="L38" i="19"/>
  <c r="L39" i="19"/>
  <c r="L40" i="19"/>
  <c r="Q63" i="15"/>
  <c r="P11" i="15"/>
  <c r="K40" i="15"/>
  <c r="M35" i="15"/>
  <c r="H26" i="15"/>
  <c r="L13" i="15"/>
  <c r="M61" i="15"/>
  <c r="L9" i="15"/>
  <c r="M31" i="15"/>
  <c r="Q22" i="15"/>
  <c r="M63" i="15"/>
  <c r="P42" i="15"/>
  <c r="H39" i="15"/>
  <c r="Q16" i="15"/>
  <c r="K31" i="15"/>
  <c r="K51" i="15"/>
  <c r="M42" i="15"/>
  <c r="P26" i="15"/>
  <c r="K72" i="15"/>
  <c r="L11" i="15"/>
  <c r="M66" i="15"/>
  <c r="K39" i="15"/>
  <c r="K54" i="15"/>
  <c r="M11" i="15"/>
  <c r="L60" i="15"/>
  <c r="K83" i="15"/>
  <c r="P61" i="15"/>
  <c r="M9" i="15"/>
  <c r="P31" i="15"/>
  <c r="K67" i="15"/>
  <c r="N22" i="15"/>
  <c r="L63" i="15"/>
  <c r="K42" i="15"/>
  <c r="O39" i="15"/>
  <c r="M56" i="15"/>
  <c r="P59" i="15"/>
  <c r="M72" i="15"/>
  <c r="P67" i="15"/>
  <c r="P22" i="15"/>
  <c r="K66" i="15"/>
  <c r="N33" i="15"/>
  <c r="L70" i="15"/>
  <c r="P43" i="15"/>
  <c r="K35" i="15"/>
  <c r="L26" i="15"/>
  <c r="H72" i="15"/>
  <c r="M22" i="15"/>
  <c r="K81" i="15"/>
  <c r="P21" i="15"/>
  <c r="P57" i="15"/>
  <c r="M59" i="15"/>
  <c r="H9" i="15"/>
  <c r="N31" i="15"/>
  <c r="Q72" i="15"/>
  <c r="L67" i="15"/>
  <c r="O22" i="15"/>
  <c r="O63" i="15"/>
  <c r="L42" i="15"/>
  <c r="P39" i="15"/>
  <c r="O9" i="15"/>
  <c r="K63" i="15"/>
  <c r="P23" i="15"/>
  <c r="O12" i="15"/>
  <c r="N59" i="15"/>
  <c r="P35" i="15"/>
  <c r="H51" i="15"/>
  <c r="L22" i="15"/>
  <c r="M60" i="15"/>
  <c r="P33" i="15"/>
  <c r="L18" i="15"/>
  <c r="L40" i="15"/>
  <c r="M51" i="15"/>
  <c r="L66" i="15"/>
  <c r="O31" i="15"/>
  <c r="Q42" i="15"/>
  <c r="N11" i="15"/>
  <c r="M54" i="15"/>
  <c r="L59" i="15"/>
  <c r="K16" i="15"/>
  <c r="Q57" i="15"/>
  <c r="L28" i="15"/>
  <c r="P56" i="15"/>
  <c r="Q15" i="15"/>
  <c r="P13" i="15"/>
  <c r="M10" i="15"/>
  <c r="M80" i="15"/>
  <c r="H59" i="15"/>
  <c r="P74" i="15"/>
  <c r="N23" i="15"/>
  <c r="H11" i="15"/>
  <c r="N67" i="15"/>
  <c r="N60" i="15"/>
  <c r="O28" i="15"/>
  <c r="H66" i="15"/>
  <c r="O42" i="15"/>
  <c r="O23" i="15"/>
  <c r="O29" i="15"/>
  <c r="O67" i="15"/>
  <c r="H33" i="15"/>
  <c r="Q60" i="15"/>
  <c r="O66" i="15"/>
  <c r="Q33" i="15"/>
  <c r="O43" i="15"/>
  <c r="O83" i="15"/>
  <c r="Q39" i="15"/>
  <c r="O51" i="15"/>
  <c r="H63" i="15"/>
  <c r="L80" i="15"/>
  <c r="L78" i="15"/>
  <c r="L20" i="15"/>
  <c r="O53" i="15"/>
  <c r="O25" i="15"/>
  <c r="L69" i="15"/>
  <c r="K43" i="15"/>
  <c r="L57" i="15"/>
  <c r="H18" i="15"/>
  <c r="N74" i="15"/>
  <c r="L16" i="15"/>
  <c r="Q59" i="15"/>
  <c r="Q54" i="15"/>
  <c r="K9" i="15"/>
  <c r="H31" i="15"/>
  <c r="K26" i="15"/>
  <c r="O72" i="15"/>
  <c r="H67" i="15"/>
  <c r="L76" i="15"/>
  <c r="K37" i="15"/>
  <c r="K53" i="15"/>
  <c r="P25" i="15"/>
  <c r="P69" i="15"/>
  <c r="L43" i="15"/>
  <c r="K57" i="15"/>
  <c r="P18" i="15"/>
  <c r="O74" i="15"/>
  <c r="M16" i="15"/>
  <c r="N29" i="15"/>
  <c r="H50" i="15"/>
  <c r="K25" i="15"/>
  <c r="M43" i="15"/>
  <c r="Q74" i="15"/>
  <c r="M70" i="15"/>
  <c r="M29" i="15"/>
  <c r="P50" i="15"/>
  <c r="H25" i="15"/>
  <c r="Q18" i="15"/>
  <c r="P54" i="15"/>
  <c r="P9" i="15"/>
  <c r="N35" i="15"/>
  <c r="M26" i="15"/>
  <c r="P72" i="15"/>
  <c r="O40" i="15"/>
  <c r="M67" i="15"/>
  <c r="Q11" i="15"/>
  <c r="K11" i="15"/>
  <c r="Q51" i="15"/>
  <c r="H22" i="15"/>
  <c r="M52" i="15"/>
  <c r="P12" i="15"/>
  <c r="K13" i="15"/>
  <c r="O81" i="15"/>
  <c r="P15" i="15"/>
  <c r="M28" i="15"/>
  <c r="M57" i="15"/>
  <c r="K18" i="15"/>
  <c r="M74" i="15"/>
  <c r="P16" i="15"/>
  <c r="L61" i="15"/>
  <c r="O59" i="15"/>
  <c r="L54" i="15"/>
  <c r="Q9" i="15"/>
  <c r="Q35" i="15"/>
  <c r="Q31" i="15"/>
  <c r="L31" i="15"/>
  <c r="O26" i="15"/>
  <c r="L72" i="15"/>
  <c r="P40" i="15"/>
  <c r="O11" i="15"/>
  <c r="N51" i="15"/>
  <c r="K22" i="15"/>
  <c r="H23" i="15"/>
  <c r="Q40" i="15"/>
  <c r="O33" i="15"/>
  <c r="H52" i="15"/>
  <c r="I14" i="16"/>
  <c r="I8" i="16"/>
  <c r="L8" i="16"/>
  <c r="I18" i="16"/>
  <c r="L14" i="16"/>
  <c r="N69" i="15"/>
  <c r="O21" i="15"/>
  <c r="N28" i="15"/>
  <c r="H21" i="15"/>
  <c r="N63" i="15"/>
  <c r="N26" i="15"/>
  <c r="Q21" i="15"/>
  <c r="Q62" i="15"/>
  <c r="N66" i="15"/>
  <c r="L19" i="15"/>
  <c r="O80" i="15"/>
  <c r="O70" i="15"/>
  <c r="N37" i="15"/>
  <c r="O62" i="15"/>
  <c r="L52" i="15"/>
  <c r="N78" i="15"/>
  <c r="L12" i="15"/>
  <c r="M64" i="15"/>
  <c r="M13" i="15"/>
  <c r="K15" i="15"/>
  <c r="M49" i="15"/>
  <c r="M20" i="15"/>
  <c r="L56" i="15"/>
  <c r="L53" i="15"/>
  <c r="M50" i="15"/>
  <c r="N80" i="15"/>
  <c r="N76" i="15"/>
  <c r="K62" i="15"/>
  <c r="Q83" i="15"/>
  <c r="M78" i="15"/>
  <c r="Q12" i="15"/>
  <c r="Q10" i="15"/>
  <c r="L84" i="15"/>
  <c r="L49" i="15"/>
  <c r="P20" i="15"/>
  <c r="K56" i="15"/>
  <c r="Q50" i="15"/>
  <c r="L50" i="15"/>
  <c r="K80" i="15"/>
  <c r="M76" i="15"/>
  <c r="L8" i="15"/>
  <c r="P37" i="15"/>
  <c r="H62" i="15"/>
  <c r="L83" i="15"/>
  <c r="M12" i="15"/>
  <c r="K10" i="15"/>
  <c r="L64" i="15"/>
  <c r="Q81" i="15"/>
  <c r="K84" i="15"/>
  <c r="L15" i="15"/>
  <c r="Q53" i="15"/>
  <c r="O50" i="15"/>
  <c r="Q80" i="15"/>
  <c r="Q76" i="15"/>
  <c r="N70" i="15"/>
  <c r="Q37" i="15"/>
  <c r="L29" i="15"/>
  <c r="K52" i="15"/>
  <c r="P83" i="15"/>
  <c r="P78" i="15"/>
  <c r="N12" i="15"/>
  <c r="L10" i="15"/>
  <c r="P64" i="15"/>
  <c r="L81" i="15"/>
  <c r="O84" i="15"/>
  <c r="Q56" i="15"/>
  <c r="N53" i="15"/>
  <c r="K50" i="15"/>
  <c r="P80" i="15"/>
  <c r="K70" i="15"/>
  <c r="P29" i="15"/>
  <c r="L62" i="15"/>
  <c r="M83" i="15"/>
  <c r="P84" i="15"/>
  <c r="M15" i="15"/>
  <c r="K20" i="15"/>
  <c r="P28" i="15"/>
  <c r="L25" i="15"/>
  <c r="M69" i="15"/>
  <c r="H80" i="15"/>
  <c r="K8" i="15"/>
  <c r="K12" i="15"/>
  <c r="O64" i="15"/>
  <c r="M84" i="15"/>
  <c r="M53" i="15"/>
  <c r="M25" i="15"/>
  <c r="K21" i="15"/>
  <c r="P76" i="15"/>
  <c r="N52" i="15"/>
  <c r="Q78" i="15"/>
  <c r="N10" i="15"/>
  <c r="N64" i="15"/>
  <c r="K49" i="15"/>
  <c r="N50" i="15"/>
  <c r="N25" i="15"/>
  <c r="L21" i="15"/>
  <c r="K69" i="15"/>
  <c r="K76" i="15"/>
  <c r="M37" i="15"/>
  <c r="P52" i="15"/>
  <c r="K78" i="15"/>
  <c r="H10" i="15"/>
  <c r="M81" i="15"/>
  <c r="K28" i="15"/>
  <c r="M21" i="15"/>
  <c r="O69" i="15"/>
  <c r="M18" i="15"/>
  <c r="H74" i="15"/>
  <c r="K61" i="15"/>
  <c r="K59" i="15"/>
  <c r="P10" i="15"/>
  <c r="O10" i="15"/>
  <c r="O52" i="15"/>
  <c r="P62" i="15"/>
  <c r="P81" i="15"/>
  <c r="Q13" i="15"/>
  <c r="H64" i="15"/>
  <c r="P53" i="15"/>
  <c r="L14" i="19"/>
  <c r="L26" i="19"/>
  <c r="L19" i="19"/>
  <c r="L24" i="19"/>
  <c r="L11" i="19"/>
  <c r="L17" i="19"/>
  <c r="L13" i="19"/>
  <c r="L18" i="19"/>
  <c r="L22" i="19"/>
  <c r="L20" i="19"/>
  <c r="L21" i="19"/>
  <c r="L9" i="19"/>
  <c r="L10" i="19"/>
  <c r="L25" i="19"/>
  <c r="L23" i="19"/>
  <c r="L8" i="19"/>
  <c r="L16" i="19"/>
  <c r="L27" i="19"/>
  <c r="L12" i="19"/>
  <c r="L15" i="19"/>
  <c r="P63" i="15"/>
  <c r="L16" i="16"/>
  <c r="N21" i="15"/>
  <c r="H53" i="15"/>
  <c r="N62" i="15"/>
  <c r="N11" i="17"/>
  <c r="L18" i="16"/>
  <c r="L22" i="17"/>
  <c r="M24" i="15"/>
  <c r="L44" i="15"/>
  <c r="M36" i="15"/>
  <c r="K34" i="15"/>
  <c r="Q58" i="15"/>
  <c r="P79" i="15"/>
  <c r="L68" i="15"/>
  <c r="M75" i="15"/>
  <c r="M30" i="15"/>
  <c r="L17" i="15"/>
  <c r="P32" i="15"/>
  <c r="L41" i="15"/>
  <c r="M68" i="15"/>
  <c r="K14" i="15"/>
  <c r="K41" i="15"/>
  <c r="M27" i="15"/>
  <c r="Q34" i="15"/>
  <c r="K65" i="15"/>
  <c r="L58" i="15"/>
  <c r="K75" i="15"/>
  <c r="K73" i="15"/>
  <c r="K55" i="15"/>
  <c r="K17" i="15"/>
  <c r="K27" i="15"/>
  <c r="M34" i="15"/>
  <c r="K32" i="15"/>
  <c r="I24" i="15"/>
  <c r="K85" i="15"/>
  <c r="K71" i="15"/>
  <c r="K79" i="15"/>
  <c r="P41" i="15"/>
  <c r="M77" i="15"/>
  <c r="K36" i="15"/>
  <c r="M44" i="15"/>
  <c r="Q24" i="15"/>
  <c r="Q77" i="15"/>
  <c r="L71" i="15"/>
  <c r="P77" i="15"/>
  <c r="M65" i="15"/>
  <c r="K58" i="15"/>
  <c r="M38" i="15"/>
  <c r="L24" i="15"/>
  <c r="K24" i="15"/>
  <c r="K77" i="15"/>
  <c r="L65" i="15"/>
  <c r="L55" i="15"/>
  <c r="M32" i="15"/>
  <c r="Q75" i="15"/>
  <c r="M79" i="15"/>
  <c r="M73" i="15"/>
  <c r="L85" i="15"/>
  <c r="M82" i="15"/>
  <c r="K38" i="15"/>
  <c r="L27" i="15"/>
  <c r="K30" i="15"/>
  <c r="K44" i="15"/>
  <c r="P73" i="15"/>
  <c r="M85" i="15"/>
  <c r="L82" i="15"/>
  <c r="P17" i="15"/>
  <c r="M71" i="15"/>
  <c r="L14" i="15"/>
  <c r="L30" i="15"/>
  <c r="K82" i="15"/>
  <c r="K68" i="15"/>
  <c r="M41" i="15"/>
  <c r="P71" i="15"/>
  <c r="P44" i="15"/>
  <c r="Q55" i="15"/>
  <c r="Q27" i="15"/>
  <c r="P38" i="15"/>
  <c r="Q44" i="15"/>
  <c r="P27" i="15"/>
  <c r="P14" i="15"/>
  <c r="P75" i="15"/>
  <c r="P34" i="15"/>
  <c r="P36" i="15"/>
  <c r="Q30" i="15"/>
  <c r="Q41" i="15"/>
  <c r="Q65" i="15"/>
  <c r="Q68" i="15"/>
  <c r="P24" i="15"/>
  <c r="Q38" i="15"/>
  <c r="P85" i="15"/>
  <c r="P65" i="15"/>
  <c r="P68" i="15"/>
  <c r="Q79" i="15"/>
  <c r="P58" i="15"/>
  <c r="Q36" i="15"/>
  <c r="Q73" i="15"/>
  <c r="Q85" i="15"/>
  <c r="Q14" i="15"/>
  <c r="Q17" i="15"/>
  <c r="P30" i="15"/>
  <c r="P82" i="15"/>
  <c r="Q32" i="15"/>
  <c r="Q71" i="15"/>
  <c r="Q82" i="15"/>
  <c r="P55" i="15"/>
  <c r="N44" i="15"/>
  <c r="N71" i="15"/>
  <c r="N24" i="15"/>
  <c r="H77" i="15"/>
  <c r="H38" i="15"/>
  <c r="H71" i="15"/>
  <c r="H58" i="15"/>
  <c r="O14" i="15"/>
  <c r="O79" i="15"/>
  <c r="O41" i="15"/>
  <c r="H36" i="15"/>
  <c r="H14" i="15"/>
  <c r="O36" i="15"/>
  <c r="O17" i="15"/>
  <c r="O71" i="15"/>
  <c r="O34" i="15"/>
  <c r="N38" i="15"/>
  <c r="N32" i="15"/>
  <c r="N77" i="15"/>
  <c r="N30" i="15"/>
  <c r="H65" i="15"/>
  <c r="O24" i="15"/>
  <c r="H27" i="15"/>
  <c r="N14" i="15"/>
  <c r="N34" i="15"/>
  <c r="N85" i="15"/>
  <c r="H75" i="15"/>
  <c r="H34" i="15"/>
  <c r="J44" i="15"/>
  <c r="N27" i="15"/>
  <c r="N36" i="15"/>
  <c r="N41" i="15"/>
  <c r="N17" i="15"/>
  <c r="N68" i="15"/>
  <c r="H44" i="15"/>
  <c r="H41" i="15"/>
  <c r="H55" i="15"/>
  <c r="O27" i="15"/>
  <c r="O73" i="15"/>
  <c r="O82" i="15"/>
  <c r="O77" i="15"/>
  <c r="N55" i="15"/>
  <c r="N79" i="15"/>
  <c r="H24" i="15"/>
  <c r="H82" i="15"/>
  <c r="J36" i="15"/>
  <c r="O44" i="15"/>
  <c r="O85" i="15"/>
  <c r="N65" i="15"/>
  <c r="H79" i="15"/>
  <c r="O38" i="15"/>
  <c r="O58" i="15"/>
  <c r="O68" i="15"/>
  <c r="N73" i="15"/>
  <c r="H32" i="15"/>
  <c r="O32" i="15"/>
  <c r="N82" i="15"/>
  <c r="H30" i="15"/>
  <c r="H17" i="15"/>
  <c r="O30" i="15"/>
  <c r="N75" i="15"/>
  <c r="H73" i="15"/>
  <c r="H68" i="15"/>
  <c r="O75" i="15"/>
  <c r="N58" i="15"/>
  <c r="H85" i="15"/>
  <c r="O65" i="15"/>
  <c r="O55" i="15"/>
  <c r="Q19" i="15"/>
  <c r="K19" i="15"/>
  <c r="M19" i="15"/>
  <c r="N19" i="15"/>
  <c r="P19" i="15"/>
  <c r="P70" i="15"/>
  <c r="M8" i="15"/>
  <c r="L37" i="15"/>
  <c r="K29" i="15"/>
  <c r="M62" i="15"/>
  <c r="Q52" i="15"/>
  <c r="H12" i="15"/>
  <c r="H29" i="17"/>
  <c r="N17" i="17"/>
  <c r="L15" i="17"/>
  <c r="L29" i="17"/>
  <c r="K29" i="17"/>
  <c r="L27" i="17"/>
  <c r="K27" i="17"/>
  <c r="K15" i="17"/>
  <c r="N15" i="17"/>
  <c r="L17" i="17"/>
  <c r="K17" i="17"/>
  <c r="H15" i="17"/>
  <c r="N29" i="17"/>
  <c r="H17" i="17"/>
  <c r="H27" i="17"/>
  <c r="N27" i="17"/>
  <c r="N23" i="17"/>
  <c r="N10" i="17"/>
  <c r="N12" i="17"/>
  <c r="N24" i="17"/>
  <c r="N22" i="17"/>
  <c r="P51" i="15"/>
  <c r="I10" i="16"/>
  <c r="I13" i="16"/>
  <c r="J15" i="16"/>
  <c r="I12" i="16"/>
  <c r="I15" i="16"/>
  <c r="L9" i="16"/>
  <c r="I11" i="16"/>
  <c r="L12" i="16"/>
  <c r="I9" i="16"/>
  <c r="L11" i="16"/>
  <c r="J12" i="16"/>
  <c r="I19" i="16"/>
  <c r="L19" i="16"/>
  <c r="L13" i="16"/>
  <c r="L10" i="16"/>
  <c r="I16" i="16"/>
  <c r="N9" i="15"/>
  <c r="J18" i="16"/>
  <c r="N13" i="17"/>
  <c r="J9" i="16"/>
  <c r="L15" i="16"/>
  <c r="H15" i="16"/>
  <c r="L17" i="16"/>
  <c r="K24" i="17"/>
  <c r="I17" i="16"/>
  <c r="H9" i="16"/>
  <c r="N8" i="17"/>
  <c r="E17" i="20"/>
  <c r="E18" i="20"/>
  <c r="E19" i="20"/>
  <c r="E20" i="20"/>
  <c r="K19" i="16"/>
  <c r="Q23" i="15"/>
  <c r="Q64" i="15"/>
  <c r="J19" i="16"/>
  <c r="O19" i="15"/>
  <c r="O76" i="15"/>
  <c r="H18" i="17"/>
  <c r="N18" i="17"/>
  <c r="K13" i="16"/>
  <c r="Q43" i="15"/>
  <c r="H19" i="16"/>
  <c r="Q84" i="15"/>
  <c r="J25" i="19"/>
  <c r="J15" i="19"/>
  <c r="J22" i="19"/>
  <c r="J12" i="19"/>
  <c r="J19" i="19"/>
  <c r="J9" i="19"/>
  <c r="J18" i="19"/>
  <c r="J8" i="19"/>
  <c r="L8" i="17"/>
  <c r="L18" i="17"/>
  <c r="Q25" i="15"/>
  <c r="H12" i="17"/>
  <c r="O35" i="15"/>
  <c r="J13" i="16"/>
  <c r="J11" i="16"/>
  <c r="J17" i="16"/>
  <c r="K8" i="17"/>
  <c r="H8" i="17"/>
  <c r="L26" i="17"/>
  <c r="K25" i="17"/>
  <c r="K13" i="17"/>
  <c r="K10" i="17"/>
  <c r="K23" i="17"/>
  <c r="K28" i="17"/>
  <c r="K16" i="17"/>
  <c r="Q49" i="15"/>
  <c r="Q8" i="15"/>
  <c r="N81" i="15"/>
  <c r="N40" i="15"/>
  <c r="K15" i="16"/>
  <c r="K11" i="17"/>
  <c r="N14" i="17"/>
  <c r="O54" i="15"/>
  <c r="O13" i="15"/>
  <c r="H20" i="15"/>
  <c r="H61" i="15"/>
  <c r="H10" i="17"/>
  <c r="K14" i="17"/>
  <c r="P49" i="15"/>
  <c r="P8" i="15"/>
  <c r="H24" i="17"/>
  <c r="K12" i="17"/>
  <c r="H22" i="17"/>
  <c r="O8" i="15"/>
  <c r="O49" i="15"/>
  <c r="K22" i="17"/>
  <c r="N13" i="15"/>
  <c r="N54" i="15"/>
  <c r="Q20" i="15"/>
  <c r="Q61" i="15"/>
  <c r="H83" i="15"/>
  <c r="H42" i="15"/>
  <c r="H8" i="15"/>
  <c r="H49" i="15"/>
  <c r="L14" i="17"/>
  <c r="H13" i="15"/>
  <c r="H54" i="15"/>
  <c r="N42" i="15"/>
  <c r="N83" i="15"/>
  <c r="H69" i="15"/>
  <c r="H28" i="15"/>
  <c r="H60" i="15"/>
  <c r="H35" i="15"/>
  <c r="H76" i="15"/>
  <c r="L10" i="17"/>
  <c r="H81" i="15"/>
  <c r="H40" i="15"/>
  <c r="N61" i="15"/>
  <c r="N20" i="15"/>
  <c r="N25" i="17"/>
  <c r="N16" i="17"/>
  <c r="K26" i="17"/>
  <c r="H23" i="17"/>
  <c r="N26" i="17"/>
  <c r="K18" i="17"/>
  <c r="H14" i="17"/>
  <c r="N49" i="15"/>
  <c r="N8" i="15"/>
  <c r="H11" i="17"/>
  <c r="L9" i="17"/>
  <c r="L19" i="17"/>
  <c r="Q66" i="15"/>
  <c r="Q26" i="15"/>
  <c r="K12" i="16"/>
  <c r="O61" i="15"/>
  <c r="O20" i="15"/>
  <c r="H19" i="17"/>
  <c r="H9" i="17"/>
  <c r="L13" i="17"/>
  <c r="L25" i="17"/>
  <c r="H14" i="16"/>
  <c r="H16" i="16"/>
  <c r="K18" i="16"/>
  <c r="H11" i="16"/>
  <c r="H17" i="16"/>
  <c r="K19" i="19"/>
  <c r="K9" i="19"/>
  <c r="K22" i="19"/>
  <c r="K12" i="19"/>
  <c r="K25" i="19"/>
  <c r="K15" i="19"/>
  <c r="J23" i="19"/>
  <c r="J13" i="19"/>
  <c r="J26" i="19"/>
  <c r="J16" i="19"/>
  <c r="J20" i="19"/>
  <c r="J10" i="19"/>
  <c r="K8" i="19"/>
  <c r="K18" i="19"/>
  <c r="H18" i="16"/>
  <c r="H12" i="16"/>
  <c r="Q67" i="15"/>
  <c r="N9" i="17"/>
  <c r="O78" i="15"/>
  <c r="O37" i="15"/>
  <c r="J10" i="16"/>
  <c r="J16" i="16"/>
  <c r="L28" i="17"/>
  <c r="L16" i="17"/>
  <c r="H78" i="15"/>
  <c r="H37" i="15"/>
  <c r="H28" i="17"/>
  <c r="H16" i="17"/>
  <c r="K19" i="17"/>
  <c r="K9" i="17"/>
  <c r="H13" i="17"/>
  <c r="H25" i="17"/>
  <c r="N56" i="15"/>
  <c r="N15" i="15"/>
  <c r="H84" i="15"/>
  <c r="H43" i="15"/>
  <c r="O15" i="15"/>
  <c r="O56" i="15"/>
  <c r="N19" i="17"/>
  <c r="H29" i="15"/>
  <c r="H70" i="15"/>
  <c r="N43" i="15"/>
  <c r="N84" i="15"/>
  <c r="H15" i="15"/>
  <c r="H56" i="15"/>
  <c r="L11" i="17"/>
  <c r="L23" i="17"/>
  <c r="H10" i="16"/>
  <c r="H8" i="16"/>
  <c r="K16" i="16"/>
  <c r="K11" i="16"/>
  <c r="K17" i="16"/>
  <c r="J24" i="19"/>
  <c r="J14" i="19"/>
  <c r="J21" i="19"/>
  <c r="J11" i="19"/>
  <c r="J27" i="19"/>
  <c r="J17" i="19"/>
  <c r="K23" i="19"/>
  <c r="K13" i="19"/>
  <c r="K26" i="19"/>
  <c r="K16" i="19"/>
  <c r="K20" i="19"/>
  <c r="K10" i="19"/>
  <c r="Q69" i="15"/>
  <c r="Q28" i="15"/>
  <c r="J8" i="16"/>
  <c r="J14" i="16"/>
  <c r="H16" i="15"/>
  <c r="H57" i="15"/>
  <c r="O57" i="15"/>
  <c r="O16" i="15"/>
  <c r="L24" i="17"/>
  <c r="L12" i="17"/>
  <c r="N57" i="15"/>
  <c r="N16" i="15"/>
  <c r="K10" i="16"/>
  <c r="K14" i="16"/>
  <c r="K8" i="16"/>
  <c r="K21" i="19"/>
  <c r="K11" i="19"/>
  <c r="K24" i="19"/>
  <c r="K14" i="19"/>
  <c r="K27" i="19"/>
  <c r="K17" i="19"/>
  <c r="Q70" i="15"/>
  <c r="Q29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Corporate Edition</author>
  </authors>
  <commentList>
    <comment ref="B4" authorId="0" shapeId="0" xr:uid="{9CB660D0-AE62-479D-8477-C24F06BA2F92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4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4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4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N4" authorId="0" shapeId="0" xr:uid="{00000000-0006-0000-02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4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4" authorId="2" shapeId="0" xr:uid="{00000000-0006-0000-02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4" authorId="2" shapeId="0" xr:uid="{00000000-0006-0000-02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4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A4" authorId="0" shapeId="0" xr:uid="{00000000-0006-0000-02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F4" authorId="1" shapeId="0" xr:uid="{00000000-0006-0000-02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G4" authorId="2" shapeId="0" xr:uid="{00000000-0006-0000-02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4" authorId="2" shapeId="0" xr:uid="{00000000-0006-0000-02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I4" authorId="2" shapeId="0" xr:uid="{00000000-0006-0000-02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5" authorId="3" shapeId="0" xr:uid="{00000000-0006-0000-0200-000010000000}">
      <text>
        <r>
          <rPr>
            <b/>
            <sz val="9"/>
            <color indexed="81"/>
            <rFont val="Tahoma"/>
            <family val="2"/>
          </rPr>
          <t>Gg = ktons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5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P5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5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5" authorId="0" shapeId="0" xr:uid="{00000000-0006-0000-01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6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AA5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5" authorId="1" shapeId="0" xr:uid="{00000000-0006-0000-03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5" authorId="0" shapeId="0" xr:uid="{00000000-0006-0000-03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U6" authorId="0" shapeId="0" xr:uid="{00000000-0006-0000-03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47" authorId="0" shapeId="0" xr:uid="{00000000-0006-0000-03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Y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5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Z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5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6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C5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W5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5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5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35" authorId="0" shapeId="0" xr:uid="{00000000-0006-0000-06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4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H54" authorId="2" shapeId="0" xr:uid="{3E74B4F8-9092-4B5F-B54B-3D6ED5D18F09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See Trans file</t>
        </r>
      </text>
    </comment>
    <comment ref="C70" authorId="0" shapeId="0" xr:uid="{00000000-0006-0000-06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4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C6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6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6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6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Z6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D6" authorId="0" shapeId="0" xr:uid="{00000000-0006-0000-0700-000006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E6" authorId="0" shapeId="0" xr:uid="{00000000-0006-0000-0700-000007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700-000008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G6" authorId="0" shapeId="0" xr:uid="{00000000-0006-0000-0700-000009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7" authorId="0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27" authorId="0" shapeId="0" xr:uid="{00000000-0006-0000-07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<sst xmlns="http://schemas.openxmlformats.org/spreadsheetml/2006/main" count="2406" uniqueCount="1222">
  <si>
    <t>~FI_T</t>
  </si>
  <si>
    <t>TechName</t>
  </si>
  <si>
    <t>TechDesc</t>
  </si>
  <si>
    <t>Comm-IN</t>
  </si>
  <si>
    <t>Comm-OUT</t>
  </si>
  <si>
    <t>FIXOM</t>
  </si>
  <si>
    <t>CommName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</si>
  <si>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</si>
  <si>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</si>
  <si>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</si>
  <si>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</si>
  <si>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</si>
  <si>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</si>
  <si>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</si>
  <si>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</si>
  <si>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</si>
  <si>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</si>
  <si>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</si>
  <si>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</si>
  <si>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</si>
  <si>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</si>
  <si>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</si>
  <si>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</si>
  <si>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</si>
  <si>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</si>
  <si>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</si>
  <si>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</si>
  <si>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</si>
  <si>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</si>
  <si>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</si>
  <si>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</si>
  <si>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</si>
  <si>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</si>
  <si>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</si>
  <si>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</si>
  <si>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Starting Year</t>
  </si>
  <si>
    <t>INVCOST</t>
  </si>
  <si>
    <t>Fixed O&amp;M Cost</t>
  </si>
  <si>
    <t>Variable O&amp;M Cost</t>
  </si>
  <si>
    <t>Years</t>
  </si>
  <si>
    <t>Description</t>
  </si>
  <si>
    <t>ACT_BND</t>
  </si>
  <si>
    <t>Yes</t>
  </si>
  <si>
    <t>ACT_COST</t>
  </si>
  <si>
    <t>DAYNITE</t>
  </si>
  <si>
    <t>COST</t>
  </si>
  <si>
    <t>NCAP_AFA</t>
  </si>
  <si>
    <t>NCAP_TLIFE</t>
  </si>
  <si>
    <t>PRC_CAPACT</t>
  </si>
  <si>
    <t>PRC_RESID</t>
  </si>
  <si>
    <t>Region</t>
  </si>
  <si>
    <t>English</t>
  </si>
  <si>
    <t>*Commodity Set Membership</t>
  </si>
  <si>
    <t>Region Name</t>
  </si>
  <si>
    <t>Sense of the Balance EQN.</t>
  </si>
  <si>
    <t>Timeslice Level</t>
  </si>
  <si>
    <t>NRG</t>
  </si>
  <si>
    <t>ENV</t>
  </si>
  <si>
    <t>TOTCO2</t>
  </si>
  <si>
    <t>CO2</t>
  </si>
  <si>
    <t>DEM</t>
  </si>
  <si>
    <t>COACCL</t>
  </si>
  <si>
    <t>Coking coal</t>
  </si>
  <si>
    <t>TOTCH4</t>
  </si>
  <si>
    <t>CH4</t>
  </si>
  <si>
    <t>COABIC</t>
  </si>
  <si>
    <t>Other bituminous coal</t>
  </si>
  <si>
    <t>TOTN2O</t>
  </si>
  <si>
    <t>N2O</t>
  </si>
  <si>
    <t xml:space="preserve">Lignite/Brown Coal </t>
  </si>
  <si>
    <t>SUPCO2</t>
  </si>
  <si>
    <t>CO2 (SUP)</t>
  </si>
  <si>
    <t>COACOC</t>
  </si>
  <si>
    <t>Coke oven coke</t>
  </si>
  <si>
    <t>SUPCH4</t>
  </si>
  <si>
    <t>CH4 (SUP)</t>
  </si>
  <si>
    <t>COACTA</t>
  </si>
  <si>
    <t>Coal tar</t>
  </si>
  <si>
    <t>SUPN2O</t>
  </si>
  <si>
    <t>N2O (SUP)</t>
  </si>
  <si>
    <t>COABKB</t>
  </si>
  <si>
    <t>BKB (brown coal briquettes)</t>
  </si>
  <si>
    <t>INDCO2</t>
  </si>
  <si>
    <t>CO2 (IND)</t>
  </si>
  <si>
    <t>OILCRD</t>
  </si>
  <si>
    <t>Crude Oil</t>
  </si>
  <si>
    <t>INDCH4</t>
  </si>
  <si>
    <t>CH4 (IND)</t>
  </si>
  <si>
    <t>OILNGL</t>
  </si>
  <si>
    <t>Natural gas liquids</t>
  </si>
  <si>
    <t>INDN2O</t>
  </si>
  <si>
    <t>N2O (IND)</t>
  </si>
  <si>
    <t>Street lighting</t>
  </si>
  <si>
    <t>OILFDS</t>
  </si>
  <si>
    <t>Feedstocks</t>
  </si>
  <si>
    <t>RSDCO2</t>
  </si>
  <si>
    <t>CO2 (RSD)</t>
  </si>
  <si>
    <t>OILRFG</t>
  </si>
  <si>
    <t>Refinery gas</t>
  </si>
  <si>
    <t>RSDCH4</t>
  </si>
  <si>
    <t>CH4 (RSD)</t>
  </si>
  <si>
    <t>OILDSL</t>
  </si>
  <si>
    <t>Diesel</t>
  </si>
  <si>
    <t>RSDN2O</t>
  </si>
  <si>
    <t>N2O (RSD)</t>
  </si>
  <si>
    <t>OILGSL</t>
  </si>
  <si>
    <t>Gasoline</t>
  </si>
  <si>
    <t>OILGSA</t>
  </si>
  <si>
    <t>Aviation Gasoline</t>
  </si>
  <si>
    <t>OILLPG</t>
  </si>
  <si>
    <t>Liquified petroleum gas</t>
  </si>
  <si>
    <t>OILHFO1</t>
  </si>
  <si>
    <t>Low Sulphur Fuel Oil</t>
  </si>
  <si>
    <t>AGRCO2</t>
  </si>
  <si>
    <t>CO2 (AGR)</t>
  </si>
  <si>
    <t>OILHFO2</t>
  </si>
  <si>
    <t>High Sulphur Fuel Oil</t>
  </si>
  <si>
    <t>AGRCH4</t>
  </si>
  <si>
    <t>CH4 (AGR)</t>
  </si>
  <si>
    <t>OILKER</t>
  </si>
  <si>
    <t>Kerosene</t>
  </si>
  <si>
    <t>AGRN2O</t>
  </si>
  <si>
    <t>N2O (AGR)</t>
  </si>
  <si>
    <t>OILNAP</t>
  </si>
  <si>
    <t>Naphtha</t>
  </si>
  <si>
    <t>TRACO2</t>
  </si>
  <si>
    <t>CO2 (TRA)</t>
  </si>
  <si>
    <t>OILPCK</t>
  </si>
  <si>
    <t>Petroleum Coke</t>
  </si>
  <si>
    <t>TRACH4</t>
  </si>
  <si>
    <t>CH4 (TRA)</t>
  </si>
  <si>
    <t>OILBIT</t>
  </si>
  <si>
    <t>Bitumen</t>
  </si>
  <si>
    <t>TRAN2O</t>
  </si>
  <si>
    <t>N2O (TRA)</t>
  </si>
  <si>
    <t>OILLUB</t>
  </si>
  <si>
    <t>Lubricants</t>
  </si>
  <si>
    <t>ELECO2</t>
  </si>
  <si>
    <t>CO2 (ELE)</t>
  </si>
  <si>
    <t>OILOTH</t>
  </si>
  <si>
    <t>Other petroleum products</t>
  </si>
  <si>
    <t>ELECH4</t>
  </si>
  <si>
    <t>CH4 (ELE)</t>
  </si>
  <si>
    <t>OILOIS</t>
  </si>
  <si>
    <t>Oil Shale</t>
  </si>
  <si>
    <t>ELEN2O</t>
  </si>
  <si>
    <t>N2O (ELE)</t>
  </si>
  <si>
    <t>OILSHO</t>
  </si>
  <si>
    <t>Shale Oil</t>
  </si>
  <si>
    <t>HETCO2</t>
  </si>
  <si>
    <t>CO2 (HET)</t>
  </si>
  <si>
    <t>GASNAT</t>
  </si>
  <si>
    <t>Natural Gas</t>
  </si>
  <si>
    <t>HETCH4</t>
  </si>
  <si>
    <t>CH4 (HET)</t>
  </si>
  <si>
    <t>GASBFG</t>
  </si>
  <si>
    <t>Blast Furnace Gas</t>
  </si>
  <si>
    <t>HETN2O</t>
  </si>
  <si>
    <t>N2O (HET)</t>
  </si>
  <si>
    <t>BIOLOG</t>
  </si>
  <si>
    <t>Wood</t>
  </si>
  <si>
    <t>BIOLOGA</t>
  </si>
  <si>
    <t>Agricultural residues</t>
  </si>
  <si>
    <t>BIOLOGF</t>
  </si>
  <si>
    <t>Forrest residues</t>
  </si>
  <si>
    <t>BIOWMU</t>
  </si>
  <si>
    <t>Municipal waste</t>
  </si>
  <si>
    <t>BIOWID</t>
  </si>
  <si>
    <t>Industrial Waste</t>
  </si>
  <si>
    <t>PJ</t>
  </si>
  <si>
    <t>BIOWAN</t>
  </si>
  <si>
    <t>Animal waste</t>
  </si>
  <si>
    <t>BIOWCO</t>
  </si>
  <si>
    <t>Waste cooking oils</t>
  </si>
  <si>
    <t>MAT</t>
  </si>
  <si>
    <t>BIOBST</t>
  </si>
  <si>
    <t>Starch Crops</t>
  </si>
  <si>
    <t>BIOBGC</t>
  </si>
  <si>
    <t>Grass Crops (millet and Jerusalem artichoke)</t>
  </si>
  <si>
    <t>BIOBOS</t>
  </si>
  <si>
    <t>Oilseed Crops</t>
  </si>
  <si>
    <t>BIOETH</t>
  </si>
  <si>
    <t>Pure Bioethanol</t>
  </si>
  <si>
    <t>BIORME</t>
  </si>
  <si>
    <t>RME</t>
  </si>
  <si>
    <t>BIOHVO</t>
  </si>
  <si>
    <t>HVO</t>
  </si>
  <si>
    <t>BIODME</t>
  </si>
  <si>
    <t>DME</t>
  </si>
  <si>
    <t>BIODSL</t>
  </si>
  <si>
    <t>Biodiesel</t>
  </si>
  <si>
    <t>Bioethanol</t>
  </si>
  <si>
    <t>000appliances</t>
  </si>
  <si>
    <t>BIOBGS</t>
  </si>
  <si>
    <t>Biogas</t>
  </si>
  <si>
    <t>BIOPLT</t>
  </si>
  <si>
    <t>Pellet</t>
  </si>
  <si>
    <t>BIOCHR</t>
  </si>
  <si>
    <t>Charcoal</t>
  </si>
  <si>
    <t>BIORPS</t>
  </si>
  <si>
    <t>Rape seed oil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</si>
  <si>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</si>
  <si>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</si>
  <si>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</si>
  <si>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</si>
  <si>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</si>
  <si>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</si>
  <si>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</si>
  <si>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</si>
  <si>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NUCLFL</t>
  </si>
  <si>
    <t>Nuclear Fuel</t>
  </si>
  <si>
    <t>RSVCOABIC</t>
  </si>
  <si>
    <t>Other bituminous coal (RSV)</t>
  </si>
  <si>
    <t>Lignite/Brown Coal (RSV)</t>
  </si>
  <si>
    <t>PIPOILCRD</t>
  </si>
  <si>
    <t>Crude oil in Pipeline  (PIP)</t>
  </si>
  <si>
    <t>RSVOILCRD</t>
  </si>
  <si>
    <t>Crude oil reserves (RSV)</t>
  </si>
  <si>
    <t>PITGASNAT</t>
  </si>
  <si>
    <t>N. Gas Tansportation (PIT)</t>
  </si>
  <si>
    <t>PIDGASNAT</t>
  </si>
  <si>
    <t>N. Gas Distribution (PID)</t>
  </si>
  <si>
    <t>RSVGASNAT</t>
  </si>
  <si>
    <t>N. Gas (RSV)</t>
  </si>
  <si>
    <t>Lignite/Brown Coal (STG)</t>
  </si>
  <si>
    <t>STGOILCRD</t>
  </si>
  <si>
    <t>Crude Oil (STG)</t>
  </si>
  <si>
    <t>STGGASNAT</t>
  </si>
  <si>
    <t>N. Gas (STG)</t>
  </si>
  <si>
    <t>SUPCOACCL</t>
  </si>
  <si>
    <t>Coking coal (SUP)</t>
  </si>
  <si>
    <t>SUPCOABIC</t>
  </si>
  <si>
    <t>Other bituminous coal (SUP)</t>
  </si>
  <si>
    <t>Lignite/Brown Coal  (SUP)</t>
  </si>
  <si>
    <t>SUPCOACOC</t>
  </si>
  <si>
    <t>Coke oven coke (SUP)</t>
  </si>
  <si>
    <t>SUPCOACTA</t>
  </si>
  <si>
    <t>Coal tar (SUP)</t>
  </si>
  <si>
    <t>SUPCOABKB</t>
  </si>
  <si>
    <t>BKB (brown coal briquettes) (SUP)</t>
  </si>
  <si>
    <t>SUPOILCRD</t>
  </si>
  <si>
    <t>Crude Oil (SUP)</t>
  </si>
  <si>
    <t>SUPOILNGL</t>
  </si>
  <si>
    <t>Natural gas liquids (SUP)</t>
  </si>
  <si>
    <t>SUPOILFDS</t>
  </si>
  <si>
    <t>Feedstocks (SUP)</t>
  </si>
  <si>
    <t>SUPOILRFG</t>
  </si>
  <si>
    <t>Refinery gas (SUP)</t>
  </si>
  <si>
    <t>SUPOILDSL</t>
  </si>
  <si>
    <t>Diesel (SUP)</t>
  </si>
  <si>
    <t>SUPOILGSL</t>
  </si>
  <si>
    <t>Gasoline (SUP)</t>
  </si>
  <si>
    <t>SUPOILLPG</t>
  </si>
  <si>
    <t>Liquified petroleum gas (SUP)</t>
  </si>
  <si>
    <t>SUPOILHFO1</t>
  </si>
  <si>
    <t>Low Sulphur Fuel Oil (SUP)</t>
  </si>
  <si>
    <t>SUPOILHFO2</t>
  </si>
  <si>
    <t>High Sulphur Fuel Oil (SUP)</t>
  </si>
  <si>
    <t>SUPOILKER</t>
  </si>
  <si>
    <t>Kerosene (SUP)</t>
  </si>
  <si>
    <t>SUPOILNAP</t>
  </si>
  <si>
    <t>Naphtha (SUP)</t>
  </si>
  <si>
    <t>SUPOILPCK</t>
  </si>
  <si>
    <t>Petroleum Coke (SUP)</t>
  </si>
  <si>
    <t>SUPOILOTH</t>
  </si>
  <si>
    <t>Other petroleum products (SUP)</t>
  </si>
  <si>
    <t>SUPOILOIS</t>
  </si>
  <si>
    <t>Oil Shale (SUP)</t>
  </si>
  <si>
    <t>SUPOILSHO</t>
  </si>
  <si>
    <t>Shale Oil (SUP)</t>
  </si>
  <si>
    <t>SUPGASNAT</t>
  </si>
  <si>
    <t>Natural Gas (SUP)</t>
  </si>
  <si>
    <t>SUPGASBFG</t>
  </si>
  <si>
    <t>Blast Furnace Gas (SUP)</t>
  </si>
  <si>
    <t>SUPBIOLOG</t>
  </si>
  <si>
    <t>Wood (SUP)</t>
  </si>
  <si>
    <t>SUPBIOLOGA</t>
  </si>
  <si>
    <t>Agricultural residues (SUP)</t>
  </si>
  <si>
    <t>SUPBIOLOGF</t>
  </si>
  <si>
    <t>Forrest residues (SUP)</t>
  </si>
  <si>
    <t>SUPBIOWMU</t>
  </si>
  <si>
    <t>Municipal waste (SUP)</t>
  </si>
  <si>
    <t>SUPBIOWID</t>
  </si>
  <si>
    <t>Industrial Waste (SUP)</t>
  </si>
  <si>
    <t>SUPBIOWAN</t>
  </si>
  <si>
    <t>Animal waste (SUP)</t>
  </si>
  <si>
    <t>SUPBIOWCO</t>
  </si>
  <si>
    <t>Waste cooking oils (SUP)</t>
  </si>
  <si>
    <t>SUPBIOETH</t>
  </si>
  <si>
    <t>Pure Bioethanol (SUP)</t>
  </si>
  <si>
    <t>SUPBIORME</t>
  </si>
  <si>
    <t>RME (SUP)</t>
  </si>
  <si>
    <t>SUPBIOHVO</t>
  </si>
  <si>
    <t>HVO (SUP)</t>
  </si>
  <si>
    <t>SUPBIODME</t>
  </si>
  <si>
    <t>DME (SUP)</t>
  </si>
  <si>
    <t>SUPBIODSL</t>
  </si>
  <si>
    <t>Biodiesel (SUP)</t>
  </si>
  <si>
    <t>Bioethanol (SUP)</t>
  </si>
  <si>
    <t>SUPBIOBGS</t>
  </si>
  <si>
    <t>Biogas (SUP)</t>
  </si>
  <si>
    <t>SUPBIOPLT</t>
  </si>
  <si>
    <t>Pellet (SUP)</t>
  </si>
  <si>
    <t>SUPBIOCHR</t>
  </si>
  <si>
    <t>Charcoal (SUP)</t>
  </si>
  <si>
    <t>SUPBIORPS</t>
  </si>
  <si>
    <t>Rape seed oil (SUP)</t>
  </si>
  <si>
    <t>SUPRESHYD</t>
  </si>
  <si>
    <t>Hydro Energy (SUP)</t>
  </si>
  <si>
    <t>SUPRESSOL</t>
  </si>
  <si>
    <t>Solar Energy (SUP)</t>
  </si>
  <si>
    <t>SUPRESWIN</t>
  </si>
  <si>
    <t>Wind Energy (SUP)</t>
  </si>
  <si>
    <t>SUPRESGEO</t>
  </si>
  <si>
    <t>Geothermal Energy (SUP)</t>
  </si>
  <si>
    <t>INDCOACCL</t>
  </si>
  <si>
    <t>Coking coal (IND)</t>
  </si>
  <si>
    <t>INDCOABIC</t>
  </si>
  <si>
    <t>Other bituminous coal (IND)</t>
  </si>
  <si>
    <t>Lignite/Brown Coal  (IND)</t>
  </si>
  <si>
    <t>INDCOACOC</t>
  </si>
  <si>
    <t>Coke oven coke (IND)</t>
  </si>
  <si>
    <t>INDCOACTA</t>
  </si>
  <si>
    <t>Coal tar (IND)</t>
  </si>
  <si>
    <t>INDCOABKB</t>
  </si>
  <si>
    <t>BKB (brown coal briquettes) (IND)</t>
  </si>
  <si>
    <t>INDOILRFG</t>
  </si>
  <si>
    <t>Refinery gas (IND)</t>
  </si>
  <si>
    <t>INDOILDSL</t>
  </si>
  <si>
    <t>Diesel (IND)</t>
  </si>
  <si>
    <t>INDOILGSL</t>
  </si>
  <si>
    <t>Gasoline (IND)</t>
  </si>
  <si>
    <t>INDOILLPG</t>
  </si>
  <si>
    <t>Liquified petroleum gas (IND)</t>
  </si>
  <si>
    <t>INDOILHFO1</t>
  </si>
  <si>
    <t>Low Sulphur Fuel Oil (IND)</t>
  </si>
  <si>
    <t>INDOILHFO2</t>
  </si>
  <si>
    <t>High Sulphur Fuel Oil (IND)</t>
  </si>
  <si>
    <t>INDOILKER</t>
  </si>
  <si>
    <t>Kerosene (IND)</t>
  </si>
  <si>
    <t>INDOILNAP</t>
  </si>
  <si>
    <t>Naphtha (IND)</t>
  </si>
  <si>
    <t>INDOILPCK</t>
  </si>
  <si>
    <t>Petroleum Coke (IND)</t>
  </si>
  <si>
    <t>INDOILOTH</t>
  </si>
  <si>
    <t>Other petroleum products (IND)</t>
  </si>
  <si>
    <t>INDGASNAT</t>
  </si>
  <si>
    <t>Natural Gas (IND)</t>
  </si>
  <si>
    <t>INDGASBFG</t>
  </si>
  <si>
    <t>Blast Furnace Gas (IND)</t>
  </si>
  <si>
    <t>INDBIOLOG</t>
  </si>
  <si>
    <t>Wood (IND)</t>
  </si>
  <si>
    <t>INDBIOLOGA</t>
  </si>
  <si>
    <t>Agricultural residues (IND)</t>
  </si>
  <si>
    <t>INDBIOLOGF</t>
  </si>
  <si>
    <t>Forrest residues (IND)</t>
  </si>
  <si>
    <t>INDBIOWMU</t>
  </si>
  <si>
    <t>Municipal waste (IND)</t>
  </si>
  <si>
    <t>INDBIOWID</t>
  </si>
  <si>
    <t>Industrial Waste (IND)</t>
  </si>
  <si>
    <t>INDBIOWAN</t>
  </si>
  <si>
    <t>Animal waste (IND)</t>
  </si>
  <si>
    <t>INDBIOWCO</t>
  </si>
  <si>
    <t>Waste cooking oils (IND)</t>
  </si>
  <si>
    <t>INDBIOETH</t>
  </si>
  <si>
    <t>Pure Bioethanol (IND)</t>
  </si>
  <si>
    <t>INDBIODSL</t>
  </si>
  <si>
    <t>Biodiesel (IND)</t>
  </si>
  <si>
    <t>Bioethanol (IND)</t>
  </si>
  <si>
    <t>INDBIOBGS</t>
  </si>
  <si>
    <t>Biogas (IND)</t>
  </si>
  <si>
    <t>INDBIOPLT</t>
  </si>
  <si>
    <t>Pellet (IND)</t>
  </si>
  <si>
    <t>INDBIOCHR</t>
  </si>
  <si>
    <t>Charcoal (IND)</t>
  </si>
  <si>
    <t>INDRESHYD</t>
  </si>
  <si>
    <t>Hydro Energy (IND)</t>
  </si>
  <si>
    <t>INDRESSOL</t>
  </si>
  <si>
    <t>Solar Energy (IND)</t>
  </si>
  <si>
    <t>INDRESWIN</t>
  </si>
  <si>
    <t>Wind Energy (IND)</t>
  </si>
  <si>
    <t>INDRESGEO</t>
  </si>
  <si>
    <t>Geothermal Energy (IND)</t>
  </si>
  <si>
    <t>RSDCOACCL</t>
  </si>
  <si>
    <t>Coking coal (RSD)</t>
  </si>
  <si>
    <t>RSDCOABIC</t>
  </si>
  <si>
    <t>Other bituminous coal (RSD)</t>
  </si>
  <si>
    <t>Lignite/Brown Coal  (RSD)</t>
  </si>
  <si>
    <t>RSDCOACOC</t>
  </si>
  <si>
    <t>Coke oven coke (RSD)</t>
  </si>
  <si>
    <t>RSDCOACTA</t>
  </si>
  <si>
    <t>Coal tar (RSD)</t>
  </si>
  <si>
    <t>RSDCOABKB</t>
  </si>
  <si>
    <t>BKB (brown coal briquettes) (RSD)</t>
  </si>
  <si>
    <t>RSDOILRFG</t>
  </si>
  <si>
    <t>Refinery gas (RSD)</t>
  </si>
  <si>
    <t>RSDOILDSL</t>
  </si>
  <si>
    <t>Diesel (RSD)</t>
  </si>
  <si>
    <t>RSDOILGSL</t>
  </si>
  <si>
    <t>Gasoline (RSD)</t>
  </si>
  <si>
    <t>RSDOILLPG</t>
  </si>
  <si>
    <t>Liquified petroleum gas (RSD)</t>
  </si>
  <si>
    <t>RSDOILHFO1</t>
  </si>
  <si>
    <t>Low Sulphur Fuel Oil (RSD)</t>
  </si>
  <si>
    <t>RSDOILHFO2</t>
  </si>
  <si>
    <t>High Sulphur Fuel Oil (RSD)</t>
  </si>
  <si>
    <t>RSDOILKER</t>
  </si>
  <si>
    <t>Kerosene (RSD)</t>
  </si>
  <si>
    <t>RSDOILOTH</t>
  </si>
  <si>
    <t>Other petroleum products (RSD)</t>
  </si>
  <si>
    <t>RSDGASNAT</t>
  </si>
  <si>
    <t>Natural Gas (RSD)</t>
  </si>
  <si>
    <t>RSDBIOLOG</t>
  </si>
  <si>
    <t>Wood (RSD)</t>
  </si>
  <si>
    <t>RSDBIOLOGA</t>
  </si>
  <si>
    <t>Agricultural residues (RSD)</t>
  </si>
  <si>
    <t>RSDBIOLOGF</t>
  </si>
  <si>
    <t>Forrest residues (RSD)</t>
  </si>
  <si>
    <t>RSDBIOWMU</t>
  </si>
  <si>
    <t>Municipal waste (RSD)</t>
  </si>
  <si>
    <t>RSDBIOWAN</t>
  </si>
  <si>
    <t>Animal waste (RSD)</t>
  </si>
  <si>
    <t>RSDBIOWCO</t>
  </si>
  <si>
    <t>Waste cooking oils (RSD)</t>
  </si>
  <si>
    <t>RSDBIOETH</t>
  </si>
  <si>
    <t>Pure Bioethanol (RSD)</t>
  </si>
  <si>
    <t>RSDBIODSL</t>
  </si>
  <si>
    <t>Biodiesel (RSD)</t>
  </si>
  <si>
    <t>Bioethanol (RSD)</t>
  </si>
  <si>
    <t>RSDBIOBGS</t>
  </si>
  <si>
    <t>Biogas (RSD)</t>
  </si>
  <si>
    <t>RSDBIOPLT</t>
  </si>
  <si>
    <t>Pellet (RSD)</t>
  </si>
  <si>
    <t>RSDBIOCHR</t>
  </si>
  <si>
    <t>Charcoal (RSD)</t>
  </si>
  <si>
    <t>RSDRESHYD</t>
  </si>
  <si>
    <t>Hydro Energy (RSD)</t>
  </si>
  <si>
    <t>RSDRESSOL</t>
  </si>
  <si>
    <t>Solar Energy (RSD)</t>
  </si>
  <si>
    <t>RSDRESWIN</t>
  </si>
  <si>
    <t>Wind Energy (RSD)</t>
  </si>
  <si>
    <t>RSDRESGEO</t>
  </si>
  <si>
    <t>Geothermal Energy (RSD)</t>
  </si>
  <si>
    <t>AGRCOACCL</t>
  </si>
  <si>
    <t>Coking coal (AGR)</t>
  </si>
  <si>
    <t>AGRCOABIC</t>
  </si>
  <si>
    <t>Other bituminous coal (AGR)</t>
  </si>
  <si>
    <t>Lignite/Brown Coal  (AGR)</t>
  </si>
  <si>
    <t>AGRCOACOC</t>
  </si>
  <si>
    <t>Coke oven coke (AGR)</t>
  </si>
  <si>
    <t>AGRCOACTA</t>
  </si>
  <si>
    <t>Coal tar (AGR)</t>
  </si>
  <si>
    <t>AGRCOABKB</t>
  </si>
  <si>
    <t>BKB (brown coal briquettes) (AGR)</t>
  </si>
  <si>
    <t>AGROILRFG</t>
  </si>
  <si>
    <t>Refinery gas (AGR)</t>
  </si>
  <si>
    <t>AGROILDSL</t>
  </si>
  <si>
    <t>Diesel (AGR)</t>
  </si>
  <si>
    <t>AGROILGSL</t>
  </si>
  <si>
    <t>Gasoline (AGR)</t>
  </si>
  <si>
    <t>AGROILLPG</t>
  </si>
  <si>
    <t>Liquified petroleum gas (AGR)</t>
  </si>
  <si>
    <t>AGROILHFO1</t>
  </si>
  <si>
    <t>Low Sulphur Fuel Oil (AGR)</t>
  </si>
  <si>
    <t>AGROILHFO2</t>
  </si>
  <si>
    <t>High Sulphur Fuel Oil (AGR)</t>
  </si>
  <si>
    <t>AGROILKER</t>
  </si>
  <si>
    <t>Kerosene (AGR)</t>
  </si>
  <si>
    <t>AGROILOTH</t>
  </si>
  <si>
    <t>Other petroleum products (AGR)</t>
  </si>
  <si>
    <t>AGRGASNAT</t>
  </si>
  <si>
    <t>Natural Gas (AGR)</t>
  </si>
  <si>
    <t>AGRBIOLOG</t>
  </si>
  <si>
    <t>Wood (AGR)</t>
  </si>
  <si>
    <t>AGRBIOLOGA</t>
  </si>
  <si>
    <t>Agricultural residues (AGR)</t>
  </si>
  <si>
    <t>AGRBIOLOGF</t>
  </si>
  <si>
    <t>Forrest residues (AGR)</t>
  </si>
  <si>
    <t>AGRBIOWMU</t>
  </si>
  <si>
    <t>Municipal waste (AGR)</t>
  </si>
  <si>
    <t>AGRBIOWAN</t>
  </si>
  <si>
    <t>Animal waste (AGR)</t>
  </si>
  <si>
    <t>AGRBIOWCO</t>
  </si>
  <si>
    <t>Waste cooking oils (AGR)</t>
  </si>
  <si>
    <t>AGRBIOETH</t>
  </si>
  <si>
    <t>Pure Bioethanol (AGR)</t>
  </si>
  <si>
    <t>AGRBIODSL</t>
  </si>
  <si>
    <t>Biodiesel (AGR)</t>
  </si>
  <si>
    <t>Bioethanol (AGR)</t>
  </si>
  <si>
    <t>AGRBIOBGS</t>
  </si>
  <si>
    <t>Biogas (AGR)</t>
  </si>
  <si>
    <t>AGRBIOPLT</t>
  </si>
  <si>
    <t>Pellet (AGR)</t>
  </si>
  <si>
    <t>AGRBIOCHR</t>
  </si>
  <si>
    <t>Charcoal (AGR)</t>
  </si>
  <si>
    <t>AGRRESHYD</t>
  </si>
  <si>
    <t>Hydro Energy (AGR)</t>
  </si>
  <si>
    <t>AGRRESSOL</t>
  </si>
  <si>
    <t>Solar Energy (AGR)</t>
  </si>
  <si>
    <t>AGRRESWIN</t>
  </si>
  <si>
    <t>Wind Energy (AGR)</t>
  </si>
  <si>
    <t>AGRRESGEO</t>
  </si>
  <si>
    <t>Geothermal Energy (AGR)</t>
  </si>
  <si>
    <t>TRAOILDSL</t>
  </si>
  <si>
    <t>Diesel (TRA)</t>
  </si>
  <si>
    <t>TRAOILGSL</t>
  </si>
  <si>
    <t>Gasoline (TRA)</t>
  </si>
  <si>
    <t>TRAOILGSA</t>
  </si>
  <si>
    <t>Aviation Gasoline (TRA)</t>
  </si>
  <si>
    <t>TRAOILLPG</t>
  </si>
  <si>
    <t>Liquified petroleum gas (TRA)</t>
  </si>
  <si>
    <t>TRAOILHFO1</t>
  </si>
  <si>
    <t>Low Sulphur Fuel Oil (TRA)</t>
  </si>
  <si>
    <t>TRAOILHFO2</t>
  </si>
  <si>
    <t>High Sulphur Fuel Oil (TRA)</t>
  </si>
  <si>
    <t>TRAOILKER</t>
  </si>
  <si>
    <t>Kerosene (TRA)</t>
  </si>
  <si>
    <t>TRAOILNAP</t>
  </si>
  <si>
    <t>Naphtha (TRA)</t>
  </si>
  <si>
    <t>TRAOILOTH</t>
  </si>
  <si>
    <t>Other petroleum products (TRA)</t>
  </si>
  <si>
    <t>TRAGASNAT</t>
  </si>
  <si>
    <t>Natural Gas (TRA)</t>
  </si>
  <si>
    <t>TRABIOETH</t>
  </si>
  <si>
    <t>Pure Bioethanol (TRA)</t>
  </si>
  <si>
    <t>TRABIODSL</t>
  </si>
  <si>
    <t>Biodiesel (TRA)</t>
  </si>
  <si>
    <t>Bioethanol (TRA)</t>
  </si>
  <si>
    <t>TRABIOBGS</t>
  </si>
  <si>
    <t>Biogas (TRA)</t>
  </si>
  <si>
    <t>ELECOACCL</t>
  </si>
  <si>
    <t>Coking coal (ELE)</t>
  </si>
  <si>
    <t>ELECOABIC</t>
  </si>
  <si>
    <t>Other bituminous coal (ELE)</t>
  </si>
  <si>
    <t>Lignite/Brown Coal  (ELE)</t>
  </si>
  <si>
    <t>ELECOACOC</t>
  </si>
  <si>
    <t>Coke oven coke (ELE)</t>
  </si>
  <si>
    <t>ELECOACTA</t>
  </si>
  <si>
    <t>Coal tar (ELE)</t>
  </si>
  <si>
    <t>ELECOABKB</t>
  </si>
  <si>
    <t>BKB (brown coal briquettes) (ELE)</t>
  </si>
  <si>
    <t>ELEOILRFG</t>
  </si>
  <si>
    <t>Refinery gas (ELE)</t>
  </si>
  <si>
    <t>ELEOILDSL</t>
  </si>
  <si>
    <t>Diesel (ELE)</t>
  </si>
  <si>
    <t>ELEOILGSL</t>
  </si>
  <si>
    <t>Gasoline (ELE)</t>
  </si>
  <si>
    <t>ELEOILLPG</t>
  </si>
  <si>
    <t>Liquified petroleum gas (ELE)</t>
  </si>
  <si>
    <t>ELEOILHFO1</t>
  </si>
  <si>
    <t>Low Sulphur Fuel Oil (ELE)</t>
  </si>
  <si>
    <t>ELEOILHFO2</t>
  </si>
  <si>
    <t>High Sulphur Fuel Oil (ELE)</t>
  </si>
  <si>
    <t>ELEOILKER</t>
  </si>
  <si>
    <t>Kerosene (ELE)</t>
  </si>
  <si>
    <t>ELEOILNAP</t>
  </si>
  <si>
    <t>Naphtha (ELE)</t>
  </si>
  <si>
    <t>ELEOILPCK</t>
  </si>
  <si>
    <t>Petroleum Coke (ELE)</t>
  </si>
  <si>
    <t>ELEOILOTH</t>
  </si>
  <si>
    <t>Other petroleum products (ELE)</t>
  </si>
  <si>
    <t>ELEOILSHO</t>
  </si>
  <si>
    <t>Shale Oil (ELE)</t>
  </si>
  <si>
    <t>ELEGASNAT</t>
  </si>
  <si>
    <t>Natural Gas (ELE)</t>
  </si>
  <si>
    <t>ELEGASBFG</t>
  </si>
  <si>
    <t>Blast Furnace Gas (ELE)</t>
  </si>
  <si>
    <t>ELEBIOLOG</t>
  </si>
  <si>
    <t>Wood (ELE)</t>
  </si>
  <si>
    <t>ELEBIOLOGA</t>
  </si>
  <si>
    <t>Agricultural residues (ELE)</t>
  </si>
  <si>
    <t>ELEBIOLOGF</t>
  </si>
  <si>
    <t>Forrest residues (ELE)</t>
  </si>
  <si>
    <t>ELEBIOWMU</t>
  </si>
  <si>
    <t>Municipal waste (ELE)</t>
  </si>
  <si>
    <t>ELEBIOWID</t>
  </si>
  <si>
    <t>Industrial Waste (ELE)</t>
  </si>
  <si>
    <t>ELEBIOWAN</t>
  </si>
  <si>
    <t>Animal waste (ELE)</t>
  </si>
  <si>
    <t>ELEBIOWCO</t>
  </si>
  <si>
    <t>Waste cooking oils (ELE)</t>
  </si>
  <si>
    <t>ELEBIOETH</t>
  </si>
  <si>
    <t>Pure Bioethanol (ELE)</t>
  </si>
  <si>
    <t>ELEBIODSL</t>
  </si>
  <si>
    <t>Biodiesel (ELE)</t>
  </si>
  <si>
    <t>Bioethanol (ELE)</t>
  </si>
  <si>
    <t>ELEBIOBGS</t>
  </si>
  <si>
    <t>Biogas (ELE)</t>
  </si>
  <si>
    <t>ELEBIOPLT</t>
  </si>
  <si>
    <t>Pellet (ELE)</t>
  </si>
  <si>
    <t>ELERESHYD</t>
  </si>
  <si>
    <t>Hydro Energy (ELE)</t>
  </si>
  <si>
    <t>ELERESSOL</t>
  </si>
  <si>
    <t>Solar Energy (ELE)</t>
  </si>
  <si>
    <t>ELERESWIN</t>
  </si>
  <si>
    <t>Wind Energy (ELE)</t>
  </si>
  <si>
    <t>ELERESGEO</t>
  </si>
  <si>
    <t>Geothermal Energy (ELE)</t>
  </si>
  <si>
    <t>ELENUCLFL</t>
  </si>
  <si>
    <t>Nuclear Fuel (ELE)</t>
  </si>
  <si>
    <t>HETCOACCL</t>
  </si>
  <si>
    <t>Coking coal (HET)</t>
  </si>
  <si>
    <t>HETCOABIC</t>
  </si>
  <si>
    <t>Other bituminous coal (HET)</t>
  </si>
  <si>
    <t>Lignite/Brown Coal  (HET)</t>
  </si>
  <si>
    <t>HETCOACOC</t>
  </si>
  <si>
    <t>Coke oven coke (HET)</t>
  </si>
  <si>
    <t>HETCOACTA</t>
  </si>
  <si>
    <t>Coal tar (HET)</t>
  </si>
  <si>
    <t>HETCOABKB</t>
  </si>
  <si>
    <t>BKB (brown coal briquettes) (HET)</t>
  </si>
  <si>
    <t>HETOILRFG</t>
  </si>
  <si>
    <t>Refinery gas (HET)</t>
  </si>
  <si>
    <t>HETOILDSL</t>
  </si>
  <si>
    <t>Diesel (HET)</t>
  </si>
  <si>
    <t>HETOILGSL</t>
  </si>
  <si>
    <t>Gasoline (HET)</t>
  </si>
  <si>
    <t>HETOILLPG</t>
  </si>
  <si>
    <t>Liquified petroleum gas (HET)</t>
  </si>
  <si>
    <t>HETOILHFO1</t>
  </si>
  <si>
    <t>Low Sulphur Fuel Oil (HET)</t>
  </si>
  <si>
    <t>HETOILHFO2</t>
  </si>
  <si>
    <t>High Sulphur Fuel Oil (HET)</t>
  </si>
  <si>
    <t>HETOILKER</t>
  </si>
  <si>
    <t>Kerosene (HET)</t>
  </si>
  <si>
    <t>HETOILNAP</t>
  </si>
  <si>
    <t>Naphtha (HET)</t>
  </si>
  <si>
    <t>HETOILPCK</t>
  </si>
  <si>
    <t>Petroleum Coke (HET)</t>
  </si>
  <si>
    <t>HETOILOTH</t>
  </si>
  <si>
    <t>Other petroleum products (HET)</t>
  </si>
  <si>
    <t>HETOILSHO</t>
  </si>
  <si>
    <t>Shale Oil (HET)</t>
  </si>
  <si>
    <t>HETGASNAT</t>
  </si>
  <si>
    <t>Natural Gas (HET)</t>
  </si>
  <si>
    <t>HETGASBFG</t>
  </si>
  <si>
    <t>Blast Furnace Gas (HET)</t>
  </si>
  <si>
    <t>HETBIOLOG</t>
  </si>
  <si>
    <t>Wood (HET)</t>
  </si>
  <si>
    <t>HETBIOLOGA</t>
  </si>
  <si>
    <t>Agricultural residues (HET)</t>
  </si>
  <si>
    <t>HETBIOLOGF</t>
  </si>
  <si>
    <t>Forrest residues (HET)</t>
  </si>
  <si>
    <t>HETBIOWMU</t>
  </si>
  <si>
    <t>Municipal waste (HET)</t>
  </si>
  <si>
    <t>HETBIOWID</t>
  </si>
  <si>
    <t>Industrial Waste (HET)</t>
  </si>
  <si>
    <t>HETBIOWAN</t>
  </si>
  <si>
    <t>Animal waste (HET)</t>
  </si>
  <si>
    <t>HETBIOWCO</t>
  </si>
  <si>
    <t>Waste cooking oils (HET)</t>
  </si>
  <si>
    <t>HETBIOETH</t>
  </si>
  <si>
    <t>Pure Bioethanol (HET)</t>
  </si>
  <si>
    <t>HETBIODSL</t>
  </si>
  <si>
    <t>Biodiesel (HET)</t>
  </si>
  <si>
    <t>Bioethanol (HET)</t>
  </si>
  <si>
    <t>HETBIOBGS</t>
  </si>
  <si>
    <t>Biogas (HET)</t>
  </si>
  <si>
    <t>HETBIOPLT</t>
  </si>
  <si>
    <t>Pellet (HET)</t>
  </si>
  <si>
    <t>HETBIOCHR</t>
  </si>
  <si>
    <t>Charcoal (HET)</t>
  </si>
  <si>
    <t>HETRESHYD</t>
  </si>
  <si>
    <t>Hydro Energy (HET)</t>
  </si>
  <si>
    <t>HETRESSOL</t>
  </si>
  <si>
    <t>Solar Energy (HET)</t>
  </si>
  <si>
    <t>HETRESGEO</t>
  </si>
  <si>
    <t>Geothermal Energy (HET)</t>
  </si>
  <si>
    <t>ELCHIG</t>
  </si>
  <si>
    <t>High Voltage electricity after losses</t>
  </si>
  <si>
    <t>ELCHIGG</t>
  </si>
  <si>
    <t>High Voltage electricity before Losses</t>
  </si>
  <si>
    <t>ELCMED</t>
  </si>
  <si>
    <t>Medium Voltage electricity</t>
  </si>
  <si>
    <t>ELCLOW</t>
  </si>
  <si>
    <t>Low Voltage electricity</t>
  </si>
  <si>
    <t>SUPELC</t>
  </si>
  <si>
    <t>Electricity (SUP)</t>
  </si>
  <si>
    <t>INDELC</t>
  </si>
  <si>
    <t>Electricity (IND)</t>
  </si>
  <si>
    <t>RSDELC</t>
  </si>
  <si>
    <t>Electricity (RSD)</t>
  </si>
  <si>
    <t>AGRELC</t>
  </si>
  <si>
    <t>Electricity (AGR)</t>
  </si>
  <si>
    <t>TRAELC</t>
  </si>
  <si>
    <t>Electricity (TRA)</t>
  </si>
  <si>
    <t>HETELC</t>
  </si>
  <si>
    <t>Electricity (HET)</t>
  </si>
  <si>
    <t>ELCMLO</t>
  </si>
  <si>
    <t>Medium-Low Voltage electricity</t>
  </si>
  <si>
    <t>Default Units</t>
  </si>
  <si>
    <t>BASE_YEAR</t>
  </si>
  <si>
    <t>Energy</t>
  </si>
  <si>
    <t>END_YEAR</t>
  </si>
  <si>
    <t>Currency Unit</t>
  </si>
  <si>
    <t>Emissions</t>
  </si>
  <si>
    <t>Gg</t>
  </si>
  <si>
    <t>Capacity</t>
  </si>
  <si>
    <t>GW</t>
  </si>
  <si>
    <t>Units by Attribute and Sector</t>
  </si>
  <si>
    <t>Attribute</t>
  </si>
  <si>
    <t>Meaning</t>
  </si>
  <si>
    <t>Sector</t>
  </si>
  <si>
    <t>Units</t>
  </si>
  <si>
    <t>Equivalent</t>
  </si>
  <si>
    <t>COMEMI</t>
  </si>
  <si>
    <t>Emission Coefficient</t>
  </si>
  <si>
    <t>All</t>
  </si>
  <si>
    <t>kg/GJ</t>
  </si>
  <si>
    <t>Extraction cost/Import Cost/Export cost</t>
  </si>
  <si>
    <t>Mining</t>
  </si>
  <si>
    <t>Annual Bound</t>
  </si>
  <si>
    <t>Capacity to Activity</t>
  </si>
  <si>
    <t>GJ/kW</t>
  </si>
  <si>
    <t>Existing Capacity</t>
  </si>
  <si>
    <t>Energy/Unit - delivered/year</t>
  </si>
  <si>
    <t>Technical Lifetime</t>
  </si>
  <si>
    <t>Generic processes</t>
  </si>
  <si>
    <t>Commercial</t>
  </si>
  <si>
    <t>000m2</t>
  </si>
  <si>
    <t>Capacity unit</t>
  </si>
  <si>
    <t>Public Lighting</t>
  </si>
  <si>
    <t>000lamps</t>
  </si>
  <si>
    <t>* Commodities defined in the BY templates</t>
  </si>
  <si>
    <t>* Definition of the Processes used in this worksheet</t>
  </si>
  <si>
    <t>New Buildings</t>
  </si>
  <si>
    <t>Processes</t>
  </si>
  <si>
    <t>N</t>
  </si>
  <si>
    <t>*TechDesc</t>
  </si>
  <si>
    <t>* Technology Name</t>
  </si>
  <si>
    <t>*Process Set Membership</t>
  </si>
  <si>
    <t>TimeSlice level of Process Activity</t>
  </si>
  <si>
    <t>Primary Commodity Group</t>
  </si>
  <si>
    <t>*Units</t>
  </si>
  <si>
    <t>DMD</t>
  </si>
  <si>
    <t>Types of buildings</t>
  </si>
  <si>
    <t>Code name in the model</t>
  </si>
  <si>
    <t>Tertiary Sector Buildings</t>
  </si>
  <si>
    <t>New Technologies for Space Heating (with dual output for Space Cooling and Water heating).</t>
  </si>
  <si>
    <t>YEAR</t>
  </si>
  <si>
    <t>Source</t>
  </si>
  <si>
    <t>Efficiency for Space Heating'</t>
  </si>
  <si>
    <t>Efficiency for Hot water</t>
  </si>
  <si>
    <t>Efficiency for Cooling</t>
  </si>
  <si>
    <t>Utilisation Factor</t>
  </si>
  <si>
    <t>Geothermal Heat Share</t>
  </si>
  <si>
    <t>Max Share of How water output</t>
  </si>
  <si>
    <t>Investment Cost</t>
  </si>
  <si>
    <t>Capacity to Activity Factor</t>
  </si>
  <si>
    <t>[0 - 1]</t>
  </si>
  <si>
    <t>PRE</t>
  </si>
  <si>
    <t>*</t>
  </si>
  <si>
    <t>New Technologies for Space Cooling only</t>
  </si>
  <si>
    <t>Efficiency</t>
  </si>
  <si>
    <t>New Technologies for Hot Water only</t>
  </si>
  <si>
    <t>Solar Fraction</t>
  </si>
  <si>
    <t>New Technologies for Cooking</t>
  </si>
  <si>
    <t>INPUT</t>
  </si>
  <si>
    <t>Fuel Input per unit output</t>
  </si>
  <si>
    <t>New Technologies for Refrigerating</t>
  </si>
  <si>
    <t>New Technologies for Lighting</t>
  </si>
  <si>
    <t>New Technologies for Other Appliances</t>
  </si>
  <si>
    <t>New Technologies for Street Lighting</t>
  </si>
  <si>
    <t>INCOST</t>
  </si>
  <si>
    <t>Appliances</t>
  </si>
  <si>
    <t>Building Retrofit Options</t>
  </si>
  <si>
    <t>Process Definition and Structure for Retrofits</t>
  </si>
  <si>
    <t>~FI_Comm</t>
  </si>
  <si>
    <t>\I: Commodity Set Membership</t>
  </si>
  <si>
    <t>Balance Equ Type Override</t>
  </si>
  <si>
    <t>Timeslice Tracking Level</t>
  </si>
  <si>
    <t>IMP</t>
  </si>
  <si>
    <t>*Technology Name</t>
  </si>
  <si>
    <t>*Units:</t>
  </si>
  <si>
    <t>Tertiary Buldings</t>
  </si>
  <si>
    <t>PJ/000m2</t>
  </si>
  <si>
    <t>TJ/m2</t>
  </si>
  <si>
    <t xml:space="preserve">* This tab contains information for efficiencies and cost of equipement. </t>
  </si>
  <si>
    <t>Space Heating</t>
  </si>
  <si>
    <t>TABLE FOR MAPPING WITH DATA</t>
  </si>
  <si>
    <t>Technology</t>
  </si>
  <si>
    <t>Efficiencyfor SH</t>
  </si>
  <si>
    <t>Efficiency for WH</t>
  </si>
  <si>
    <t>Effiency for ACO</t>
  </si>
  <si>
    <t>Electrical Efficiency</t>
  </si>
  <si>
    <t>Efficiency Improvement</t>
  </si>
  <si>
    <t>Cost Improvement</t>
  </si>
  <si>
    <t>NOTES</t>
  </si>
  <si>
    <t>DSL_N_ST01</t>
  </si>
  <si>
    <t>HOB-oil</t>
  </si>
  <si>
    <t>GAS_N_ST01</t>
  </si>
  <si>
    <t>HOB-gas</t>
  </si>
  <si>
    <t>LOG_N_ST01</t>
  </si>
  <si>
    <t>HOB-biomass</t>
  </si>
  <si>
    <t>PLT_N_ST01</t>
  </si>
  <si>
    <t>HOB-wood</t>
  </si>
  <si>
    <t>ELC_N_ST02</t>
  </si>
  <si>
    <t>GEO_N_ST01</t>
  </si>
  <si>
    <t>HP-e-ground</t>
  </si>
  <si>
    <t>DSL_N_ST03</t>
  </si>
  <si>
    <t xml:space="preserve"> CHP-eng-diesel</t>
  </si>
  <si>
    <t>ELC_N_ST01</t>
  </si>
  <si>
    <t xml:space="preserve"> Electrical</t>
  </si>
  <si>
    <t>BKB_N_ST</t>
  </si>
  <si>
    <t xml:space="preserve"> BKB Burner</t>
  </si>
  <si>
    <t>LTH_N_ST01</t>
  </si>
  <si>
    <t>District heating substations</t>
  </si>
  <si>
    <t>ELC_N_ST03</t>
  </si>
  <si>
    <t>Central VC Chiller</t>
  </si>
  <si>
    <t>ELC_N_AD01</t>
  </si>
  <si>
    <t>split AC</t>
  </si>
  <si>
    <t>ELC_N_ST</t>
  </si>
  <si>
    <t>Electric Water Heater</t>
  </si>
  <si>
    <t>SOL_N_IM01</t>
  </si>
  <si>
    <t>LOG_N_ST</t>
  </si>
  <si>
    <t>Cooker (biomass)</t>
  </si>
  <si>
    <t>GAS_N_ST</t>
  </si>
  <si>
    <t>Cooker (natural gas)</t>
  </si>
  <si>
    <t>LPG_N_ST</t>
  </si>
  <si>
    <t>Cooker (LPG)</t>
  </si>
  <si>
    <t>Cooker (electricity)</t>
  </si>
  <si>
    <t>LI_N01</t>
  </si>
  <si>
    <t>LI_N02</t>
  </si>
  <si>
    <t>LI_N03</t>
  </si>
  <si>
    <t>LI_N04</t>
  </si>
  <si>
    <t>Cooling</t>
  </si>
  <si>
    <t>Water Heating</t>
  </si>
  <si>
    <t>Cooking</t>
  </si>
  <si>
    <t>INVCOST (EUR/unit)</t>
  </si>
  <si>
    <t xml:space="preserve">FIXOM </t>
  </si>
  <si>
    <t>Lighting</t>
  </si>
  <si>
    <t>Refrigeration</t>
  </si>
  <si>
    <t>Other Appliances</t>
  </si>
  <si>
    <t>000s_Units</t>
  </si>
  <si>
    <t>Retail Lighting</t>
  </si>
  <si>
    <t>COST PER LAMP  (EUR/unit)</t>
  </si>
  <si>
    <t>NUMBER OF LAMPS PER YEAR</t>
  </si>
  <si>
    <t>Dummy Control of Total Retrofits</t>
  </si>
  <si>
    <t>NRGI</t>
  </si>
  <si>
    <t>HP-e-air-to-water</t>
  </si>
  <si>
    <t>Solar thermal</t>
  </si>
  <si>
    <t>SEASON</t>
  </si>
  <si>
    <t>Commercial and Public Lighting</t>
  </si>
  <si>
    <t>Commercial and Public Refrigerating</t>
  </si>
  <si>
    <t>Commercial and Public Other Electric</t>
  </si>
  <si>
    <t>Communal Services Lighting</t>
  </si>
  <si>
    <t>Communal Services Refrigerating</t>
  </si>
  <si>
    <t>Communal Services Other Electric</t>
  </si>
  <si>
    <t>PLT_N_IM01</t>
  </si>
  <si>
    <t>GAS_N_ST02</t>
  </si>
  <si>
    <t>GAS_N_AD01</t>
  </si>
  <si>
    <t>GAS_N_AD02</t>
  </si>
  <si>
    <t>LTH_N_IM01</t>
  </si>
  <si>
    <t>LTH_N_AD01</t>
  </si>
  <si>
    <t>ELC_N_IM01</t>
  </si>
  <si>
    <t>ELC_N_IM02</t>
  </si>
  <si>
    <t>ELC_N_AD02</t>
  </si>
  <si>
    <t xml:space="preserve"> </t>
  </si>
  <si>
    <t>GEO_N_ST02</t>
  </si>
  <si>
    <t>GEO_N_IM01</t>
  </si>
  <si>
    <t>GEO_N_IM02</t>
  </si>
  <si>
    <t>DSL_N_ST02</t>
  </si>
  <si>
    <t>DSL_N_IM01</t>
  </si>
  <si>
    <t>DSL_N_IM02</t>
  </si>
  <si>
    <t/>
  </si>
  <si>
    <t>ELC_N_IM</t>
  </si>
  <si>
    <t>GAS_N_IM</t>
  </si>
  <si>
    <t>GAS_N_AD</t>
  </si>
  <si>
    <t>LTH_N_IM</t>
  </si>
  <si>
    <t>SOL_N_IM02</t>
  </si>
  <si>
    <t>LOG_N_IM</t>
  </si>
  <si>
    <t>LOG_N_AD</t>
  </si>
  <si>
    <t>LPG_N_IM</t>
  </si>
  <si>
    <t>LPG_N_AD</t>
  </si>
  <si>
    <t>ELC_N_AD</t>
  </si>
  <si>
    <t>RF_N_ST</t>
  </si>
  <si>
    <t>RF_N_IM</t>
  </si>
  <si>
    <t>RF_N_AD</t>
  </si>
  <si>
    <t>AP_N_ST</t>
  </si>
  <si>
    <t>AP_N_IM</t>
  </si>
  <si>
    <t>AP_N_AD</t>
  </si>
  <si>
    <t>Commercial and Public Cook Wood Standard (N)</t>
  </si>
  <si>
    <t>Street Lights High Pressure Sodium (N)</t>
  </si>
  <si>
    <t>Street Lights Low Pressure Sodium  (N)</t>
  </si>
  <si>
    <t>Street Lights CFL (N)</t>
  </si>
  <si>
    <t>Street Lights LED (N)</t>
  </si>
  <si>
    <t>Communal Services Dummy to control Insulation Standard</t>
  </si>
  <si>
    <t>Communal Services Dummy to control Windows Repl. Standard</t>
  </si>
  <si>
    <t>Communal Services Dummy to control Insulation&amp;Windows Standard</t>
  </si>
  <si>
    <t>Communal Services Dummy to control Insulation  Advanced</t>
  </si>
  <si>
    <t>Communal Services Dummy to control Windows Repl.  Advanced</t>
  </si>
  <si>
    <t>Communal Services Dummy to control Insulation&amp;Windows  Advanced</t>
  </si>
  <si>
    <t>M$</t>
  </si>
  <si>
    <t>$/GJ</t>
  </si>
  <si>
    <t>$/GJ/a</t>
  </si>
  <si>
    <t>$/kW</t>
  </si>
  <si>
    <t>000$/unit</t>
  </si>
  <si>
    <t>000$/m2</t>
  </si>
  <si>
    <t>COASUB</t>
  </si>
  <si>
    <t>Sub-bituminous</t>
  </si>
  <si>
    <t>COABCO</t>
  </si>
  <si>
    <t>RSVCOASUB</t>
  </si>
  <si>
    <t>Sub-bituminous (RSV)</t>
  </si>
  <si>
    <t>RSVCOABCO</t>
  </si>
  <si>
    <t>STGCOABCO</t>
  </si>
  <si>
    <t>SUPCOASUB</t>
  </si>
  <si>
    <t>Sub-bituminous (SUP)</t>
  </si>
  <si>
    <t>SUPCOABCO</t>
  </si>
  <si>
    <t>INDCOASUB</t>
  </si>
  <si>
    <t>Sub-bituminous (IND)</t>
  </si>
  <si>
    <t>INDCOABCO</t>
  </si>
  <si>
    <t>RSDCOASUB</t>
  </si>
  <si>
    <t>Sub-bituminous (RSD)</t>
  </si>
  <si>
    <t>RSDCOABCO</t>
  </si>
  <si>
    <t>AGRCOASUB</t>
  </si>
  <si>
    <t>Sub-bituminous (AGR)</t>
  </si>
  <si>
    <t>AGRCOABCO</t>
  </si>
  <si>
    <t>ELECOASUB</t>
  </si>
  <si>
    <t>Sub-bituminous (ELE)</t>
  </si>
  <si>
    <t>ELECOABCO</t>
  </si>
  <si>
    <t>HETCOASUB</t>
  </si>
  <si>
    <t>Sub-bituminous (HET)</t>
  </si>
  <si>
    <t>HETCOABCO</t>
  </si>
  <si>
    <t xml:space="preserve">Heat </t>
  </si>
  <si>
    <t>HETHTH</t>
  </si>
  <si>
    <t>SUPLTH</t>
  </si>
  <si>
    <t>Supply Heat (SUP)</t>
  </si>
  <si>
    <t>Commercial and Public Space Heating</t>
  </si>
  <si>
    <t>Communal Services Space Heating</t>
  </si>
  <si>
    <t>Commercial and Public Water Heating</t>
  </si>
  <si>
    <t>Communal Services Water Heating</t>
  </si>
  <si>
    <t>Commercial and Public Space Cooling</t>
  </si>
  <si>
    <t>Communal Services Space Cooling</t>
  </si>
  <si>
    <t>Commercial and Public Cooking</t>
  </si>
  <si>
    <t>Communal Services Cooking</t>
  </si>
  <si>
    <t>Building stock Private</t>
  </si>
  <si>
    <t>Building stock Public</t>
  </si>
  <si>
    <t>NEW Building stock Private</t>
  </si>
  <si>
    <t>NEW Building stock Public</t>
  </si>
  <si>
    <t>TP</t>
  </si>
  <si>
    <t>TS</t>
  </si>
  <si>
    <t>TERELC</t>
  </si>
  <si>
    <t>Electricity (TER)</t>
  </si>
  <si>
    <t>TERCOASUB</t>
  </si>
  <si>
    <t>Sub-bituminous (TER)</t>
  </si>
  <si>
    <t>TERCOACCL</t>
  </si>
  <si>
    <t>Coking coal (TER)</t>
  </si>
  <si>
    <t>TERCOABIC</t>
  </si>
  <si>
    <t>Other bituminous coal (TER)</t>
  </si>
  <si>
    <t>TERCOABCO</t>
  </si>
  <si>
    <t>Lignite/Brown Coal  (TER)</t>
  </si>
  <si>
    <t>TERCOACOC</t>
  </si>
  <si>
    <t>Coke oven coke (TER)</t>
  </si>
  <si>
    <t>TERCOACTA</t>
  </si>
  <si>
    <t>Coal tar (TER)</t>
  </si>
  <si>
    <t>TERCOABKB</t>
  </si>
  <si>
    <t>BKB (brown coal briquettes) (TER)</t>
  </si>
  <si>
    <t>TEROILRFG</t>
  </si>
  <si>
    <t>Refinery gas (TER)</t>
  </si>
  <si>
    <t>TEROILDSL</t>
  </si>
  <si>
    <t>Diesel (TER)</t>
  </si>
  <si>
    <t>TEROILGSL</t>
  </si>
  <si>
    <t>Gasoline (TER)</t>
  </si>
  <si>
    <t>TEROILLPG</t>
  </si>
  <si>
    <t>Liquified petroleum gas (TER)</t>
  </si>
  <si>
    <t>TEROILHFO1</t>
  </si>
  <si>
    <t>Low Sulphur Fuel Oil (TER)</t>
  </si>
  <si>
    <t>TEROILHFO2</t>
  </si>
  <si>
    <t>High Sulphur Fuel Oil (TER)</t>
  </si>
  <si>
    <t>TEROILKER</t>
  </si>
  <si>
    <t>Kerosene (TER)</t>
  </si>
  <si>
    <t>TEROILOTH</t>
  </si>
  <si>
    <t>Other petroleum products (TER)</t>
  </si>
  <si>
    <t>TERGASNAT</t>
  </si>
  <si>
    <t>Natural Gas (TER)</t>
  </si>
  <si>
    <t>TERBIOLOG</t>
  </si>
  <si>
    <t>Wood (TER)</t>
  </si>
  <si>
    <t>TERBIOLOGA</t>
  </si>
  <si>
    <t>Agricultural residues (TER)</t>
  </si>
  <si>
    <t>TERBIOLOGF</t>
  </si>
  <si>
    <t>Forrest residues (TER)</t>
  </si>
  <si>
    <t>TERBIOWMU</t>
  </si>
  <si>
    <t>Municipal waste (TER)</t>
  </si>
  <si>
    <t>TERBIOWAN</t>
  </si>
  <si>
    <t>Animal waste (TER)</t>
  </si>
  <si>
    <t>TERBIOWCO</t>
  </si>
  <si>
    <t>Waste cooking oils (TER)</t>
  </si>
  <si>
    <t>TERBIOETH</t>
  </si>
  <si>
    <t>Pure Bioethanol (TER)</t>
  </si>
  <si>
    <t>TERBIODSL</t>
  </si>
  <si>
    <t>Biodiesel (TER)</t>
  </si>
  <si>
    <t>Bioethanol (TER)</t>
  </si>
  <si>
    <t>TERBIOBGS</t>
  </si>
  <si>
    <t>Biogas (TER)</t>
  </si>
  <si>
    <t>TERBIOPLT</t>
  </si>
  <si>
    <t>Pellet (TER)</t>
  </si>
  <si>
    <t>TERBIOCHR</t>
  </si>
  <si>
    <t>Charcoal (TER)</t>
  </si>
  <si>
    <t>TERRESHYD</t>
  </si>
  <si>
    <t>Hydro Energy (TER)</t>
  </si>
  <si>
    <t>TERRESSOL</t>
  </si>
  <si>
    <t>Solar Energy (TER)</t>
  </si>
  <si>
    <t>TERRESWIN</t>
  </si>
  <si>
    <t>Wind Energy (TER)</t>
  </si>
  <si>
    <t>TERRESGEO</t>
  </si>
  <si>
    <t>Geothermal Energy (TER)</t>
  </si>
  <si>
    <t>TERCO2</t>
  </si>
  <si>
    <t>CO2 (TER)</t>
  </si>
  <si>
    <t>TERCH4</t>
  </si>
  <si>
    <t>CH4 (TER)</t>
  </si>
  <si>
    <t>TERN2O</t>
  </si>
  <si>
    <t>N2O (TER)</t>
  </si>
  <si>
    <t>TER_TP</t>
  </si>
  <si>
    <t>Private (Commercial)</t>
  </si>
  <si>
    <t>TER_TS</t>
  </si>
  <si>
    <t>Services (Public)</t>
  </si>
  <si>
    <t>TER_SL</t>
  </si>
  <si>
    <t>Private (Commercial) SpHeat BKB Boiler Standard (N)</t>
  </si>
  <si>
    <t>Private (Commercial) SpHeat Wood Boiler Standard (N)</t>
  </si>
  <si>
    <t>Private (Commercial) SpHeat Pellet Boiler Standard (N)</t>
  </si>
  <si>
    <t>Private (Commercial) SpHeat Pellet Boiler Improved (N)</t>
  </si>
  <si>
    <t>Private (Commercial) SpHeat Gas Boiler Condensing (N)</t>
  </si>
  <si>
    <t>Private (Commercial) Combi Gas Boiler Condensing (N)</t>
  </si>
  <si>
    <t>Private (Commercial) SpHeat Gas Boiler Condensing Advanced (N)</t>
  </si>
  <si>
    <t>Private (Commercial) Combi Gas Boiler Condensing Advanced (N)</t>
  </si>
  <si>
    <t>Private (Commercial) SpHeat Dist. Heat Standard (N)</t>
  </si>
  <si>
    <t>Private (Commercial) SpHeat Dist. Heat Improved (N)</t>
  </si>
  <si>
    <t>Private (Commercial) SpHeat Dist. Heat Advanced (N)</t>
  </si>
  <si>
    <t>Private (Commercial) SpHeat Electric Heater Standard (N)</t>
  </si>
  <si>
    <t>Private (Commercial) SpHeat ASHP Standard (N)</t>
  </si>
  <si>
    <t>Private (Commercial) SpHeat &amp; SpCooling ASHP Standard (N)</t>
  </si>
  <si>
    <t>Private (Commercial) SpHeat ASHP Improved (N)</t>
  </si>
  <si>
    <t>Private (Commercial) SpHeat &amp; SpCooling  ASHP Improved (N)</t>
  </si>
  <si>
    <t>Private (Commercial) SpHeat ASHP Advanced (N)</t>
  </si>
  <si>
    <t>Private (Commercial) SpHeat &amp; SpCooling ASHP Advanced (N)</t>
  </si>
  <si>
    <t>Private (Commercial) SpHeat GSHP Standard (N)</t>
  </si>
  <si>
    <t>Private (Commercial) SpHeat &amp; SpCooling GSHP Standard (N)</t>
  </si>
  <si>
    <t>Private (Commercial) SpHeat GSHP Improved (N)</t>
  </si>
  <si>
    <t>Private (Commercial) SpHeat &amp; SpCooling GSHP Improved (N)</t>
  </si>
  <si>
    <t>Private (Commercial) SpHeat Diesel (Oil) Boiler Standard (N)</t>
  </si>
  <si>
    <t>Private (Commercial) SpHeat Combi Diesel (Oil) Boiler Standard (N)</t>
  </si>
  <si>
    <t>Private (Commercial) SpHeat Diesel (Oil)  Boiler Improved (N)</t>
  </si>
  <si>
    <t>Private (Commercial) SpHeat Combi Diesel (Oil) Boiler Improved (N)</t>
  </si>
  <si>
    <t>Services (Public) SpHeat BKB Boiler Standard (N)</t>
  </si>
  <si>
    <t>Services (Public) SpHeat Wood Boiler Standard (N)</t>
  </si>
  <si>
    <t>Services (Public) SpHeat Pellet Boiler Standard (N)</t>
  </si>
  <si>
    <t>Services (Public) SpHeat Pellet Boiler Improved (N)</t>
  </si>
  <si>
    <t>Services (Public) SpHeat Gas Boiler Condensing (N)</t>
  </si>
  <si>
    <t>Services (Public) Combi Gas Boiler Condensing (N)</t>
  </si>
  <si>
    <t>Services (Public) SpHeat Gas Boiler Condensing Improved (N)</t>
  </si>
  <si>
    <t>Services (Public) Combi Gas Boiler Condensing Improved (N)</t>
  </si>
  <si>
    <t>Services (Public) SpHeat Dist. Heat Standard (N)</t>
  </si>
  <si>
    <t>Services (Public) SpHeat Dist. Heat Improved (N)</t>
  </si>
  <si>
    <t>Services (Public) SpHeat Dist. Heat Advanced (N)</t>
  </si>
  <si>
    <t>Services (Public) SpHeat Electric Heater Standard (N)</t>
  </si>
  <si>
    <t>Services (Public) SpHeat ASHP Standard (N)</t>
  </si>
  <si>
    <t>Services (Public) SpHeat &amp; SpCooling ASHP Standard (N)</t>
  </si>
  <si>
    <t>Services (Public) SpHeat ASHP Improved (N)</t>
  </si>
  <si>
    <t>Services (Public) SpHeat &amp; SpCooling  ASHP Improved (N)</t>
  </si>
  <si>
    <t>Services (Public) SpHeat ASHP Advanced (N)</t>
  </si>
  <si>
    <t>Services (Public) SpHeat &amp; SpCooling ASHP Advanced (N)</t>
  </si>
  <si>
    <t>Services (Public) SpHeat GSHP Standard (N)</t>
  </si>
  <si>
    <t>Services (Public) SpHeat &amp; SpCooling GSHP Standard (N)</t>
  </si>
  <si>
    <t>Services (Public) SpHeat GSHP Improved (N)</t>
  </si>
  <si>
    <t>Services (Public) SpHeat &amp; SpCooling GSHP Improved (N)</t>
  </si>
  <si>
    <t>Services (Public) SpHeat Diesel (Oil) Boiler Standard (N)</t>
  </si>
  <si>
    <t>Services (Public) SpHeat Combi Diesel (Oil) Boiler Standard (N)</t>
  </si>
  <si>
    <t>Services (Public) SpHeat Diesel (Oil)  Boiler Improved (N)</t>
  </si>
  <si>
    <t>Services (Public) SpHeat Combi Diesel (Oil) Boiler Improved (N)</t>
  </si>
  <si>
    <t>TERLTH</t>
  </si>
  <si>
    <t>Heat (Tertiary)</t>
  </si>
  <si>
    <t>Services (Public) SpCool A/C (Class B) (N)</t>
  </si>
  <si>
    <t>Services (Public) SpCool Fans (N)</t>
  </si>
  <si>
    <t>Services (Public) SpCool A/C (Class A) (N)</t>
  </si>
  <si>
    <t>Services (Public) SpCool A/C (Class A+) (N)</t>
  </si>
  <si>
    <t>Services (Public) SpCool A/C (Class A++) (N)</t>
  </si>
  <si>
    <t>Services (Public)  SpCool Central A/C (N)</t>
  </si>
  <si>
    <t>Private (Commercial) SpCool A/C (Class B) (N)</t>
  </si>
  <si>
    <t>Private (Commercial) SpCool Fans (N)</t>
  </si>
  <si>
    <t>Private (Commercial) SpCool A/C (Class A) (N)</t>
  </si>
  <si>
    <t>Private (Commercial) SpCool A/C (Class A+) (N)</t>
  </si>
  <si>
    <t>Private (Commercial) SpCool A/C (Class A++) (N)</t>
  </si>
  <si>
    <t>Private (Commercial) SpCool Central A/C (N)</t>
  </si>
  <si>
    <t>Private (Commercial) WaterHeat Electric Standard (N)</t>
  </si>
  <si>
    <t>Private (Commercial) WaterHeat Electric Improved (N)</t>
  </si>
  <si>
    <t>Private (Commercial) WaterHear Gas Standard (N)</t>
  </si>
  <si>
    <t>Private (Commercial) WaterHear Gas Improved (N)</t>
  </si>
  <si>
    <t>Private (Commercial) WaterHear Advanced Gas (N)</t>
  </si>
  <si>
    <t>Private (Commercial) WaterHear Dist. Heating Improved (N)</t>
  </si>
  <si>
    <t>Private (Commercial) WaterHeat Solar-Electric Improved (N)</t>
  </si>
  <si>
    <t>Private (Commercial) WaterHeat Solar-Gas Improved (N)</t>
  </si>
  <si>
    <t>Private (Commercial) Cook Gas Standard (N)</t>
  </si>
  <si>
    <t>Private (Commercial) Cook Gas Improved (N)</t>
  </si>
  <si>
    <t>Private (Commercial) Cook Gas Advanced (N)</t>
  </si>
  <si>
    <t>Private (Commercial) Cook LPG Standard (N)</t>
  </si>
  <si>
    <t>Private (Commercial) Cook LPG Improved (N)</t>
  </si>
  <si>
    <t>Private (Commercial) Cook LPG Advanced (N)</t>
  </si>
  <si>
    <t>Private (Commercial) Cook Electric Standard (N)</t>
  </si>
  <si>
    <t>Private (Commercial) Cook Electric Improved (N)</t>
  </si>
  <si>
    <t>Private (Commercial) Cook Electric Advanced (N)</t>
  </si>
  <si>
    <t>Private (Commercial) Refrigerating Standard (Class A,B) (N)</t>
  </si>
  <si>
    <t>Private (Commercial) Refrigerating Improved (Class A+) (N)</t>
  </si>
  <si>
    <t>Private (Commercial) Refrigerating Advanced (Class A++) (N)</t>
  </si>
  <si>
    <t>Private (Commercial) Light Standard  (N)</t>
  </si>
  <si>
    <t>Private (Commercial) Light Fluorescent  (N)</t>
  </si>
  <si>
    <t>Private (Commercial) Light LED  (N)</t>
  </si>
  <si>
    <t>Private (Commercial) Light Halogen  (N)</t>
  </si>
  <si>
    <t>Private (Commercial) Other Appliances Standard (N)</t>
  </si>
  <si>
    <t>Private (Commercial) Other Appliances Improved (N)</t>
  </si>
  <si>
    <t>Private (Commercial) Other Appliances Advanced (N)</t>
  </si>
  <si>
    <t>Services (Public) WaterHeat Electric Standard (N)</t>
  </si>
  <si>
    <t>Services (Public) WaterHeat Electric Improved (N)</t>
  </si>
  <si>
    <t>Services (Public) WaterHeat Wood Standard (N)</t>
  </si>
  <si>
    <t>Services (Public) WaterHeat Wood Improved (N)</t>
  </si>
  <si>
    <t>Services (Public) WaterHear Gas Standard (N)</t>
  </si>
  <si>
    <t>Services (Public) WaterHear Gas Improved (N)</t>
  </si>
  <si>
    <t>Services (Public) WaterHear Advanced Gas (N)</t>
  </si>
  <si>
    <t>Services (Public) WaterHear Dist. Heating Improved (N)</t>
  </si>
  <si>
    <t>Services (Public) WaterHeat Solar-Electric Improved (N)</t>
  </si>
  <si>
    <t>Services (Public) WaterHeat Solar-Gas Improved (N)</t>
  </si>
  <si>
    <t>Services (Public) Cook Wood Standard (N)</t>
  </si>
  <si>
    <t>Services (Public) Cook Gas Standard (N)</t>
  </si>
  <si>
    <t>Services (Public) Cook Gas Improved (N)</t>
  </si>
  <si>
    <t>Services (Public) Cook Gas Advanced (N)</t>
  </si>
  <si>
    <t>Services (Public) Cook LPG Standard (N)</t>
  </si>
  <si>
    <t>Services (Public) Cook LPG Improved (N)</t>
  </si>
  <si>
    <t>Services (Public) Cook LPG Advanced (N)</t>
  </si>
  <si>
    <t>Services (Public) Cook Electric Standard (N)</t>
  </si>
  <si>
    <t>Services (Public) Cook Electric Improved (N)</t>
  </si>
  <si>
    <t>Services (Public) Cook Electric Advanced (N)</t>
  </si>
  <si>
    <t>Services (Public) Refrigerating Standard (Class A,B) (N)</t>
  </si>
  <si>
    <t>Services (Public) Refrigerating Improved (Class A+) (N)</t>
  </si>
  <si>
    <t>Services (Public) Refrigerating Advanced (Class A++) (N)</t>
  </si>
  <si>
    <t>Services (Public) Light Standard  (N)</t>
  </si>
  <si>
    <t>Services (Public) Light Fluorescent  (N)</t>
  </si>
  <si>
    <t>Services (Public) Light LED  (N)</t>
  </si>
  <si>
    <t>Services (Public) Light Halogen  (N)</t>
  </si>
  <si>
    <t>Services (Public) Other Appliances Standard (N)</t>
  </si>
  <si>
    <t>Services (Public) Other Appliances Improved (N)</t>
  </si>
  <si>
    <t>Services (Public) Other Appliances Advanced (N)</t>
  </si>
  <si>
    <t>Dum_TER_Retrofit</t>
  </si>
  <si>
    <t>Dummy Process to control Total Retrofits (TER)</t>
  </si>
  <si>
    <t>Services (Public) Envelope Insulation Standard (N)</t>
  </si>
  <si>
    <t>Services (Public) Windows Replacement  Standard (N)</t>
  </si>
  <si>
    <t>Services (Public) Env. Insulation&amp;Windows repl. Standard (N)</t>
  </si>
  <si>
    <t>Services (Public) Envelope Insulation Advanced (N)</t>
  </si>
  <si>
    <t>Services (Public) Windows Replacement  Advanced (N)</t>
  </si>
  <si>
    <t>Services (Public) Env. Insulation&amp;Windows repl. Advanced (N)</t>
  </si>
  <si>
    <t>Private (Commercial) Envelope Insulation Standard (N)</t>
  </si>
  <si>
    <t>Private (Commercial) Dummy to control Insulation Standard</t>
  </si>
  <si>
    <t>Private (Commercial) Windows Replacement  Standard (N)</t>
  </si>
  <si>
    <t>Private (Commercial) Dummy to control Windows Repl. Standard</t>
  </si>
  <si>
    <t>Private (Commercial) Env. Insulation&amp;Windows repl. Standard (N)</t>
  </si>
  <si>
    <t>Private (Commercial) Dummy to control Insulation&amp;Windows Standard</t>
  </si>
  <si>
    <t>Private (Commercial) Envelope Insulation Advanced (N)</t>
  </si>
  <si>
    <t>Private (Commercial) Dummy to control Insulation  Advanced</t>
  </si>
  <si>
    <t>Private (Commercial) Windows Replacement  Advanced (N)</t>
  </si>
  <si>
    <t>Private (Commercial) Dummy to control Windows Repl.  Advanced</t>
  </si>
  <si>
    <t>Private (Commercial) Env. Insulation&amp;Windows repl. Advanced (N)</t>
  </si>
  <si>
    <t>Private (Commercial) Dummy to control Insulation&amp;Windows  Advanced</t>
  </si>
  <si>
    <t>INVCOST (USD/KW)</t>
  </si>
  <si>
    <t>FIXOM (USD/KW)</t>
  </si>
  <si>
    <t>VAROM (USD/GJ)</t>
  </si>
  <si>
    <t>INVCOST (USD/unit)</t>
  </si>
  <si>
    <t>Other Appliances Standard (N)</t>
  </si>
  <si>
    <t>Other Appliances Improved (N)</t>
  </si>
  <si>
    <t>Other Appliances Advanced (N)</t>
  </si>
  <si>
    <t>Refrigerating Standard (Class A,B) (N)</t>
  </si>
  <si>
    <t>Refrigerating Improved (Class A+) (N)</t>
  </si>
  <si>
    <t>Refrigerating Advanced (Class A++) (N)</t>
  </si>
  <si>
    <t>Light Standard  (N)</t>
  </si>
  <si>
    <t>Light Fluorescent  (N)</t>
  </si>
  <si>
    <t>Light LED  (N)</t>
  </si>
  <si>
    <t>Light Halogen  (N)</t>
  </si>
  <si>
    <t>Electric Advanced (N)</t>
  </si>
  <si>
    <t>Electric Improved (N)</t>
  </si>
  <si>
    <t>Electric Standard (N)</t>
  </si>
  <si>
    <t>LPG Advanced (N)</t>
  </si>
  <si>
    <t>LPG Improved (N)</t>
  </si>
  <si>
    <t>LPG Standard (N)</t>
  </si>
  <si>
    <t>Gas Advanced (N)</t>
  </si>
  <si>
    <t>Gas Improved (N)</t>
  </si>
  <si>
    <t>Gas Standard (N)</t>
  </si>
  <si>
    <t>Wood Advanced (N)</t>
  </si>
  <si>
    <t>Wood Improved (N)</t>
  </si>
  <si>
    <t>Wood Standard (N)</t>
  </si>
  <si>
    <t>Solar-Gas Improved (N)</t>
  </si>
  <si>
    <t>Solar-Electric Improved (N)</t>
  </si>
  <si>
    <t>Dist. Heating Improved (N)</t>
  </si>
  <si>
    <t>Advanced Gas (N)</t>
  </si>
  <si>
    <t>Public SpHeat BKB Boiler Standard (N)</t>
  </si>
  <si>
    <t>Public SpHeat Wood Boiler Standard (N)</t>
  </si>
  <si>
    <t>Public SpHeat Pellet Boiler Standard (N)</t>
  </si>
  <si>
    <t>Public SpHeat Pellet Boiler Improved (N)</t>
  </si>
  <si>
    <t>Public SpHeat Gas Boiler Condensing (N)</t>
  </si>
  <si>
    <t>Public Combi Gas Boiler Condensing (N)</t>
  </si>
  <si>
    <t>Public SpHeat Gas Boiler Condensing Improved (N)</t>
  </si>
  <si>
    <t>Public Combi Gas Boiler Condensing Improved (N)</t>
  </si>
  <si>
    <t>Public SpHeat Dist. Heat Standard (N)</t>
  </si>
  <si>
    <t>Public SpHeat Dist. Heat Improved (N)</t>
  </si>
  <si>
    <t>Public SpHeat Dist. Heat Advanced (N)</t>
  </si>
  <si>
    <t>Public SpHeat Electric Heater Standard (N)</t>
  </si>
  <si>
    <t>Public SpHeat ASHP Standard (N)</t>
  </si>
  <si>
    <t>Public SpHeat &amp; SpCooling ASHP Standard (N)</t>
  </si>
  <si>
    <t>Public SpHeat ASHP Improved (N)</t>
  </si>
  <si>
    <t>Public SpHeat &amp; SpCooling  ASHP Improved (N)</t>
  </si>
  <si>
    <t>Public SpHeat ASHP Advanced (N)</t>
  </si>
  <si>
    <t>Public SpHeat &amp; SpCooling ASHP Advanced (N)</t>
  </si>
  <si>
    <t>Public SpHeat GSHP Standard (N)</t>
  </si>
  <si>
    <t>Public SpHeat &amp; SpCooling GSHP Standard (N)</t>
  </si>
  <si>
    <t>Public SpHeat GSHP Improved (N)</t>
  </si>
  <si>
    <t>Public SpHeat &amp; SpCooling GSHP Improved (N)</t>
  </si>
  <si>
    <t>Public SpHeat Diesel (Oil) Boiler Standard (N)</t>
  </si>
  <si>
    <t>Public SpHeat Combi Diesel (Oil) Boiler Standard (N)</t>
  </si>
  <si>
    <t>Public SpHeat Diesel (Oil)  Boiler Improved (N)</t>
  </si>
  <si>
    <t>Public SpHeat Combi Diesel (Oil) Boiler Improved (N)</t>
  </si>
  <si>
    <t>A/C (Class B) (N)</t>
  </si>
  <si>
    <t>Fans (N)</t>
  </si>
  <si>
    <t>A/C (Class A) (N))</t>
  </si>
  <si>
    <t>A/C (Class A+) (N)</t>
  </si>
  <si>
    <t>A/C (Class A++) (N)</t>
  </si>
  <si>
    <t>Central A/C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</si>
</sst>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\Te\x\t"/>
    <numFmt numFmtId="165" formatCode="_([$€-2]\ * #,##0.00_);_([$€-2]\ * \(#,##0.00\);_([$€-2]\ * &quot;-&quot;??_);_(@_)"/>
    <numFmt numFmtId="166" formatCode="_-* #,##0.000_-;\-* #,##0.000_-;_-* &quot;-&quot;??_-;_-@_-"/>
    <numFmt numFmtId="167" formatCode="0.000"/>
    <numFmt numFmtId="168" formatCode="0.0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161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8" fillId="2" borderId="0" applyNumberFormat="0" applyBorder="0" applyAlignment="0" applyProtection="0"/>
    <xf numFmtId="0" fontId="10" fillId="3" borderId="0" applyNumberFormat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8" fillId="0" borderId="0"/>
  </cellStyleXfs>
  <cellXfs count="187">
    <xf numFmtId="0" fontId="0" fillId="0" borderId="0" xfId="0"/>
    <xf numFmtId="0" fontId="0" fillId="0" borderId="0" xfId="0"/>
    <xf numFmtId="0" fontId="11" fillId="6" borderId="0" xfId="1" applyFont="1" applyFill="1" applyAlignment="1"/>
    <xf numFmtId="0" fontId="12" fillId="6" borderId="0" xfId="2" applyFont="1" applyFill="1" applyAlignment="1">
      <alignment horizontal="center"/>
    </xf>
    <xf numFmtId="0" fontId="13" fillId="6" borderId="0" xfId="2" applyFont="1" applyFill="1" applyAlignment="1">
      <alignment horizontal="center"/>
    </xf>
    <xf numFmtId="0" fontId="11" fillId="6" borderId="0" xfId="1" applyFont="1" applyFill="1" applyAlignment="1">
      <alignment horizontal="center"/>
    </xf>
    <xf numFmtId="0" fontId="9" fillId="7" borderId="0" xfId="1" applyFont="1" applyFill="1" applyAlignment="1"/>
    <xf numFmtId="0" fontId="8" fillId="7" borderId="0" xfId="1" applyFill="1" applyAlignment="1"/>
    <xf numFmtId="0" fontId="0" fillId="0" borderId="0" xfId="0" applyAlignment="1"/>
    <xf numFmtId="0" fontId="14" fillId="6" borderId="0" xfId="1" applyFont="1" applyFill="1" applyAlignment="1">
      <alignment horizontal="left"/>
    </xf>
    <xf numFmtId="0" fontId="14" fillId="6" borderId="0" xfId="1" applyFont="1" applyFill="1" applyAlignment="1"/>
    <xf numFmtId="0" fontId="2" fillId="0" borderId="0" xfId="0" applyFont="1"/>
    <xf numFmtId="0" fontId="6" fillId="8" borderId="11" xfId="0" applyFont="1" applyFill="1" applyBorder="1"/>
    <xf numFmtId="0" fontId="4" fillId="8" borderId="11" xfId="0" applyFont="1" applyFill="1" applyBorder="1"/>
    <xf numFmtId="0" fontId="4" fillId="9" borderId="1" xfId="0" applyFont="1" applyFill="1" applyBorder="1"/>
    <xf numFmtId="0" fontId="0" fillId="9" borderId="3" xfId="0" applyFill="1" applyBorder="1"/>
    <xf numFmtId="0" fontId="4" fillId="8" borderId="0" xfId="0" applyFont="1" applyFill="1" applyAlignment="1">
      <alignment wrapText="1"/>
    </xf>
    <xf numFmtId="0" fontId="4" fillId="8" borderId="0" xfId="0" applyFont="1" applyFill="1"/>
    <xf numFmtId="0" fontId="2" fillId="5" borderId="4" xfId="0" applyFont="1" applyFill="1" applyBorder="1"/>
    <xf numFmtId="0" fontId="0" fillId="10" borderId="5" xfId="0" applyFill="1" applyBorder="1"/>
    <xf numFmtId="0" fontId="0" fillId="0" borderId="0" xfId="0" applyFill="1"/>
    <xf numFmtId="2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4" borderId="0" xfId="0" applyFont="1" applyFill="1"/>
    <xf numFmtId="0" fontId="0" fillId="5" borderId="4" xfId="0" applyFill="1" applyBorder="1"/>
    <xf numFmtId="0" fontId="0" fillId="5" borderId="6" xfId="0" applyFill="1" applyBorder="1"/>
    <xf numFmtId="0" fontId="0" fillId="10" borderId="8" xfId="0" applyFill="1" applyBorder="1"/>
    <xf numFmtId="0" fontId="0" fillId="5" borderId="1" xfId="0" applyFill="1" applyBorder="1"/>
    <xf numFmtId="0" fontId="0" fillId="10" borderId="3" xfId="0" applyFill="1" applyBorder="1"/>
    <xf numFmtId="0" fontId="2" fillId="10" borderId="3" xfId="0" applyFont="1" applyFill="1" applyBorder="1"/>
    <xf numFmtId="0" fontId="2" fillId="10" borderId="5" xfId="0" applyFont="1" applyFill="1" applyBorder="1"/>
    <xf numFmtId="0" fontId="0" fillId="0" borderId="1" xfId="0" applyBorder="1"/>
    <xf numFmtId="0" fontId="16" fillId="0" borderId="3" xfId="0" applyFont="1" applyFill="1" applyBorder="1" applyAlignment="1">
      <alignment vertical="center" wrapText="1"/>
    </xf>
    <xf numFmtId="0" fontId="0" fillId="0" borderId="4" xfId="0" applyBorder="1"/>
    <xf numFmtId="0" fontId="16" fillId="0" borderId="5" xfId="0" applyFont="1" applyFill="1" applyBorder="1" applyAlignment="1">
      <alignment vertical="center" wrapText="1"/>
    </xf>
    <xf numFmtId="0" fontId="0" fillId="0" borderId="6" xfId="0" applyBorder="1"/>
    <xf numFmtId="0" fontId="16" fillId="0" borderId="8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165" fontId="0" fillId="0" borderId="0" xfId="0" applyNumberFormat="1"/>
    <xf numFmtId="10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2" fontId="0" fillId="0" borderId="0" xfId="0" applyNumberFormat="1" applyFill="1" applyAlignment="1">
      <alignment horizontal="center"/>
    </xf>
    <xf numFmtId="9" fontId="0" fillId="0" borderId="0" xfId="4" applyFont="1" applyFill="1" applyAlignment="1">
      <alignment horizontal="center"/>
    </xf>
    <xf numFmtId="0" fontId="4" fillId="8" borderId="0" xfId="0" applyFont="1" applyFill="1"/>
    <xf numFmtId="2" fontId="0" fillId="0" borderId="0" xfId="0" applyNumberFormat="1" applyFont="1" applyAlignment="1">
      <alignment horizontal="center"/>
    </xf>
    <xf numFmtId="2" fontId="0" fillId="4" borderId="0" xfId="0" applyNumberFormat="1" applyFont="1" applyFill="1"/>
    <xf numFmtId="2" fontId="0" fillId="0" borderId="0" xfId="0" applyNumberFormat="1" applyFont="1" applyFill="1" applyAlignment="1">
      <alignment horizontal="center"/>
    </xf>
    <xf numFmtId="2" fontId="17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9" fontId="2" fillId="0" borderId="0" xfId="4" applyFont="1" applyFill="1" applyAlignment="1">
      <alignment horizontal="center"/>
    </xf>
    <xf numFmtId="43" fontId="0" fillId="0" borderId="0" xfId="3" applyFont="1" applyAlignment="1">
      <alignment horizontal="center"/>
    </xf>
    <xf numFmtId="43" fontId="2" fillId="0" borderId="0" xfId="3" applyFont="1" applyAlignment="1">
      <alignment horizontal="center"/>
    </xf>
    <xf numFmtId="0" fontId="6" fillId="0" borderId="11" xfId="0" applyFont="1" applyFill="1" applyBorder="1"/>
    <xf numFmtId="0" fontId="4" fillId="0" borderId="0" xfId="0" applyFont="1" applyFill="1" applyAlignment="1">
      <alignment wrapText="1"/>
    </xf>
    <xf numFmtId="43" fontId="0" fillId="0" borderId="0" xfId="3" applyFont="1" applyFill="1" applyAlignment="1">
      <alignment horizontal="center"/>
    </xf>
    <xf numFmtId="165" fontId="17" fillId="0" borderId="0" xfId="0" applyNumberFormat="1" applyFont="1" applyAlignment="1">
      <alignment horizontal="center"/>
    </xf>
    <xf numFmtId="0" fontId="4" fillId="8" borderId="11" xfId="0" applyFont="1" applyFill="1" applyBorder="1"/>
    <xf numFmtId="0" fontId="4" fillId="8" borderId="0" xfId="0" applyFont="1" applyFill="1" applyAlignment="1">
      <alignment wrapText="1"/>
    </xf>
    <xf numFmtId="0" fontId="4" fillId="8" borderId="0" xfId="0" applyFont="1" applyFill="1"/>
    <xf numFmtId="0" fontId="0" fillId="0" borderId="0" xfId="0" applyFont="1" applyFill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2" fontId="2" fillId="0" borderId="0" xfId="0" applyNumberFormat="1" applyFont="1" applyFill="1" applyBorder="1"/>
    <xf numFmtId="43" fontId="2" fillId="0" borderId="0" xfId="3" applyFont="1" applyFill="1" applyAlignment="1">
      <alignment horizontal="center"/>
    </xf>
    <xf numFmtId="43" fontId="17" fillId="0" borderId="0" xfId="3" applyFont="1" applyAlignment="1">
      <alignment horizontal="center"/>
    </xf>
    <xf numFmtId="39" fontId="0" fillId="0" borderId="0" xfId="4" applyNumberFormat="1" applyFont="1" applyFill="1" applyAlignment="1">
      <alignment horizontal="center"/>
    </xf>
    <xf numFmtId="39" fontId="0" fillId="0" borderId="0" xfId="0" applyNumberFormat="1" applyFont="1" applyAlignment="1">
      <alignment horizontal="center"/>
    </xf>
    <xf numFmtId="0" fontId="2" fillId="0" borderId="0" xfId="0" applyFont="1" applyFill="1"/>
    <xf numFmtId="0" fontId="22" fillId="0" borderId="0" xfId="0" applyFont="1" applyFill="1"/>
    <xf numFmtId="0" fontId="20" fillId="0" borderId="0" xfId="0" applyFont="1" applyFill="1"/>
    <xf numFmtId="164" fontId="22" fillId="0" borderId="9" xfId="0" applyNumberFormat="1" applyFont="1" applyFill="1" applyBorder="1"/>
    <xf numFmtId="164" fontId="22" fillId="0" borderId="10" xfId="0" applyNumberFormat="1" applyFont="1" applyFill="1" applyBorder="1"/>
    <xf numFmtId="164" fontId="22" fillId="0" borderId="9" xfId="0" applyNumberFormat="1" applyFont="1" applyFill="1" applyBorder="1" applyAlignment="1">
      <alignment horizontal="left"/>
    </xf>
    <xf numFmtId="164" fontId="20" fillId="0" borderId="11" xfId="0" applyNumberFormat="1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/>
    </xf>
    <xf numFmtId="0" fontId="20" fillId="0" borderId="12" xfId="0" applyFont="1" applyFill="1" applyBorder="1"/>
    <xf numFmtId="0" fontId="20" fillId="0" borderId="12" xfId="0" applyFont="1" applyFill="1" applyBorder="1" applyAlignment="1">
      <alignment horizontal="center"/>
    </xf>
    <xf numFmtId="0" fontId="22" fillId="0" borderId="9" xfId="0" applyFont="1" applyFill="1" applyBorder="1"/>
    <xf numFmtId="0" fontId="20" fillId="0" borderId="9" xfId="0" applyFont="1" applyFill="1" applyBorder="1"/>
    <xf numFmtId="0" fontId="20" fillId="0" borderId="9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0" fontId="22" fillId="0" borderId="0" xfId="0" applyFont="1" applyFill="1" applyBorder="1"/>
    <xf numFmtId="0" fontId="20" fillId="0" borderId="0" xfId="5" applyFont="1" applyFill="1"/>
    <xf numFmtId="0" fontId="21" fillId="0" borderId="0" xfId="5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0" fillId="0" borderId="0" xfId="0" applyFont="1" applyFill="1" applyBorder="1" applyAlignment="1">
      <alignment horizontal="left" wrapText="1"/>
    </xf>
    <xf numFmtId="0" fontId="20" fillId="0" borderId="0" xfId="0" applyFont="1" applyFill="1" applyAlignment="1">
      <alignment horizontal="right"/>
    </xf>
    <xf numFmtId="164" fontId="20" fillId="0" borderId="0" xfId="0" applyNumberFormat="1" applyFont="1" applyFill="1"/>
    <xf numFmtId="0" fontId="24" fillId="0" borderId="0" xfId="0" applyFont="1" applyFill="1" applyAlignment="1"/>
    <xf numFmtId="164" fontId="22" fillId="0" borderId="0" xfId="0" applyNumberFormat="1" applyFont="1" applyFill="1"/>
    <xf numFmtId="0" fontId="22" fillId="0" borderId="9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9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wrapText="1"/>
    </xf>
    <xf numFmtId="0" fontId="20" fillId="0" borderId="14" xfId="0" applyFont="1" applyFill="1" applyBorder="1" applyAlignment="1">
      <alignment horizontal="center" wrapText="1"/>
    </xf>
    <xf numFmtId="0" fontId="21" fillId="0" borderId="11" xfId="0" applyFont="1" applyFill="1" applyBorder="1" applyAlignment="1">
      <alignment horizontal="center"/>
    </xf>
    <xf numFmtId="164" fontId="20" fillId="0" borderId="7" xfId="0" applyNumberFormat="1" applyFont="1" applyFill="1" applyBorder="1" applyAlignment="1">
      <alignment horizontal="center" wrapText="1"/>
    </xf>
    <xf numFmtId="164" fontId="22" fillId="0" borderId="7" xfId="0" applyNumberFormat="1" applyFont="1" applyFill="1" applyBorder="1" applyAlignment="1">
      <alignment horizontal="left" wrapText="1"/>
    </xf>
    <xf numFmtId="0" fontId="20" fillId="0" borderId="15" xfId="0" applyFont="1" applyFill="1" applyBorder="1" applyAlignment="1">
      <alignment horizontal="left" wrapText="1"/>
    </xf>
    <xf numFmtId="0" fontId="20" fillId="0" borderId="15" xfId="0" applyFont="1" applyFill="1" applyBorder="1" applyAlignment="1">
      <alignment horizontal="center" wrapText="1"/>
    </xf>
    <xf numFmtId="0" fontId="20" fillId="0" borderId="16" xfId="0" applyFont="1" applyFill="1" applyBorder="1" applyAlignment="1">
      <alignment horizontal="center" wrapText="1"/>
    </xf>
    <xf numFmtId="0" fontId="1" fillId="0" borderId="0" xfId="0" applyFont="1" applyFill="1" applyAlignment="1">
      <alignment vertical="center"/>
    </xf>
    <xf numFmtId="0" fontId="20" fillId="0" borderId="17" xfId="0" applyFont="1" applyFill="1" applyBorder="1"/>
    <xf numFmtId="0" fontId="20" fillId="0" borderId="0" xfId="0" applyFont="1" applyFill="1" applyBorder="1" applyAlignment="1">
      <alignment horizontal="right"/>
    </xf>
    <xf numFmtId="0" fontId="21" fillId="0" borderId="0" xfId="0" applyFont="1" applyFill="1"/>
    <xf numFmtId="0" fontId="20" fillId="0" borderId="18" xfId="0" applyFont="1" applyFill="1" applyBorder="1"/>
    <xf numFmtId="0" fontId="20" fillId="0" borderId="0" xfId="0" applyFont="1" applyFill="1" applyBorder="1" applyAlignment="1">
      <alignment horizontal="left"/>
    </xf>
    <xf numFmtId="0" fontId="22" fillId="0" borderId="0" xfId="0" applyFont="1" applyFill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0" xfId="0" applyFont="1" applyFill="1" applyAlignment="1">
      <alignment horizontal="right"/>
    </xf>
    <xf numFmtId="0" fontId="21" fillId="0" borderId="0" xfId="0" applyFont="1" applyFill="1" applyBorder="1"/>
    <xf numFmtId="164" fontId="22" fillId="0" borderId="10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164" fontId="20" fillId="0" borderId="10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20" fillId="0" borderId="2" xfId="0" applyFont="1" applyFill="1" applyBorder="1" applyAlignment="1">
      <alignment horizontal="center" wrapText="1"/>
    </xf>
    <xf numFmtId="0" fontId="20" fillId="0" borderId="19" xfId="0" applyFont="1" applyFill="1" applyBorder="1" applyAlignment="1">
      <alignment horizontal="center" wrapText="1"/>
    </xf>
    <xf numFmtId="0" fontId="20" fillId="0" borderId="17" xfId="0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20" fillId="0" borderId="0" xfId="3" applyNumberFormat="1" applyFont="1" applyFill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2" fontId="20" fillId="0" borderId="12" xfId="0" applyNumberFormat="1" applyFont="1" applyFill="1" applyBorder="1" applyAlignment="1">
      <alignment horizontal="center"/>
    </xf>
    <xf numFmtId="2" fontId="20" fillId="0" borderId="12" xfId="3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9" xfId="0" applyFont="1" applyFill="1" applyBorder="1" applyAlignment="1">
      <alignment horizontal="center" wrapText="1"/>
    </xf>
    <xf numFmtId="0" fontId="20" fillId="0" borderId="13" xfId="0" applyFont="1" applyFill="1" applyBorder="1" applyAlignment="1">
      <alignment horizontal="center" wrapText="1"/>
    </xf>
    <xf numFmtId="0" fontId="21" fillId="0" borderId="9" xfId="0" applyFont="1" applyFill="1" applyBorder="1" applyAlignment="1">
      <alignment horizontal="center"/>
    </xf>
    <xf numFmtId="0" fontId="24" fillId="0" borderId="9" xfId="0" applyFont="1" applyFill="1" applyBorder="1" applyAlignment="1">
      <alignment vertical="center"/>
    </xf>
    <xf numFmtId="0" fontId="24" fillId="0" borderId="9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1" fillId="0" borderId="0" xfId="0" applyFont="1" applyFill="1" applyBorder="1" applyAlignment="1"/>
    <xf numFmtId="0" fontId="21" fillId="0" borderId="0" xfId="0" applyFont="1" applyFill="1" applyAlignment="1"/>
    <xf numFmtId="0" fontId="20" fillId="0" borderId="2" xfId="0" applyFont="1" applyFill="1" applyBorder="1" applyAlignment="1">
      <alignment horizontal="left" wrapText="1"/>
    </xf>
    <xf numFmtId="0" fontId="20" fillId="0" borderId="22" xfId="0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0" fontId="20" fillId="0" borderId="21" xfId="0" applyFont="1" applyFill="1" applyBorder="1" applyAlignment="1">
      <alignment horizontal="center"/>
    </xf>
    <xf numFmtId="0" fontId="20" fillId="0" borderId="20" xfId="0" applyFont="1" applyFill="1" applyBorder="1" applyAlignment="1">
      <alignment horizontal="center"/>
    </xf>
    <xf numFmtId="168" fontId="20" fillId="0" borderId="0" xfId="0" applyNumberFormat="1" applyFont="1" applyFill="1" applyBorder="1" applyAlignment="1">
      <alignment horizontal="center"/>
    </xf>
    <xf numFmtId="167" fontId="20" fillId="0" borderId="0" xfId="0" applyNumberFormat="1" applyFont="1" applyFill="1" applyBorder="1" applyAlignment="1">
      <alignment horizontal="center"/>
    </xf>
    <xf numFmtId="168" fontId="20" fillId="0" borderId="12" xfId="0" applyNumberFormat="1" applyFont="1" applyFill="1" applyBorder="1" applyAlignment="1">
      <alignment horizontal="center"/>
    </xf>
    <xf numFmtId="167" fontId="20" fillId="0" borderId="12" xfId="0" applyNumberFormat="1" applyFont="1" applyFill="1" applyBorder="1" applyAlignment="1">
      <alignment horizontal="center"/>
    </xf>
    <xf numFmtId="43" fontId="20" fillId="0" borderId="9" xfId="3" applyFont="1" applyFill="1" applyBorder="1"/>
    <xf numFmtId="43" fontId="20" fillId="0" borderId="0" xfId="3" applyFont="1" applyFill="1" applyBorder="1"/>
    <xf numFmtId="0" fontId="21" fillId="0" borderId="0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43" fontId="20" fillId="0" borderId="12" xfId="3" applyFont="1" applyFill="1" applyBorder="1"/>
    <xf numFmtId="43" fontId="20" fillId="0" borderId="9" xfId="3" applyFont="1" applyFill="1" applyBorder="1" applyAlignment="1">
      <alignment horizontal="center"/>
    </xf>
    <xf numFmtId="43" fontId="20" fillId="0" borderId="0" xfId="3" applyFont="1" applyFill="1" applyBorder="1" applyAlignment="1">
      <alignment horizontal="center"/>
    </xf>
    <xf numFmtId="43" fontId="20" fillId="0" borderId="12" xfId="3" applyFont="1" applyFill="1" applyBorder="1" applyAlignment="1">
      <alignment horizontal="center"/>
    </xf>
    <xf numFmtId="166" fontId="20" fillId="0" borderId="0" xfId="3" applyNumberFormat="1" applyFont="1" applyFill="1" applyBorder="1" applyAlignment="1">
      <alignment horizontal="center"/>
    </xf>
    <xf numFmtId="2" fontId="20" fillId="0" borderId="0" xfId="0" applyNumberFormat="1" applyFont="1" applyFill="1" applyAlignment="1">
      <alignment horizontal="center"/>
    </xf>
    <xf numFmtId="166" fontId="20" fillId="0" borderId="12" xfId="3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64" fontId="24" fillId="0" borderId="0" xfId="0" applyNumberFormat="1" applyFont="1" applyFill="1" applyAlignment="1"/>
    <xf numFmtId="164" fontId="21" fillId="0" borderId="0" xfId="0" applyNumberFormat="1" applyFont="1" applyFill="1" applyAlignment="1"/>
    <xf numFmtId="164" fontId="21" fillId="0" borderId="0" xfId="0" applyNumberFormat="1" applyFont="1" applyFill="1" applyAlignment="1">
      <alignment horizontal="center"/>
    </xf>
    <xf numFmtId="164" fontId="24" fillId="0" borderId="9" xfId="0" applyNumberFormat="1" applyFont="1" applyFill="1" applyBorder="1" applyAlignment="1"/>
    <xf numFmtId="164" fontId="24" fillId="0" borderId="9" xfId="0" applyNumberFormat="1" applyFont="1" applyFill="1" applyBorder="1" applyAlignment="1">
      <alignment horizontal="center"/>
    </xf>
    <xf numFmtId="164" fontId="24" fillId="0" borderId="9" xfId="0" applyNumberFormat="1" applyFont="1" applyFill="1" applyBorder="1" applyAlignment="1">
      <alignment horizontal="left"/>
    </xf>
    <xf numFmtId="164" fontId="21" fillId="0" borderId="11" xfId="0" applyNumberFormat="1" applyFont="1" applyFill="1" applyBorder="1" applyAlignment="1">
      <alignment horizontal="left"/>
    </xf>
    <xf numFmtId="164" fontId="21" fillId="0" borderId="11" xfId="0" applyNumberFormat="1" applyFont="1" applyFill="1" applyBorder="1" applyAlignment="1">
      <alignment horizontal="center"/>
    </xf>
    <xf numFmtId="164" fontId="20" fillId="0" borderId="0" xfId="0" applyNumberFormat="1" applyFont="1" applyFill="1" applyAlignment="1"/>
    <xf numFmtId="0" fontId="20" fillId="0" borderId="0" xfId="0" applyFont="1" applyFill="1" applyAlignment="1"/>
    <xf numFmtId="164" fontId="20" fillId="0" borderId="9" xfId="0" applyNumberFormat="1" applyFont="1" applyFill="1" applyBorder="1"/>
    <xf numFmtId="164" fontId="20" fillId="0" borderId="0" xfId="0" applyNumberFormat="1" applyFont="1" applyFill="1" applyBorder="1"/>
    <xf numFmtId="164" fontId="20" fillId="0" borderId="12" xfId="0" applyNumberFormat="1" applyFont="1" applyFill="1" applyBorder="1"/>
    <xf numFmtId="0" fontId="20" fillId="0" borderId="11" xfId="0" applyFont="1" applyFill="1" applyBorder="1" applyAlignment="1">
      <alignment horizontal="left" wrapText="1"/>
    </xf>
    <xf numFmtId="0" fontId="20" fillId="0" borderId="11" xfId="0" applyFont="1" applyFill="1" applyBorder="1" applyAlignment="1">
      <alignment horizontal="left"/>
    </xf>
    <xf numFmtId="1" fontId="20" fillId="0" borderId="0" xfId="0" applyNumberFormat="1" applyFont="1" applyFill="1" applyAlignment="1">
      <alignment horizontal="center"/>
    </xf>
    <xf numFmtId="11" fontId="21" fillId="0" borderId="0" xfId="0" applyNumberFormat="1" applyFont="1" applyFill="1"/>
    <xf numFmtId="0" fontId="21" fillId="0" borderId="17" xfId="0" applyFont="1" applyFill="1" applyBorder="1"/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21" fillId="0" borderId="0" xfId="0" applyFont="1" applyFill="1" applyBorder="1" applyAlignment="1">
      <alignment horizontal="right"/>
    </xf>
  </cellXfs>
  <cellStyles count="6">
    <cellStyle name="Accent2" xfId="1" builtinId="33"/>
    <cellStyle name="Comma" xfId="3" builtinId="3"/>
    <cellStyle name="Good" xfId="2" builtinId="26"/>
    <cellStyle name="Normal" xfId="0" builtinId="0"/>
    <cellStyle name="Normal 2" xfId="5" xr:uid="{2506E7AA-FB92-4825-A8DD-4D38AFD0D73C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B1:AJ348"/>
  <sheetViews>
    <sheetView topLeftCell="A274" zoomScale="55" zoomScaleNormal="55" workbookViewId="0">
      <selection activeCell="A4" sqref="A1:XFD1048576"/>
    </sheetView>
  </sheetViews>
  <sheetFormatPr defaultColWidth="9.109375" defaultRowHeight="13.8" x14ac:dyDescent="0.25"/>
  <cols>
    <col min="1" max="1" width="9.109375" style="78"/>
    <col min="2" max="2" width="15.6640625" style="78" customWidth="1"/>
    <col min="3" max="3" width="15.109375" style="78" customWidth="1"/>
    <col min="4" max="4" width="22" style="78" customWidth="1"/>
    <col min="5" max="5" width="55.5546875" style="78" customWidth="1"/>
    <col min="6" max="6" width="8.88671875" style="78" customWidth="1"/>
    <col min="7" max="7" width="24.33203125" style="78" bestFit="1" customWidth="1"/>
    <col min="8" max="8" width="13.6640625" style="78" bestFit="1" customWidth="1"/>
    <col min="9" max="9" width="14.5546875" style="78" bestFit="1" customWidth="1"/>
    <col min="10" max="10" width="14.88671875" style="78" customWidth="1"/>
    <col min="11" max="11" width="3.6640625" style="78" customWidth="1"/>
    <col min="12" max="12" width="39.33203125" style="78" bestFit="1" customWidth="1"/>
    <col min="13" max="13" width="9.109375" style="78"/>
    <col min="14" max="14" width="8.6640625" style="78" customWidth="1"/>
    <col min="15" max="15" width="13.44140625" style="78" bestFit="1" customWidth="1"/>
    <col min="16" max="16" width="17.33203125" style="78" bestFit="1" customWidth="1"/>
    <col min="17" max="17" width="24.109375" style="78" bestFit="1" customWidth="1"/>
    <col min="18" max="18" width="7.6640625" style="78" bestFit="1" customWidth="1"/>
    <col min="19" max="22" width="12.33203125" style="78" customWidth="1"/>
    <col min="23" max="23" width="9.109375" style="78"/>
    <col min="24" max="25" width="24.109375" style="78" bestFit="1" customWidth="1"/>
    <col min="26" max="26" width="9.109375" style="78"/>
    <col min="27" max="27" width="16.109375" style="78" customWidth="1"/>
    <col min="28" max="28" width="13.44140625" style="78" bestFit="1" customWidth="1"/>
    <col min="29" max="29" width="28.88671875" style="78" customWidth="1"/>
    <col min="30" max="30" width="44" style="78" bestFit="1" customWidth="1"/>
    <col min="31" max="31" width="13.88671875" style="78" bestFit="1" customWidth="1"/>
    <col min="32" max="32" width="15.5546875" style="78" customWidth="1"/>
    <col min="33" max="34" width="12.5546875" style="78" customWidth="1"/>
    <col min="35" max="35" width="9" style="78" customWidth="1"/>
    <col min="36" max="16384" width="9.109375" style="78"/>
  </cols>
  <sheetData>
    <row r="1" spans="2:36" x14ac:dyDescent="0.25">
      <c r="B1" s="77" t="s">
        <v>723</v>
      </c>
    </row>
    <row r="4" spans="2:36" x14ac:dyDescent="0.25">
      <c r="B4" s="79" t="s">
        <v>7</v>
      </c>
      <c r="C4" s="80" t="s">
        <v>50</v>
      </c>
      <c r="D4" s="79" t="s">
        <v>6</v>
      </c>
      <c r="E4" s="79" t="s">
        <v>8</v>
      </c>
      <c r="F4" s="81" t="s">
        <v>9</v>
      </c>
      <c r="G4" s="81" t="s">
        <v>10</v>
      </c>
      <c r="H4" s="81" t="s">
        <v>11</v>
      </c>
      <c r="I4" s="81" t="s">
        <v>12</v>
      </c>
      <c r="J4" s="81" t="s">
        <v>13</v>
      </c>
      <c r="N4" s="79" t="s">
        <v>7</v>
      </c>
      <c r="O4" s="80" t="s">
        <v>50</v>
      </c>
      <c r="P4" s="79" t="s">
        <v>6</v>
      </c>
      <c r="Q4" s="79" t="s">
        <v>8</v>
      </c>
      <c r="R4" s="81" t="s">
        <v>9</v>
      </c>
      <c r="S4" s="81" t="s">
        <v>10</v>
      </c>
      <c r="T4" s="81" t="s">
        <v>11</v>
      </c>
      <c r="U4" s="81" t="s">
        <v>12</v>
      </c>
      <c r="V4" s="81" t="s">
        <v>13</v>
      </c>
      <c r="X4" s="79" t="s">
        <v>51</v>
      </c>
      <c r="AA4" s="79" t="s">
        <v>7</v>
      </c>
      <c r="AB4" s="80" t="s">
        <v>50</v>
      </c>
      <c r="AC4" s="79" t="s">
        <v>6</v>
      </c>
      <c r="AD4" s="79" t="s">
        <v>8</v>
      </c>
      <c r="AE4" s="81" t="s">
        <v>9</v>
      </c>
      <c r="AF4" s="81" t="s">
        <v>10</v>
      </c>
      <c r="AG4" s="81" t="s">
        <v>11</v>
      </c>
      <c r="AH4" s="81" t="s">
        <v>12</v>
      </c>
      <c r="AI4" s="81" t="s">
        <v>13</v>
      </c>
    </row>
    <row r="5" spans="2:36" s="84" customFormat="1" ht="28.5" customHeight="1" thickBot="1" x14ac:dyDescent="0.3">
      <c r="B5" s="82" t="s">
        <v>52</v>
      </c>
      <c r="C5" s="83" t="s">
        <v>53</v>
      </c>
      <c r="D5" s="82" t="s">
        <v>23</v>
      </c>
      <c r="E5" s="82" t="s">
        <v>24</v>
      </c>
      <c r="F5" s="82" t="s">
        <v>9</v>
      </c>
      <c r="G5" s="82" t="s">
        <v>54</v>
      </c>
      <c r="H5" s="82" t="s">
        <v>55</v>
      </c>
      <c r="I5" s="82" t="s">
        <v>25</v>
      </c>
      <c r="J5" s="82" t="s">
        <v>26</v>
      </c>
      <c r="L5" s="78"/>
      <c r="N5" s="82" t="s">
        <v>52</v>
      </c>
      <c r="O5" s="83" t="s">
        <v>53</v>
      </c>
      <c r="P5" s="82" t="s">
        <v>23</v>
      </c>
      <c r="Q5" s="82" t="s">
        <v>24</v>
      </c>
      <c r="R5" s="82" t="s">
        <v>9</v>
      </c>
      <c r="S5" s="82" t="s">
        <v>54</v>
      </c>
      <c r="T5" s="82" t="s">
        <v>55</v>
      </c>
      <c r="U5" s="82" t="s">
        <v>25</v>
      </c>
      <c r="V5" s="82" t="s">
        <v>26</v>
      </c>
      <c r="X5" s="82" t="s">
        <v>24</v>
      </c>
      <c r="Y5" s="78"/>
      <c r="AA5" s="82" t="s">
        <v>52</v>
      </c>
      <c r="AB5" s="83" t="s">
        <v>53</v>
      </c>
      <c r="AC5" s="82" t="s">
        <v>23</v>
      </c>
      <c r="AD5" s="82" t="s">
        <v>24</v>
      </c>
      <c r="AE5" s="82" t="s">
        <v>9</v>
      </c>
      <c r="AF5" s="82" t="s">
        <v>54</v>
      </c>
      <c r="AG5" s="82" t="s">
        <v>55</v>
      </c>
      <c r="AH5" s="82" t="s">
        <v>25</v>
      </c>
      <c r="AI5" s="82" t="s">
        <v>26</v>
      </c>
    </row>
    <row r="6" spans="2:36" x14ac:dyDescent="0.25">
      <c r="B6" s="78" t="s">
        <v>56</v>
      </c>
      <c r="D6" s="78" t="s">
        <v>898</v>
      </c>
      <c r="E6" s="78" t="s">
        <v>899</v>
      </c>
      <c r="F6" s="85" t="s">
        <v>169</v>
      </c>
      <c r="N6" s="78" t="s">
        <v>57</v>
      </c>
      <c r="P6" s="78" t="s">
        <v>58</v>
      </c>
      <c r="Q6" s="78" t="str">
        <f t="shared" ref="Q6:Q32" si="0">X6</f>
        <v>CO2</v>
      </c>
      <c r="R6" s="85" t="str">
        <f>General!$B$4</f>
        <v>Gg</v>
      </c>
      <c r="X6" s="78" t="s">
        <v>59</v>
      </c>
      <c r="AA6" s="77" t="s">
        <v>60</v>
      </c>
      <c r="AC6" s="78" t="s">
        <v>1012</v>
      </c>
      <c r="AD6" s="78" t="s">
        <v>1013</v>
      </c>
      <c r="AE6" s="85" t="s">
        <v>719</v>
      </c>
    </row>
    <row r="7" spans="2:36" x14ac:dyDescent="0.25">
      <c r="D7" s="78" t="s">
        <v>61</v>
      </c>
      <c r="E7" s="78" t="s">
        <v>62</v>
      </c>
      <c r="F7" s="85" t="s">
        <v>169</v>
      </c>
      <c r="P7" s="78" t="s">
        <v>63</v>
      </c>
      <c r="Q7" s="78" t="str">
        <f t="shared" si="0"/>
        <v>CH4</v>
      </c>
      <c r="R7" s="85" t="str">
        <f>General!$B$4</f>
        <v>Gg</v>
      </c>
      <c r="X7" s="78" t="s">
        <v>64</v>
      </c>
      <c r="AC7" s="78" t="s">
        <v>1014</v>
      </c>
      <c r="AD7" s="78" t="s">
        <v>1015</v>
      </c>
      <c r="AE7" s="85" t="s">
        <v>719</v>
      </c>
    </row>
    <row r="8" spans="2:36" x14ac:dyDescent="0.25">
      <c r="D8" s="78" t="s">
        <v>65</v>
      </c>
      <c r="E8" s="78" t="s">
        <v>66</v>
      </c>
      <c r="F8" s="85" t="s">
        <v>169</v>
      </c>
      <c r="P8" s="78" t="s">
        <v>67</v>
      </c>
      <c r="Q8" s="78" t="str">
        <f t="shared" si="0"/>
        <v>N2O</v>
      </c>
      <c r="R8" s="85" t="str">
        <f>General!$B$4</f>
        <v>Gg</v>
      </c>
      <c r="X8" s="78" t="s">
        <v>68</v>
      </c>
      <c r="AA8" s="86"/>
      <c r="AB8" s="86"/>
      <c r="AC8" s="86" t="s">
        <v>1016</v>
      </c>
      <c r="AD8" s="86" t="s">
        <v>92</v>
      </c>
      <c r="AE8" s="87" t="s">
        <v>722</v>
      </c>
      <c r="AF8" s="86"/>
      <c r="AG8" s="86"/>
      <c r="AH8" s="86"/>
      <c r="AI8" s="86"/>
      <c r="AJ8" s="86"/>
    </row>
    <row r="9" spans="2:36" x14ac:dyDescent="0.25">
      <c r="D9" s="78" t="s">
        <v>900</v>
      </c>
      <c r="E9" s="78" t="s">
        <v>69</v>
      </c>
      <c r="F9" s="85" t="s">
        <v>169</v>
      </c>
      <c r="P9" s="78" t="s">
        <v>70</v>
      </c>
      <c r="Q9" s="78" t="str">
        <f t="shared" si="0"/>
        <v>CO2 (SUP)</v>
      </c>
      <c r="R9" s="85" t="str">
        <f>General!$B$4</f>
        <v>Gg</v>
      </c>
      <c r="X9" s="78" t="s">
        <v>71</v>
      </c>
      <c r="AA9" s="77" t="s">
        <v>56</v>
      </c>
      <c r="AC9" s="78" t="str">
        <f>AC6&amp;"_SH"</f>
        <v>TER_TP_SH</v>
      </c>
      <c r="AD9" s="78" t="s">
        <v>927</v>
      </c>
      <c r="AE9" s="85" t="str">
        <f>General!$B$2</f>
        <v>PJ</v>
      </c>
    </row>
    <row r="10" spans="2:36" x14ac:dyDescent="0.25">
      <c r="D10" s="78" t="s">
        <v>72</v>
      </c>
      <c r="E10" s="78" t="s">
        <v>73</v>
      </c>
      <c r="F10" s="85" t="s">
        <v>169</v>
      </c>
      <c r="P10" s="78" t="s">
        <v>74</v>
      </c>
      <c r="Q10" s="78" t="str">
        <f t="shared" si="0"/>
        <v>CH4 (SUP)</v>
      </c>
      <c r="R10" s="85" t="str">
        <f>General!$B$4</f>
        <v>Gg</v>
      </c>
      <c r="X10" s="78" t="s">
        <v>75</v>
      </c>
      <c r="AC10" s="78" t="str">
        <f>AC7&amp;"_SH"</f>
        <v>TER_TS_SH</v>
      </c>
      <c r="AD10" s="78" t="s">
        <v>928</v>
      </c>
      <c r="AE10" s="85" t="str">
        <f>General!$B$2</f>
        <v>PJ</v>
      </c>
    </row>
    <row r="11" spans="2:36" x14ac:dyDescent="0.25">
      <c r="D11" s="78" t="s">
        <v>76</v>
      </c>
      <c r="E11" s="78" t="s">
        <v>77</v>
      </c>
      <c r="F11" s="85" t="s">
        <v>169</v>
      </c>
      <c r="P11" s="78" t="s">
        <v>78</v>
      </c>
      <c r="Q11" s="78" t="str">
        <f t="shared" si="0"/>
        <v>N2O (SUP)</v>
      </c>
      <c r="R11" s="85" t="str">
        <f>General!$B$4</f>
        <v>Gg</v>
      </c>
      <c r="X11" s="78" t="s">
        <v>79</v>
      </c>
      <c r="AA11" s="77"/>
      <c r="AC11" s="78" t="str">
        <f>AC6&amp;"_WH"</f>
        <v>TER_TP_WH</v>
      </c>
      <c r="AD11" s="78" t="s">
        <v>929</v>
      </c>
      <c r="AE11" s="85" t="str">
        <f>General!$B$2</f>
        <v>PJ</v>
      </c>
    </row>
    <row r="12" spans="2:36" x14ac:dyDescent="0.25">
      <c r="D12" s="78" t="s">
        <v>80</v>
      </c>
      <c r="E12" s="78" t="s">
        <v>81</v>
      </c>
      <c r="F12" s="85" t="s">
        <v>169</v>
      </c>
      <c r="P12" s="78" t="s">
        <v>82</v>
      </c>
      <c r="Q12" s="78" t="str">
        <f t="shared" si="0"/>
        <v>CO2 (IND)</v>
      </c>
      <c r="R12" s="85" t="str">
        <f>General!$B$4</f>
        <v>Gg</v>
      </c>
      <c r="X12" s="78" t="s">
        <v>83</v>
      </c>
      <c r="AC12" s="78" t="str">
        <f>AC7&amp;"_WH"</f>
        <v>TER_TS_WH</v>
      </c>
      <c r="AD12" s="78" t="s">
        <v>930</v>
      </c>
      <c r="AE12" s="85" t="str">
        <f>General!$B$2</f>
        <v>PJ</v>
      </c>
    </row>
    <row r="13" spans="2:36" x14ac:dyDescent="0.25">
      <c r="D13" s="78" t="s">
        <v>84</v>
      </c>
      <c r="E13" s="78" t="s">
        <v>85</v>
      </c>
      <c r="F13" s="85" t="s">
        <v>169</v>
      </c>
      <c r="P13" s="78" t="s">
        <v>86</v>
      </c>
      <c r="Q13" s="78" t="str">
        <f t="shared" si="0"/>
        <v>CH4 (IND)</v>
      </c>
      <c r="R13" s="85" t="str">
        <f>General!$B$4</f>
        <v>Gg</v>
      </c>
      <c r="X13" s="78" t="s">
        <v>87</v>
      </c>
      <c r="AA13" s="77"/>
      <c r="AC13" s="78" t="str">
        <f>AC6&amp;"_SC"</f>
        <v>TER_TP_SC</v>
      </c>
      <c r="AD13" s="78" t="s">
        <v>931</v>
      </c>
      <c r="AE13" s="85" t="str">
        <f>General!$B$2</f>
        <v>PJ</v>
      </c>
    </row>
    <row r="14" spans="2:36" x14ac:dyDescent="0.25">
      <c r="D14" s="78" t="s">
        <v>88</v>
      </c>
      <c r="E14" s="78" t="s">
        <v>89</v>
      </c>
      <c r="F14" s="85" t="s">
        <v>169</v>
      </c>
      <c r="P14" s="78" t="s">
        <v>90</v>
      </c>
      <c r="Q14" s="78" t="str">
        <f t="shared" si="0"/>
        <v>N2O (IND)</v>
      </c>
      <c r="R14" s="85" t="str">
        <f>General!$B$4</f>
        <v>Gg</v>
      </c>
      <c r="X14" s="78" t="s">
        <v>91</v>
      </c>
      <c r="AC14" s="78" t="str">
        <f>AC7&amp;"_SC"</f>
        <v>TER_TS_SC</v>
      </c>
      <c r="AD14" s="78" t="s">
        <v>932</v>
      </c>
      <c r="AE14" s="85" t="str">
        <f>General!$B$2</f>
        <v>PJ</v>
      </c>
    </row>
    <row r="15" spans="2:36" x14ac:dyDescent="0.25">
      <c r="D15" s="78" t="s">
        <v>93</v>
      </c>
      <c r="E15" s="78" t="s">
        <v>94</v>
      </c>
      <c r="F15" s="85" t="s">
        <v>169</v>
      </c>
      <c r="P15" s="78" t="s">
        <v>95</v>
      </c>
      <c r="Q15" s="78" t="str">
        <f t="shared" si="0"/>
        <v>CO2 (RSD)</v>
      </c>
      <c r="R15" s="85" t="str">
        <f>General!$B$4</f>
        <v>Gg</v>
      </c>
      <c r="X15" s="78" t="s">
        <v>96</v>
      </c>
      <c r="AA15" s="88"/>
      <c r="AB15" s="89"/>
      <c r="AC15" s="89" t="str">
        <f>AC6&amp;"_CK"</f>
        <v>TER_TP_CK</v>
      </c>
      <c r="AD15" s="89" t="s">
        <v>933</v>
      </c>
      <c r="AE15" s="90" t="s">
        <v>169</v>
      </c>
      <c r="AF15" s="89"/>
      <c r="AG15" s="89"/>
      <c r="AH15" s="89"/>
      <c r="AI15" s="89"/>
      <c r="AJ15" s="89"/>
    </row>
    <row r="16" spans="2:36" x14ac:dyDescent="0.25">
      <c r="D16" s="78" t="s">
        <v>97</v>
      </c>
      <c r="E16" s="78" t="s">
        <v>98</v>
      </c>
      <c r="F16" s="85" t="s">
        <v>169</v>
      </c>
      <c r="P16" s="78" t="s">
        <v>99</v>
      </c>
      <c r="Q16" s="78" t="str">
        <f t="shared" si="0"/>
        <v>CH4 (RSD)</v>
      </c>
      <c r="R16" s="85" t="str">
        <f>General!$B$4</f>
        <v>Gg</v>
      </c>
      <c r="X16" s="78" t="s">
        <v>100</v>
      </c>
      <c r="AA16" s="91"/>
      <c r="AB16" s="91"/>
      <c r="AC16" s="91" t="str">
        <f>AC7&amp;"_CK"</f>
        <v>TER_TS_CK</v>
      </c>
      <c r="AD16" s="91" t="s">
        <v>934</v>
      </c>
      <c r="AE16" s="92" t="s">
        <v>169</v>
      </c>
      <c r="AF16" s="91"/>
      <c r="AG16" s="91"/>
      <c r="AH16" s="91"/>
      <c r="AI16" s="91"/>
      <c r="AJ16" s="91"/>
    </row>
    <row r="17" spans="4:36" x14ac:dyDescent="0.25">
      <c r="D17" s="78" t="s">
        <v>101</v>
      </c>
      <c r="E17" s="78" t="s">
        <v>102</v>
      </c>
      <c r="F17" s="85" t="s">
        <v>169</v>
      </c>
      <c r="P17" s="78" t="s">
        <v>103</v>
      </c>
      <c r="Q17" s="78" t="str">
        <f t="shared" si="0"/>
        <v>N2O (RSD)</v>
      </c>
      <c r="R17" s="85" t="str">
        <f>General!$B$4</f>
        <v>Gg</v>
      </c>
      <c r="X17" s="78" t="s">
        <v>104</v>
      </c>
      <c r="AA17" s="88" t="s">
        <v>174</v>
      </c>
      <c r="AB17" s="89"/>
      <c r="AC17" s="89" t="str">
        <f>AC6&amp;"_LI"</f>
        <v>TER_TP_LI</v>
      </c>
      <c r="AD17" s="89" t="s">
        <v>842</v>
      </c>
      <c r="AE17" s="90" t="str">
        <f>General!$D$24</f>
        <v>000lamps</v>
      </c>
      <c r="AF17" s="89"/>
      <c r="AG17" s="89"/>
      <c r="AH17" s="89"/>
      <c r="AI17" s="89"/>
      <c r="AJ17" s="89"/>
    </row>
    <row r="18" spans="4:36" x14ac:dyDescent="0.25">
      <c r="D18" s="78" t="s">
        <v>105</v>
      </c>
      <c r="E18" s="78" t="s">
        <v>106</v>
      </c>
      <c r="F18" s="85" t="s">
        <v>169</v>
      </c>
      <c r="P18" s="78" t="s">
        <v>1006</v>
      </c>
      <c r="Q18" s="78" t="str">
        <f t="shared" si="0"/>
        <v>CO2 (TER)</v>
      </c>
      <c r="R18" s="85" t="str">
        <f>General!$B$4</f>
        <v>Gg</v>
      </c>
      <c r="X18" s="78" t="s">
        <v>1007</v>
      </c>
      <c r="AA18" s="91"/>
      <c r="AB18" s="91"/>
      <c r="AC18" s="91" t="str">
        <f>AC7&amp;"_LI"</f>
        <v>TER_TS_LI</v>
      </c>
      <c r="AD18" s="91" t="s">
        <v>845</v>
      </c>
      <c r="AE18" s="92" t="str">
        <f>General!$D$24</f>
        <v>000lamps</v>
      </c>
      <c r="AF18" s="91"/>
      <c r="AG18" s="91"/>
      <c r="AH18" s="91"/>
      <c r="AI18" s="91"/>
      <c r="AJ18" s="91"/>
    </row>
    <row r="19" spans="4:36" x14ac:dyDescent="0.25">
      <c r="D19" s="78" t="s">
        <v>107</v>
      </c>
      <c r="E19" s="78" t="s">
        <v>108</v>
      </c>
      <c r="F19" s="85" t="s">
        <v>169</v>
      </c>
      <c r="P19" s="78" t="s">
        <v>1008</v>
      </c>
      <c r="Q19" s="78" t="str">
        <f t="shared" si="0"/>
        <v>CH4 (TER)</v>
      </c>
      <c r="R19" s="85" t="str">
        <f>General!$B$4</f>
        <v>Gg</v>
      </c>
      <c r="X19" s="78" t="s">
        <v>1009</v>
      </c>
      <c r="AA19" s="88"/>
      <c r="AB19" s="89"/>
      <c r="AC19" s="89" t="str">
        <f>AC6&amp;"_RF"</f>
        <v>TER_TP_RF</v>
      </c>
      <c r="AD19" s="89" t="s">
        <v>843</v>
      </c>
      <c r="AE19" s="90" t="s">
        <v>192</v>
      </c>
      <c r="AF19" s="89"/>
      <c r="AG19" s="89"/>
      <c r="AH19" s="89"/>
      <c r="AI19" s="89"/>
      <c r="AJ19" s="86"/>
    </row>
    <row r="20" spans="4:36" x14ac:dyDescent="0.25">
      <c r="D20" s="78" t="s">
        <v>109</v>
      </c>
      <c r="E20" s="78" t="s">
        <v>110</v>
      </c>
      <c r="F20" s="85" t="s">
        <v>169</v>
      </c>
      <c r="P20" s="78" t="s">
        <v>1010</v>
      </c>
      <c r="Q20" s="78" t="str">
        <f t="shared" si="0"/>
        <v>N2O (TER)</v>
      </c>
      <c r="R20" s="85" t="str">
        <f>General!$B$4</f>
        <v>Gg</v>
      </c>
      <c r="X20" s="78" t="s">
        <v>1011</v>
      </c>
      <c r="AA20" s="93"/>
      <c r="AB20" s="91"/>
      <c r="AC20" s="91" t="str">
        <f>AC7&amp;"_RF"</f>
        <v>TER_TS_RF</v>
      </c>
      <c r="AD20" s="91" t="s">
        <v>846</v>
      </c>
      <c r="AE20" s="92" t="s">
        <v>192</v>
      </c>
      <c r="AF20" s="91"/>
      <c r="AG20" s="91"/>
      <c r="AH20" s="91"/>
      <c r="AI20" s="91"/>
      <c r="AJ20" s="89"/>
    </row>
    <row r="21" spans="4:36" x14ac:dyDescent="0.25">
      <c r="D21" s="78" t="s">
        <v>111</v>
      </c>
      <c r="E21" s="78" t="s">
        <v>112</v>
      </c>
      <c r="F21" s="85" t="s">
        <v>169</v>
      </c>
      <c r="P21" s="78" t="s">
        <v>113</v>
      </c>
      <c r="Q21" s="78" t="str">
        <f t="shared" si="0"/>
        <v>CO2 (AGR)</v>
      </c>
      <c r="R21" s="85" t="str">
        <f>General!$B$4</f>
        <v>Gg</v>
      </c>
      <c r="X21" s="78" t="s">
        <v>114</v>
      </c>
      <c r="AA21" s="91"/>
      <c r="AB21" s="91"/>
      <c r="AC21" s="91" t="str">
        <f>AC6&amp;"_AP"</f>
        <v>TER_TP_AP</v>
      </c>
      <c r="AD21" s="91" t="s">
        <v>844</v>
      </c>
      <c r="AE21" s="92" t="s">
        <v>192</v>
      </c>
      <c r="AF21" s="91"/>
      <c r="AG21" s="91"/>
      <c r="AH21" s="91"/>
      <c r="AI21" s="91"/>
      <c r="AJ21" s="91"/>
    </row>
    <row r="22" spans="4:36" x14ac:dyDescent="0.25">
      <c r="D22" s="78" t="s">
        <v>115</v>
      </c>
      <c r="E22" s="78" t="s">
        <v>116</v>
      </c>
      <c r="F22" s="85" t="s">
        <v>169</v>
      </c>
      <c r="P22" s="78" t="s">
        <v>117</v>
      </c>
      <c r="Q22" s="78" t="str">
        <f t="shared" si="0"/>
        <v>CH4 (AGR)</v>
      </c>
      <c r="R22" s="85" t="str">
        <f>General!$B$4</f>
        <v>Gg</v>
      </c>
      <c r="X22" s="78" t="s">
        <v>118</v>
      </c>
      <c r="AA22" s="91"/>
      <c r="AB22" s="91"/>
      <c r="AC22" s="91" t="str">
        <f>AC7&amp;"_AP"</f>
        <v>TER_TS_AP</v>
      </c>
      <c r="AD22" s="91" t="s">
        <v>847</v>
      </c>
      <c r="AE22" s="92" t="s">
        <v>192</v>
      </c>
      <c r="AF22" s="91"/>
      <c r="AG22" s="91"/>
      <c r="AH22" s="91"/>
      <c r="AI22" s="91"/>
      <c r="AJ22" s="91"/>
    </row>
    <row r="23" spans="4:36" x14ac:dyDescent="0.25">
      <c r="D23" s="78" t="s">
        <v>119</v>
      </c>
      <c r="E23" s="78" t="s">
        <v>120</v>
      </c>
      <c r="F23" s="85" t="s">
        <v>169</v>
      </c>
      <c r="P23" s="78" t="s">
        <v>121</v>
      </c>
      <c r="Q23" s="78" t="str">
        <f t="shared" si="0"/>
        <v>N2O (AGR)</v>
      </c>
      <c r="R23" s="85" t="str">
        <f>General!$B$4</f>
        <v>Gg</v>
      </c>
      <c r="X23" s="78" t="s">
        <v>122</v>
      </c>
      <c r="AJ23" s="91"/>
    </row>
    <row r="24" spans="4:36" x14ac:dyDescent="0.25">
      <c r="D24" s="78" t="s">
        <v>123</v>
      </c>
      <c r="E24" s="78" t="s">
        <v>124</v>
      </c>
      <c r="F24" s="85" t="s">
        <v>169</v>
      </c>
      <c r="P24" s="78" t="s">
        <v>125</v>
      </c>
      <c r="Q24" s="78" t="str">
        <f t="shared" si="0"/>
        <v>CO2 (TRA)</v>
      </c>
      <c r="R24" s="85" t="str">
        <f>General!$B$4</f>
        <v>Gg</v>
      </c>
      <c r="X24" s="78" t="s">
        <v>126</v>
      </c>
    </row>
    <row r="25" spans="4:36" x14ac:dyDescent="0.25">
      <c r="D25" s="78" t="s">
        <v>127</v>
      </c>
      <c r="E25" s="78" t="s">
        <v>128</v>
      </c>
      <c r="F25" s="85" t="s">
        <v>169</v>
      </c>
      <c r="P25" s="78" t="s">
        <v>129</v>
      </c>
      <c r="Q25" s="78" t="str">
        <f t="shared" si="0"/>
        <v>CH4 (TRA)</v>
      </c>
      <c r="R25" s="85" t="str">
        <f>General!$B$4</f>
        <v>Gg</v>
      </c>
      <c r="X25" s="78" t="s">
        <v>130</v>
      </c>
    </row>
    <row r="26" spans="4:36" x14ac:dyDescent="0.25">
      <c r="D26" s="78" t="s">
        <v>131</v>
      </c>
      <c r="E26" s="78" t="s">
        <v>132</v>
      </c>
      <c r="F26" s="85" t="s">
        <v>169</v>
      </c>
      <c r="P26" s="78" t="s">
        <v>133</v>
      </c>
      <c r="Q26" s="78" t="str">
        <f t="shared" si="0"/>
        <v>N2O (TRA)</v>
      </c>
      <c r="R26" s="85" t="str">
        <f>General!$B$4</f>
        <v>Gg</v>
      </c>
      <c r="X26" s="78" t="s">
        <v>134</v>
      </c>
    </row>
    <row r="27" spans="4:36" x14ac:dyDescent="0.25">
      <c r="D27" s="78" t="s">
        <v>135</v>
      </c>
      <c r="E27" s="78" t="s">
        <v>136</v>
      </c>
      <c r="F27" s="85" t="s">
        <v>169</v>
      </c>
      <c r="P27" s="78" t="s">
        <v>137</v>
      </c>
      <c r="Q27" s="78" t="str">
        <f t="shared" si="0"/>
        <v>CO2 (ELE)</v>
      </c>
      <c r="R27" s="85" t="str">
        <f>General!$B$4</f>
        <v>Gg</v>
      </c>
      <c r="X27" s="78" t="s">
        <v>138</v>
      </c>
    </row>
    <row r="28" spans="4:36" x14ac:dyDescent="0.25">
      <c r="D28" s="78" t="s">
        <v>139</v>
      </c>
      <c r="E28" s="78" t="s">
        <v>140</v>
      </c>
      <c r="F28" s="85" t="s">
        <v>169</v>
      </c>
      <c r="P28" s="78" t="s">
        <v>141</v>
      </c>
      <c r="Q28" s="78" t="str">
        <f t="shared" si="0"/>
        <v>CH4 (ELE)</v>
      </c>
      <c r="R28" s="85" t="str">
        <f>General!$B$4</f>
        <v>Gg</v>
      </c>
      <c r="X28" s="78" t="s">
        <v>142</v>
      </c>
    </row>
    <row r="29" spans="4:36" x14ac:dyDescent="0.25">
      <c r="D29" s="78" t="s">
        <v>143</v>
      </c>
      <c r="E29" s="78" t="s">
        <v>144</v>
      </c>
      <c r="F29" s="85" t="s">
        <v>169</v>
      </c>
      <c r="P29" s="78" t="s">
        <v>145</v>
      </c>
      <c r="Q29" s="78" t="str">
        <f t="shared" si="0"/>
        <v>N2O (ELE)</v>
      </c>
      <c r="R29" s="85" t="str">
        <f>General!$B$4</f>
        <v>Gg</v>
      </c>
      <c r="X29" s="78" t="s">
        <v>146</v>
      </c>
    </row>
    <row r="30" spans="4:36" x14ac:dyDescent="0.25">
      <c r="D30" s="78" t="s">
        <v>147</v>
      </c>
      <c r="E30" s="78" t="s">
        <v>148</v>
      </c>
      <c r="F30" s="85" t="s">
        <v>169</v>
      </c>
      <c r="P30" s="78" t="s">
        <v>149</v>
      </c>
      <c r="Q30" s="78" t="str">
        <f t="shared" si="0"/>
        <v>CO2 (HET)</v>
      </c>
      <c r="R30" s="85" t="str">
        <f>General!$B$4</f>
        <v>Gg</v>
      </c>
      <c r="X30" s="78" t="s">
        <v>150</v>
      </c>
    </row>
    <row r="31" spans="4:36" x14ac:dyDescent="0.25">
      <c r="D31" s="78" t="s">
        <v>151</v>
      </c>
      <c r="E31" s="78" t="s">
        <v>152</v>
      </c>
      <c r="F31" s="85" t="s">
        <v>169</v>
      </c>
      <c r="P31" s="78" t="s">
        <v>153</v>
      </c>
      <c r="Q31" s="78" t="str">
        <f t="shared" si="0"/>
        <v>CH4 (HET)</v>
      </c>
      <c r="R31" s="85" t="str">
        <f>General!$B$4</f>
        <v>Gg</v>
      </c>
      <c r="X31" s="78" t="s">
        <v>154</v>
      </c>
    </row>
    <row r="32" spans="4:36" x14ac:dyDescent="0.25">
      <c r="D32" s="78" t="s">
        <v>155</v>
      </c>
      <c r="E32" s="78" t="s">
        <v>156</v>
      </c>
      <c r="F32" s="85" t="s">
        <v>169</v>
      </c>
      <c r="P32" s="78" t="s">
        <v>157</v>
      </c>
      <c r="Q32" s="78" t="str">
        <f t="shared" si="0"/>
        <v>N2O (HET)</v>
      </c>
      <c r="R32" s="85" t="str">
        <f>General!$B$4</f>
        <v>Gg</v>
      </c>
      <c r="X32" s="78" t="s">
        <v>158</v>
      </c>
    </row>
    <row r="33" spans="4:6" x14ac:dyDescent="0.25">
      <c r="D33" s="78" t="s">
        <v>159</v>
      </c>
      <c r="E33" s="78" t="s">
        <v>160</v>
      </c>
      <c r="F33" s="85" t="s">
        <v>169</v>
      </c>
    </row>
    <row r="34" spans="4:6" x14ac:dyDescent="0.25">
      <c r="D34" s="78" t="s">
        <v>161</v>
      </c>
      <c r="E34" s="78" t="s">
        <v>162</v>
      </c>
      <c r="F34" s="85" t="s">
        <v>169</v>
      </c>
    </row>
    <row r="35" spans="4:6" x14ac:dyDescent="0.25">
      <c r="D35" s="78" t="s">
        <v>163</v>
      </c>
      <c r="E35" s="78" t="s">
        <v>164</v>
      </c>
      <c r="F35" s="85" t="s">
        <v>169</v>
      </c>
    </row>
    <row r="36" spans="4:6" x14ac:dyDescent="0.25">
      <c r="D36" s="78" t="s">
        <v>165</v>
      </c>
      <c r="E36" s="78" t="s">
        <v>166</v>
      </c>
      <c r="F36" s="85" t="s">
        <v>169</v>
      </c>
    </row>
    <row r="37" spans="4:6" x14ac:dyDescent="0.25">
      <c r="D37" s="78" t="s">
        <v>167</v>
      </c>
      <c r="E37" s="78" t="s">
        <v>168</v>
      </c>
      <c r="F37" s="85" t="s">
        <v>169</v>
      </c>
    </row>
    <row r="38" spans="4:6" x14ac:dyDescent="0.25">
      <c r="D38" s="78" t="s">
        <v>170</v>
      </c>
      <c r="E38" s="78" t="s">
        <v>171</v>
      </c>
      <c r="F38" s="85" t="s">
        <v>169</v>
      </c>
    </row>
    <row r="39" spans="4:6" x14ac:dyDescent="0.25">
      <c r="D39" s="78" t="s">
        <v>172</v>
      </c>
      <c r="E39" s="78" t="s">
        <v>173</v>
      </c>
      <c r="F39" s="85" t="s">
        <v>169</v>
      </c>
    </row>
    <row r="40" spans="4:6" x14ac:dyDescent="0.25">
      <c r="D40" s="78" t="s">
        <v>175</v>
      </c>
      <c r="E40" s="78" t="s">
        <v>176</v>
      </c>
      <c r="F40" s="85" t="s">
        <v>169</v>
      </c>
    </row>
    <row r="41" spans="4:6" x14ac:dyDescent="0.25">
      <c r="D41" s="78" t="s">
        <v>177</v>
      </c>
      <c r="E41" s="78" t="s">
        <v>178</v>
      </c>
      <c r="F41" s="85" t="s">
        <v>169</v>
      </c>
    </row>
    <row r="42" spans="4:6" x14ac:dyDescent="0.25">
      <c r="D42" s="78" t="s">
        <v>179</v>
      </c>
      <c r="E42" s="78" t="s">
        <v>180</v>
      </c>
      <c r="F42" s="85" t="s">
        <v>169</v>
      </c>
    </row>
    <row r="43" spans="4:6" x14ac:dyDescent="0.25">
      <c r="D43" s="78" t="s">
        <v>181</v>
      </c>
      <c r="E43" s="78" t="s">
        <v>182</v>
      </c>
      <c r="F43" s="85" t="s">
        <v>169</v>
      </c>
    </row>
    <row r="44" spans="4:6" x14ac:dyDescent="0.25">
      <c r="D44" s="78" t="s">
        <v>183</v>
      </c>
      <c r="E44" s="78" t="s">
        <v>184</v>
      </c>
      <c r="F44" s="85" t="s">
        <v>169</v>
      </c>
    </row>
    <row r="45" spans="4:6" x14ac:dyDescent="0.25">
      <c r="D45" s="78" t="s">
        <v>185</v>
      </c>
      <c r="E45" s="78" t="s">
        <v>186</v>
      </c>
      <c r="F45" s="85" t="s">
        <v>169</v>
      </c>
    </row>
    <row r="46" spans="4:6" x14ac:dyDescent="0.25">
      <c r="D46" s="78" t="s">
        <v>187</v>
      </c>
      <c r="E46" s="78" t="s">
        <v>188</v>
      </c>
      <c r="F46" s="85" t="s">
        <v>169</v>
      </c>
    </row>
    <row r="47" spans="4:6" x14ac:dyDescent="0.25">
      <c r="D47" s="78" t="s">
        <v>189</v>
      </c>
      <c r="E47" s="78" t="s">
        <v>190</v>
      </c>
      <c r="F47" s="85" t="s">
        <v>169</v>
      </c>
    </row>
    <row r="48" spans="4:6" x14ac:dyDescent="0.25">
      <c r="D48" s="78" t="s">
        <v>181</v>
      </c>
      <c r="E48" s="78" t="s">
        <v>191</v>
      </c>
      <c r="F48" s="85" t="s">
        <v>169</v>
      </c>
    </row>
    <row r="49" spans="4:6" x14ac:dyDescent="0.25">
      <c r="D49" s="78" t="s">
        <v>193</v>
      </c>
      <c r="E49" s="78" t="s">
        <v>194</v>
      </c>
      <c r="F49" s="85" t="s">
        <v>169</v>
      </c>
    </row>
    <row r="50" spans="4:6" x14ac:dyDescent="0.25">
      <c r="D50" s="78" t="s">
        <v>195</v>
      </c>
      <c r="E50" s="78" t="s">
        <v>196</v>
      </c>
      <c r="F50" s="85" t="s">
        <v>169</v>
      </c>
    </row>
    <row r="51" spans="4:6" x14ac:dyDescent="0.25">
      <c r="D51" s="78" t="s">
        <v>197</v>
      </c>
      <c r="E51" s="78" t="s">
        <v>198</v>
      </c>
      <c r="F51" s="85" t="s">
        <v>169</v>
      </c>
    </row>
    <row r="52" spans="4:6" x14ac:dyDescent="0.25">
      <c r="D52" s="78" t="s">
        <v>199</v>
      </c>
      <c r="E52" s="78" t="s">
        <v>200</v>
      </c>
      <c r="F52" s="85" t="s">
        <v>169</v>
      </c>
    </row>
    <row r="53" spans="4:6" x14ac:dyDescent="0.25">
      <c r="D53" s="78" t="s">
        <v>201</v>
      </c>
      <c r="E53" s="78" t="s">
        <v>202</v>
      </c>
      <c r="F53" s="85" t="s">
        <v>169</v>
      </c>
    </row>
    <row r="54" spans="4:6" x14ac:dyDescent="0.25">
      <c r="D54" s="78" t="s">
        <v>203</v>
      </c>
      <c r="E54" s="78" t="s">
        <v>204</v>
      </c>
      <c r="F54" s="85" t="s">
        <v>169</v>
      </c>
    </row>
    <row r="55" spans="4:6" x14ac:dyDescent="0.25">
      <c r="D55" s="78" t="s">
        <v>205</v>
      </c>
      <c r="E55" s="78" t="s">
        <v>206</v>
      </c>
      <c r="F55" s="85" t="s">
        <v>169</v>
      </c>
    </row>
    <row r="56" spans="4:6" x14ac:dyDescent="0.25">
      <c r="D56" s="78" t="s">
        <v>207</v>
      </c>
      <c r="E56" s="78" t="s">
        <v>208</v>
      </c>
      <c r="F56" s="85" t="s">
        <v>169</v>
      </c>
    </row>
    <row r="57" spans="4:6" x14ac:dyDescent="0.25">
      <c r="D57" s="78" t="s">
        <v>209</v>
      </c>
      <c r="E57" s="78" t="s">
        <v>210</v>
      </c>
      <c r="F57" s="85" t="s">
        <v>169</v>
      </c>
    </row>
    <row r="58" spans="4:6" x14ac:dyDescent="0.25">
      <c r="D58" s="78" t="s">
        <v>901</v>
      </c>
      <c r="E58" s="78" t="s">
        <v>902</v>
      </c>
      <c r="F58" s="85" t="s">
        <v>169</v>
      </c>
    </row>
    <row r="59" spans="4:6" x14ac:dyDescent="0.25">
      <c r="D59" s="78" t="s">
        <v>211</v>
      </c>
      <c r="E59" s="78" t="s">
        <v>212</v>
      </c>
      <c r="F59" s="85" t="s">
        <v>169</v>
      </c>
    </row>
    <row r="60" spans="4:6" x14ac:dyDescent="0.25">
      <c r="D60" s="78" t="s">
        <v>903</v>
      </c>
      <c r="E60" s="78" t="s">
        <v>213</v>
      </c>
      <c r="F60" s="85" t="s">
        <v>169</v>
      </c>
    </row>
    <row r="61" spans="4:6" x14ac:dyDescent="0.25">
      <c r="D61" s="78" t="s">
        <v>214</v>
      </c>
      <c r="E61" s="78" t="s">
        <v>215</v>
      </c>
      <c r="F61" s="85" t="s">
        <v>169</v>
      </c>
    </row>
    <row r="62" spans="4:6" x14ac:dyDescent="0.25">
      <c r="D62" s="78" t="s">
        <v>216</v>
      </c>
      <c r="E62" s="78" t="s">
        <v>217</v>
      </c>
      <c r="F62" s="85" t="s">
        <v>169</v>
      </c>
    </row>
    <row r="63" spans="4:6" x14ac:dyDescent="0.25">
      <c r="D63" s="78" t="s">
        <v>218</v>
      </c>
      <c r="E63" s="78" t="s">
        <v>219</v>
      </c>
      <c r="F63" s="85" t="s">
        <v>169</v>
      </c>
    </row>
    <row r="64" spans="4:6" x14ac:dyDescent="0.25">
      <c r="D64" s="78" t="s">
        <v>220</v>
      </c>
      <c r="E64" s="78" t="s">
        <v>221</v>
      </c>
      <c r="F64" s="85" t="s">
        <v>169</v>
      </c>
    </row>
    <row r="65" spans="4:6" x14ac:dyDescent="0.25">
      <c r="D65" s="78" t="s">
        <v>222</v>
      </c>
      <c r="E65" s="78" t="s">
        <v>223</v>
      </c>
      <c r="F65" s="85" t="s">
        <v>169</v>
      </c>
    </row>
    <row r="66" spans="4:6" x14ac:dyDescent="0.25">
      <c r="D66" s="78" t="s">
        <v>904</v>
      </c>
      <c r="E66" s="78" t="s">
        <v>224</v>
      </c>
      <c r="F66" s="85" t="s">
        <v>169</v>
      </c>
    </row>
    <row r="67" spans="4:6" x14ac:dyDescent="0.25">
      <c r="D67" s="78" t="s">
        <v>225</v>
      </c>
      <c r="E67" s="78" t="s">
        <v>226</v>
      </c>
      <c r="F67" s="85" t="s">
        <v>169</v>
      </c>
    </row>
    <row r="68" spans="4:6" x14ac:dyDescent="0.25">
      <c r="D68" s="78" t="s">
        <v>227</v>
      </c>
      <c r="E68" s="78" t="s">
        <v>228</v>
      </c>
      <c r="F68" s="85" t="s">
        <v>169</v>
      </c>
    </row>
    <row r="69" spans="4:6" x14ac:dyDescent="0.25">
      <c r="D69" s="78" t="s">
        <v>905</v>
      </c>
      <c r="E69" s="78" t="s">
        <v>906</v>
      </c>
      <c r="F69" s="85" t="s">
        <v>169</v>
      </c>
    </row>
    <row r="70" spans="4:6" x14ac:dyDescent="0.25">
      <c r="D70" s="78" t="s">
        <v>229</v>
      </c>
      <c r="E70" s="78" t="s">
        <v>230</v>
      </c>
      <c r="F70" s="85" t="s">
        <v>169</v>
      </c>
    </row>
    <row r="71" spans="4:6" x14ac:dyDescent="0.25">
      <c r="D71" s="78" t="s">
        <v>231</v>
      </c>
      <c r="E71" s="78" t="s">
        <v>232</v>
      </c>
      <c r="F71" s="85" t="s">
        <v>169</v>
      </c>
    </row>
    <row r="72" spans="4:6" x14ac:dyDescent="0.25">
      <c r="D72" s="78" t="s">
        <v>907</v>
      </c>
      <c r="E72" s="78" t="s">
        <v>233</v>
      </c>
      <c r="F72" s="85" t="s">
        <v>169</v>
      </c>
    </row>
    <row r="73" spans="4:6" x14ac:dyDescent="0.25">
      <c r="D73" s="78" t="s">
        <v>234</v>
      </c>
      <c r="E73" s="78" t="s">
        <v>235</v>
      </c>
      <c r="F73" s="85" t="s">
        <v>169</v>
      </c>
    </row>
    <row r="74" spans="4:6" x14ac:dyDescent="0.25">
      <c r="D74" s="78" t="s">
        <v>236</v>
      </c>
      <c r="E74" s="78" t="s">
        <v>237</v>
      </c>
      <c r="F74" s="85" t="s">
        <v>169</v>
      </c>
    </row>
    <row r="75" spans="4:6" x14ac:dyDescent="0.25">
      <c r="D75" s="78" t="s">
        <v>238</v>
      </c>
      <c r="E75" s="78" t="s">
        <v>239</v>
      </c>
      <c r="F75" s="85" t="s">
        <v>169</v>
      </c>
    </row>
    <row r="76" spans="4:6" x14ac:dyDescent="0.25">
      <c r="D76" s="78" t="s">
        <v>240</v>
      </c>
      <c r="E76" s="78" t="s">
        <v>241</v>
      </c>
      <c r="F76" s="85" t="s">
        <v>169</v>
      </c>
    </row>
    <row r="77" spans="4:6" x14ac:dyDescent="0.25">
      <c r="D77" s="78" t="s">
        <v>242</v>
      </c>
      <c r="E77" s="78" t="s">
        <v>243</v>
      </c>
      <c r="F77" s="85" t="s">
        <v>169</v>
      </c>
    </row>
    <row r="78" spans="4:6" x14ac:dyDescent="0.25">
      <c r="D78" s="78" t="s">
        <v>244</v>
      </c>
      <c r="E78" s="78" t="s">
        <v>245</v>
      </c>
      <c r="F78" s="85" t="s">
        <v>169</v>
      </c>
    </row>
    <row r="79" spans="4:6" x14ac:dyDescent="0.25">
      <c r="D79" s="78" t="s">
        <v>246</v>
      </c>
      <c r="E79" s="78" t="s">
        <v>247</v>
      </c>
      <c r="F79" s="85" t="s">
        <v>169</v>
      </c>
    </row>
    <row r="80" spans="4:6" x14ac:dyDescent="0.25">
      <c r="D80" s="78" t="s">
        <v>248</v>
      </c>
      <c r="E80" s="78" t="s">
        <v>249</v>
      </c>
      <c r="F80" s="85" t="s">
        <v>169</v>
      </c>
    </row>
    <row r="81" spans="4:6" x14ac:dyDescent="0.25">
      <c r="D81" s="78" t="s">
        <v>250</v>
      </c>
      <c r="E81" s="78" t="s">
        <v>251</v>
      </c>
      <c r="F81" s="85" t="s">
        <v>169</v>
      </c>
    </row>
    <row r="82" spans="4:6" x14ac:dyDescent="0.25">
      <c r="D82" s="78" t="s">
        <v>252</v>
      </c>
      <c r="E82" s="78" t="s">
        <v>253</v>
      </c>
      <c r="F82" s="85" t="s">
        <v>169</v>
      </c>
    </row>
    <row r="83" spans="4:6" x14ac:dyDescent="0.25">
      <c r="D83" s="78" t="s">
        <v>254</v>
      </c>
      <c r="E83" s="78" t="s">
        <v>255</v>
      </c>
      <c r="F83" s="85" t="s">
        <v>169</v>
      </c>
    </row>
    <row r="84" spans="4:6" x14ac:dyDescent="0.25">
      <c r="D84" s="78" t="s">
        <v>256</v>
      </c>
      <c r="E84" s="78" t="s">
        <v>257</v>
      </c>
      <c r="F84" s="85" t="s">
        <v>169</v>
      </c>
    </row>
    <row r="85" spans="4:6" x14ac:dyDescent="0.25">
      <c r="D85" s="78" t="s">
        <v>258</v>
      </c>
      <c r="E85" s="78" t="s">
        <v>259</v>
      </c>
      <c r="F85" s="85" t="s">
        <v>169</v>
      </c>
    </row>
    <row r="86" spans="4:6" x14ac:dyDescent="0.25">
      <c r="D86" s="78" t="s">
        <v>260</v>
      </c>
      <c r="E86" s="78" t="s">
        <v>261</v>
      </c>
      <c r="F86" s="85" t="s">
        <v>169</v>
      </c>
    </row>
    <row r="87" spans="4:6" x14ac:dyDescent="0.25">
      <c r="D87" s="78" t="s">
        <v>262</v>
      </c>
      <c r="E87" s="78" t="s">
        <v>263</v>
      </c>
      <c r="F87" s="85" t="s">
        <v>169</v>
      </c>
    </row>
    <row r="88" spans="4:6" x14ac:dyDescent="0.25">
      <c r="D88" s="78" t="s">
        <v>264</v>
      </c>
      <c r="E88" s="78" t="s">
        <v>265</v>
      </c>
      <c r="F88" s="85" t="s">
        <v>169</v>
      </c>
    </row>
    <row r="89" spans="4:6" x14ac:dyDescent="0.25">
      <c r="D89" s="78" t="s">
        <v>266</v>
      </c>
      <c r="E89" s="78" t="s">
        <v>267</v>
      </c>
      <c r="F89" s="85" t="s">
        <v>169</v>
      </c>
    </row>
    <row r="90" spans="4:6" x14ac:dyDescent="0.25">
      <c r="D90" s="78" t="s">
        <v>268</v>
      </c>
      <c r="E90" s="78" t="s">
        <v>269</v>
      </c>
      <c r="F90" s="85" t="s">
        <v>169</v>
      </c>
    </row>
    <row r="91" spans="4:6" x14ac:dyDescent="0.25">
      <c r="D91" s="78" t="s">
        <v>270</v>
      </c>
      <c r="E91" s="78" t="s">
        <v>271</v>
      </c>
      <c r="F91" s="85" t="s">
        <v>169</v>
      </c>
    </row>
    <row r="92" spans="4:6" x14ac:dyDescent="0.25">
      <c r="D92" s="78" t="s">
        <v>272</v>
      </c>
      <c r="E92" s="78" t="s">
        <v>273</v>
      </c>
      <c r="F92" s="85" t="s">
        <v>169</v>
      </c>
    </row>
    <row r="93" spans="4:6" x14ac:dyDescent="0.25">
      <c r="D93" s="78" t="s">
        <v>274</v>
      </c>
      <c r="E93" s="78" t="s">
        <v>275</v>
      </c>
      <c r="F93" s="85" t="s">
        <v>169</v>
      </c>
    </row>
    <row r="94" spans="4:6" x14ac:dyDescent="0.25">
      <c r="D94" s="78" t="s">
        <v>276</v>
      </c>
      <c r="E94" s="78" t="s">
        <v>277</v>
      </c>
      <c r="F94" s="85" t="s">
        <v>169</v>
      </c>
    </row>
    <row r="95" spans="4:6" x14ac:dyDescent="0.25">
      <c r="D95" s="78" t="s">
        <v>278</v>
      </c>
      <c r="E95" s="78" t="s">
        <v>279</v>
      </c>
      <c r="F95" s="85" t="s">
        <v>169</v>
      </c>
    </row>
    <row r="96" spans="4:6" x14ac:dyDescent="0.25">
      <c r="D96" s="78" t="s">
        <v>280</v>
      </c>
      <c r="E96" s="78" t="s">
        <v>281</v>
      </c>
      <c r="F96" s="85" t="s">
        <v>169</v>
      </c>
    </row>
    <row r="97" spans="4:6" x14ac:dyDescent="0.25">
      <c r="D97" s="78" t="s">
        <v>282</v>
      </c>
      <c r="E97" s="78" t="s">
        <v>283</v>
      </c>
      <c r="F97" s="85" t="s">
        <v>169</v>
      </c>
    </row>
    <row r="98" spans="4:6" x14ac:dyDescent="0.25">
      <c r="D98" s="78" t="s">
        <v>284</v>
      </c>
      <c r="E98" s="78" t="s">
        <v>285</v>
      </c>
      <c r="F98" s="85" t="s">
        <v>169</v>
      </c>
    </row>
    <row r="99" spans="4:6" x14ac:dyDescent="0.25">
      <c r="D99" s="78" t="s">
        <v>286</v>
      </c>
      <c r="E99" s="78" t="s">
        <v>287</v>
      </c>
      <c r="F99" s="85" t="s">
        <v>169</v>
      </c>
    </row>
    <row r="100" spans="4:6" x14ac:dyDescent="0.25">
      <c r="D100" s="78" t="s">
        <v>288</v>
      </c>
      <c r="E100" s="78" t="s">
        <v>289</v>
      </c>
      <c r="F100" s="85" t="s">
        <v>169</v>
      </c>
    </row>
    <row r="101" spans="4:6" x14ac:dyDescent="0.25">
      <c r="D101" s="78" t="s">
        <v>290</v>
      </c>
      <c r="E101" s="78" t="s">
        <v>291</v>
      </c>
      <c r="F101" s="85" t="s">
        <v>169</v>
      </c>
    </row>
    <row r="102" spans="4:6" x14ac:dyDescent="0.25">
      <c r="D102" s="78" t="s">
        <v>292</v>
      </c>
      <c r="E102" s="78" t="s">
        <v>293</v>
      </c>
      <c r="F102" s="85" t="s">
        <v>169</v>
      </c>
    </row>
    <row r="103" spans="4:6" x14ac:dyDescent="0.25">
      <c r="D103" s="78" t="s">
        <v>294</v>
      </c>
      <c r="E103" s="78" t="s">
        <v>295</v>
      </c>
      <c r="F103" s="85" t="s">
        <v>169</v>
      </c>
    </row>
    <row r="104" spans="4:6" x14ac:dyDescent="0.25">
      <c r="D104" s="78" t="s">
        <v>296</v>
      </c>
      <c r="E104" s="78" t="s">
        <v>297</v>
      </c>
      <c r="F104" s="85" t="s">
        <v>169</v>
      </c>
    </row>
    <row r="105" spans="4:6" x14ac:dyDescent="0.25">
      <c r="D105" s="78" t="s">
        <v>288</v>
      </c>
      <c r="E105" s="78" t="s">
        <v>298</v>
      </c>
      <c r="F105" s="85" t="s">
        <v>169</v>
      </c>
    </row>
    <row r="106" spans="4:6" x14ac:dyDescent="0.25">
      <c r="D106" s="78" t="s">
        <v>299</v>
      </c>
      <c r="E106" s="78" t="s">
        <v>300</v>
      </c>
      <c r="F106" s="85" t="s">
        <v>169</v>
      </c>
    </row>
    <row r="107" spans="4:6" x14ac:dyDescent="0.25">
      <c r="D107" s="78" t="s">
        <v>301</v>
      </c>
      <c r="E107" s="78" t="s">
        <v>302</v>
      </c>
      <c r="F107" s="85" t="s">
        <v>169</v>
      </c>
    </row>
    <row r="108" spans="4:6" x14ac:dyDescent="0.25">
      <c r="D108" s="78" t="s">
        <v>303</v>
      </c>
      <c r="E108" s="78" t="s">
        <v>304</v>
      </c>
      <c r="F108" s="85" t="s">
        <v>169</v>
      </c>
    </row>
    <row r="109" spans="4:6" x14ac:dyDescent="0.25">
      <c r="D109" s="78" t="s">
        <v>305</v>
      </c>
      <c r="E109" s="78" t="s">
        <v>306</v>
      </c>
      <c r="F109" s="85" t="s">
        <v>169</v>
      </c>
    </row>
    <row r="110" spans="4:6" x14ac:dyDescent="0.25">
      <c r="D110" s="78" t="s">
        <v>307</v>
      </c>
      <c r="E110" s="78" t="s">
        <v>308</v>
      </c>
      <c r="F110" s="85" t="s">
        <v>169</v>
      </c>
    </row>
    <row r="111" spans="4:6" x14ac:dyDescent="0.25">
      <c r="D111" s="78" t="s">
        <v>309</v>
      </c>
      <c r="E111" s="78" t="s">
        <v>310</v>
      </c>
      <c r="F111" s="85" t="s">
        <v>169</v>
      </c>
    </row>
    <row r="112" spans="4:6" x14ac:dyDescent="0.25">
      <c r="D112" s="78" t="s">
        <v>311</v>
      </c>
      <c r="E112" s="78" t="s">
        <v>312</v>
      </c>
      <c r="F112" s="85" t="s">
        <v>169</v>
      </c>
    </row>
    <row r="113" spans="4:6" x14ac:dyDescent="0.25">
      <c r="D113" s="78" t="s">
        <v>313</v>
      </c>
      <c r="E113" s="78" t="s">
        <v>314</v>
      </c>
      <c r="F113" s="85" t="s">
        <v>169</v>
      </c>
    </row>
    <row r="114" spans="4:6" x14ac:dyDescent="0.25">
      <c r="D114" s="78" t="s">
        <v>908</v>
      </c>
      <c r="E114" s="78" t="s">
        <v>909</v>
      </c>
      <c r="F114" s="85" t="s">
        <v>169</v>
      </c>
    </row>
    <row r="115" spans="4:6" x14ac:dyDescent="0.25">
      <c r="D115" s="78" t="s">
        <v>315</v>
      </c>
      <c r="E115" s="78" t="s">
        <v>316</v>
      </c>
      <c r="F115" s="85" t="s">
        <v>169</v>
      </c>
    </row>
    <row r="116" spans="4:6" x14ac:dyDescent="0.25">
      <c r="D116" s="78" t="s">
        <v>317</v>
      </c>
      <c r="E116" s="78" t="s">
        <v>318</v>
      </c>
      <c r="F116" s="85" t="s">
        <v>169</v>
      </c>
    </row>
    <row r="117" spans="4:6" x14ac:dyDescent="0.25">
      <c r="D117" s="78" t="s">
        <v>910</v>
      </c>
      <c r="E117" s="78" t="s">
        <v>319</v>
      </c>
      <c r="F117" s="85" t="s">
        <v>169</v>
      </c>
    </row>
    <row r="118" spans="4:6" x14ac:dyDescent="0.25">
      <c r="D118" s="78" t="s">
        <v>320</v>
      </c>
      <c r="E118" s="78" t="s">
        <v>321</v>
      </c>
      <c r="F118" s="85" t="s">
        <v>169</v>
      </c>
    </row>
    <row r="119" spans="4:6" x14ac:dyDescent="0.25">
      <c r="D119" s="78" t="s">
        <v>322</v>
      </c>
      <c r="E119" s="78" t="s">
        <v>323</v>
      </c>
      <c r="F119" s="85" t="s">
        <v>169</v>
      </c>
    </row>
    <row r="120" spans="4:6" x14ac:dyDescent="0.25">
      <c r="D120" s="78" t="s">
        <v>324</v>
      </c>
      <c r="E120" s="78" t="s">
        <v>325</v>
      </c>
      <c r="F120" s="85" t="s">
        <v>169</v>
      </c>
    </row>
    <row r="121" spans="4:6" x14ac:dyDescent="0.25">
      <c r="D121" s="78" t="s">
        <v>326</v>
      </c>
      <c r="E121" s="78" t="s">
        <v>327</v>
      </c>
      <c r="F121" s="85" t="s">
        <v>169</v>
      </c>
    </row>
    <row r="122" spans="4:6" x14ac:dyDescent="0.25">
      <c r="D122" s="78" t="s">
        <v>328</v>
      </c>
      <c r="E122" s="78" t="s">
        <v>329</v>
      </c>
      <c r="F122" s="85" t="s">
        <v>169</v>
      </c>
    </row>
    <row r="123" spans="4:6" x14ac:dyDescent="0.25">
      <c r="D123" s="78" t="s">
        <v>330</v>
      </c>
      <c r="E123" s="78" t="s">
        <v>331</v>
      </c>
      <c r="F123" s="85" t="s">
        <v>169</v>
      </c>
    </row>
    <row r="124" spans="4:6" x14ac:dyDescent="0.25">
      <c r="D124" s="78" t="s">
        <v>332</v>
      </c>
      <c r="E124" s="78" t="s">
        <v>333</v>
      </c>
      <c r="F124" s="85" t="s">
        <v>169</v>
      </c>
    </row>
    <row r="125" spans="4:6" x14ac:dyDescent="0.25">
      <c r="D125" s="78" t="s">
        <v>334</v>
      </c>
      <c r="E125" s="78" t="s">
        <v>335</v>
      </c>
      <c r="F125" s="85" t="s">
        <v>169</v>
      </c>
    </row>
    <row r="126" spans="4:6" x14ac:dyDescent="0.25">
      <c r="D126" s="78" t="s">
        <v>336</v>
      </c>
      <c r="E126" s="78" t="s">
        <v>337</v>
      </c>
      <c r="F126" s="85" t="s">
        <v>169</v>
      </c>
    </row>
    <row r="127" spans="4:6" x14ac:dyDescent="0.25">
      <c r="D127" s="78" t="s">
        <v>338</v>
      </c>
      <c r="E127" s="78" t="s">
        <v>339</v>
      </c>
      <c r="F127" s="85" t="s">
        <v>169</v>
      </c>
    </row>
    <row r="128" spans="4:6" x14ac:dyDescent="0.25">
      <c r="D128" s="78" t="s">
        <v>340</v>
      </c>
      <c r="E128" s="78" t="s">
        <v>341</v>
      </c>
      <c r="F128" s="85" t="s">
        <v>169</v>
      </c>
    </row>
    <row r="129" spans="4:6" x14ac:dyDescent="0.25">
      <c r="D129" s="78" t="s">
        <v>342</v>
      </c>
      <c r="E129" s="78" t="s">
        <v>343</v>
      </c>
      <c r="F129" s="85" t="s">
        <v>169</v>
      </c>
    </row>
    <row r="130" spans="4:6" x14ac:dyDescent="0.25">
      <c r="D130" s="78" t="s">
        <v>344</v>
      </c>
      <c r="E130" s="78" t="s">
        <v>345</v>
      </c>
      <c r="F130" s="85" t="s">
        <v>169</v>
      </c>
    </row>
    <row r="131" spans="4:6" x14ac:dyDescent="0.25">
      <c r="D131" s="78" t="s">
        <v>346</v>
      </c>
      <c r="E131" s="78" t="s">
        <v>347</v>
      </c>
      <c r="F131" s="85" t="s">
        <v>169</v>
      </c>
    </row>
    <row r="132" spans="4:6" x14ac:dyDescent="0.25">
      <c r="D132" s="78" t="s">
        <v>348</v>
      </c>
      <c r="E132" s="78" t="s">
        <v>349</v>
      </c>
      <c r="F132" s="85" t="s">
        <v>169</v>
      </c>
    </row>
    <row r="133" spans="4:6" x14ac:dyDescent="0.25">
      <c r="D133" s="78" t="s">
        <v>350</v>
      </c>
      <c r="E133" s="78" t="s">
        <v>351</v>
      </c>
      <c r="F133" s="85" t="s">
        <v>169</v>
      </c>
    </row>
    <row r="134" spans="4:6" x14ac:dyDescent="0.25">
      <c r="D134" s="78" t="s">
        <v>352</v>
      </c>
      <c r="E134" s="78" t="s">
        <v>353</v>
      </c>
      <c r="F134" s="85" t="s">
        <v>169</v>
      </c>
    </row>
    <row r="135" spans="4:6" x14ac:dyDescent="0.25">
      <c r="D135" s="78" t="s">
        <v>354</v>
      </c>
      <c r="E135" s="78" t="s">
        <v>355</v>
      </c>
      <c r="F135" s="85" t="s">
        <v>169</v>
      </c>
    </row>
    <row r="136" spans="4:6" x14ac:dyDescent="0.25">
      <c r="D136" s="78" t="s">
        <v>356</v>
      </c>
      <c r="E136" s="78" t="s">
        <v>357</v>
      </c>
      <c r="F136" s="85" t="s">
        <v>169</v>
      </c>
    </row>
    <row r="137" spans="4:6" x14ac:dyDescent="0.25">
      <c r="D137" s="78" t="s">
        <v>358</v>
      </c>
      <c r="E137" s="78" t="s">
        <v>359</v>
      </c>
      <c r="F137" s="85" t="s">
        <v>169</v>
      </c>
    </row>
    <row r="138" spans="4:6" x14ac:dyDescent="0.25">
      <c r="D138" s="78" t="s">
        <v>360</v>
      </c>
      <c r="E138" s="78" t="s">
        <v>361</v>
      </c>
      <c r="F138" s="85" t="s">
        <v>169</v>
      </c>
    </row>
    <row r="139" spans="4:6" x14ac:dyDescent="0.25">
      <c r="D139" s="78" t="s">
        <v>362</v>
      </c>
      <c r="E139" s="78" t="s">
        <v>363</v>
      </c>
      <c r="F139" s="85" t="s">
        <v>169</v>
      </c>
    </row>
    <row r="140" spans="4:6" x14ac:dyDescent="0.25">
      <c r="D140" s="78" t="s">
        <v>364</v>
      </c>
      <c r="E140" s="78" t="s">
        <v>365</v>
      </c>
      <c r="F140" s="85" t="s">
        <v>169</v>
      </c>
    </row>
    <row r="141" spans="4:6" x14ac:dyDescent="0.25">
      <c r="D141" s="78" t="s">
        <v>366</v>
      </c>
      <c r="E141" s="78" t="s">
        <v>367</v>
      </c>
      <c r="F141" s="85" t="s">
        <v>169</v>
      </c>
    </row>
    <row r="142" spans="4:6" x14ac:dyDescent="0.25">
      <c r="D142" s="78" t="s">
        <v>364</v>
      </c>
      <c r="E142" s="78" t="s">
        <v>368</v>
      </c>
      <c r="F142" s="85" t="s">
        <v>169</v>
      </c>
    </row>
    <row r="143" spans="4:6" x14ac:dyDescent="0.25">
      <c r="D143" s="78" t="s">
        <v>369</v>
      </c>
      <c r="E143" s="78" t="s">
        <v>370</v>
      </c>
      <c r="F143" s="85" t="s">
        <v>169</v>
      </c>
    </row>
    <row r="144" spans="4:6" x14ac:dyDescent="0.25">
      <c r="D144" s="78" t="s">
        <v>371</v>
      </c>
      <c r="E144" s="78" t="s">
        <v>372</v>
      </c>
      <c r="F144" s="85" t="s">
        <v>169</v>
      </c>
    </row>
    <row r="145" spans="4:6" x14ac:dyDescent="0.25">
      <c r="D145" s="78" t="s">
        <v>373</v>
      </c>
      <c r="E145" s="78" t="s">
        <v>374</v>
      </c>
      <c r="F145" s="85" t="s">
        <v>169</v>
      </c>
    </row>
    <row r="146" spans="4:6" x14ac:dyDescent="0.25">
      <c r="D146" s="78" t="s">
        <v>375</v>
      </c>
      <c r="E146" s="78" t="s">
        <v>376</v>
      </c>
      <c r="F146" s="85" t="s">
        <v>169</v>
      </c>
    </row>
    <row r="147" spans="4:6" x14ac:dyDescent="0.25">
      <c r="D147" s="78" t="s">
        <v>377</v>
      </c>
      <c r="E147" s="78" t="s">
        <v>378</v>
      </c>
      <c r="F147" s="85" t="s">
        <v>169</v>
      </c>
    </row>
    <row r="148" spans="4:6" x14ac:dyDescent="0.25">
      <c r="D148" s="78" t="s">
        <v>379</v>
      </c>
      <c r="E148" s="78" t="s">
        <v>380</v>
      </c>
      <c r="F148" s="85" t="s">
        <v>169</v>
      </c>
    </row>
    <row r="149" spans="4:6" x14ac:dyDescent="0.25">
      <c r="D149" s="78" t="s">
        <v>381</v>
      </c>
      <c r="E149" s="78" t="s">
        <v>382</v>
      </c>
      <c r="F149" s="85" t="s">
        <v>169</v>
      </c>
    </row>
    <row r="150" spans="4:6" x14ac:dyDescent="0.25">
      <c r="D150" s="78" t="s">
        <v>911</v>
      </c>
      <c r="E150" s="78" t="s">
        <v>912</v>
      </c>
      <c r="F150" s="85" t="s">
        <v>169</v>
      </c>
    </row>
    <row r="151" spans="4:6" x14ac:dyDescent="0.25">
      <c r="D151" s="78" t="s">
        <v>383</v>
      </c>
      <c r="E151" s="78" t="s">
        <v>384</v>
      </c>
      <c r="F151" s="85" t="s">
        <v>169</v>
      </c>
    </row>
    <row r="152" spans="4:6" x14ac:dyDescent="0.25">
      <c r="D152" s="78" t="s">
        <v>385</v>
      </c>
      <c r="E152" s="78" t="s">
        <v>386</v>
      </c>
      <c r="F152" s="85" t="s">
        <v>169</v>
      </c>
    </row>
    <row r="153" spans="4:6" x14ac:dyDescent="0.25">
      <c r="D153" s="78" t="s">
        <v>913</v>
      </c>
      <c r="E153" s="78" t="s">
        <v>387</v>
      </c>
      <c r="F153" s="85" t="s">
        <v>169</v>
      </c>
    </row>
    <row r="154" spans="4:6" x14ac:dyDescent="0.25">
      <c r="D154" s="78" t="s">
        <v>388</v>
      </c>
      <c r="E154" s="78" t="s">
        <v>389</v>
      </c>
      <c r="F154" s="85" t="s">
        <v>169</v>
      </c>
    </row>
    <row r="155" spans="4:6" x14ac:dyDescent="0.25">
      <c r="D155" s="78" t="s">
        <v>390</v>
      </c>
      <c r="E155" s="78" t="s">
        <v>391</v>
      </c>
      <c r="F155" s="85" t="s">
        <v>169</v>
      </c>
    </row>
    <row r="156" spans="4:6" x14ac:dyDescent="0.25">
      <c r="D156" s="78" t="s">
        <v>392</v>
      </c>
      <c r="E156" s="78" t="s">
        <v>393</v>
      </c>
      <c r="F156" s="85" t="s">
        <v>169</v>
      </c>
    </row>
    <row r="157" spans="4:6" x14ac:dyDescent="0.25">
      <c r="D157" s="78" t="s">
        <v>394</v>
      </c>
      <c r="E157" s="78" t="s">
        <v>395</v>
      </c>
      <c r="F157" s="85" t="s">
        <v>169</v>
      </c>
    </row>
    <row r="158" spans="4:6" x14ac:dyDescent="0.25">
      <c r="D158" s="78" t="s">
        <v>396</v>
      </c>
      <c r="E158" s="78" t="s">
        <v>397</v>
      </c>
      <c r="F158" s="85" t="s">
        <v>169</v>
      </c>
    </row>
    <row r="159" spans="4:6" x14ac:dyDescent="0.25">
      <c r="D159" s="78" t="s">
        <v>398</v>
      </c>
      <c r="E159" s="78" t="s">
        <v>399</v>
      </c>
      <c r="F159" s="85" t="s">
        <v>169</v>
      </c>
    </row>
    <row r="160" spans="4:6" x14ac:dyDescent="0.25">
      <c r="D160" s="78" t="s">
        <v>400</v>
      </c>
      <c r="E160" s="78" t="s">
        <v>401</v>
      </c>
      <c r="F160" s="85" t="s">
        <v>169</v>
      </c>
    </row>
    <row r="161" spans="4:6" x14ac:dyDescent="0.25">
      <c r="D161" s="78" t="s">
        <v>402</v>
      </c>
      <c r="E161" s="78" t="s">
        <v>403</v>
      </c>
      <c r="F161" s="85" t="s">
        <v>169</v>
      </c>
    </row>
    <row r="162" spans="4:6" x14ac:dyDescent="0.25">
      <c r="D162" s="78" t="s">
        <v>404</v>
      </c>
      <c r="E162" s="78" t="s">
        <v>405</v>
      </c>
      <c r="F162" s="85" t="s">
        <v>169</v>
      </c>
    </row>
    <row r="163" spans="4:6" x14ac:dyDescent="0.25">
      <c r="D163" s="78" t="s">
        <v>406</v>
      </c>
      <c r="E163" s="78" t="s">
        <v>407</v>
      </c>
      <c r="F163" s="85" t="s">
        <v>169</v>
      </c>
    </row>
    <row r="164" spans="4:6" x14ac:dyDescent="0.25">
      <c r="D164" s="78" t="s">
        <v>408</v>
      </c>
      <c r="E164" s="78" t="s">
        <v>409</v>
      </c>
      <c r="F164" s="85" t="s">
        <v>169</v>
      </c>
    </row>
    <row r="165" spans="4:6" x14ac:dyDescent="0.25">
      <c r="D165" s="78" t="s">
        <v>410</v>
      </c>
      <c r="E165" s="78" t="s">
        <v>411</v>
      </c>
      <c r="F165" s="85" t="s">
        <v>169</v>
      </c>
    </row>
    <row r="166" spans="4:6" x14ac:dyDescent="0.25">
      <c r="D166" s="78" t="s">
        <v>412</v>
      </c>
      <c r="E166" s="78" t="s">
        <v>413</v>
      </c>
      <c r="F166" s="85" t="s">
        <v>169</v>
      </c>
    </row>
    <row r="167" spans="4:6" x14ac:dyDescent="0.25">
      <c r="D167" s="78" t="s">
        <v>414</v>
      </c>
      <c r="E167" s="78" t="s">
        <v>415</v>
      </c>
      <c r="F167" s="85" t="s">
        <v>169</v>
      </c>
    </row>
    <row r="168" spans="4:6" x14ac:dyDescent="0.25">
      <c r="D168" s="78" t="s">
        <v>416</v>
      </c>
      <c r="E168" s="78" t="s">
        <v>417</v>
      </c>
      <c r="F168" s="85" t="s">
        <v>169</v>
      </c>
    </row>
    <row r="169" spans="4:6" x14ac:dyDescent="0.25">
      <c r="D169" s="78" t="s">
        <v>418</v>
      </c>
      <c r="E169" s="78" t="s">
        <v>419</v>
      </c>
      <c r="F169" s="85" t="s">
        <v>169</v>
      </c>
    </row>
    <row r="170" spans="4:6" x14ac:dyDescent="0.25">
      <c r="D170" s="78" t="s">
        <v>420</v>
      </c>
      <c r="E170" s="78" t="s">
        <v>421</v>
      </c>
      <c r="F170" s="85" t="s">
        <v>169</v>
      </c>
    </row>
    <row r="171" spans="4:6" x14ac:dyDescent="0.25">
      <c r="D171" s="78" t="s">
        <v>422</v>
      </c>
      <c r="E171" s="78" t="s">
        <v>423</v>
      </c>
      <c r="F171" s="85" t="s">
        <v>169</v>
      </c>
    </row>
    <row r="172" spans="4:6" x14ac:dyDescent="0.25">
      <c r="D172" s="78" t="s">
        <v>424</v>
      </c>
      <c r="E172" s="78" t="s">
        <v>425</v>
      </c>
      <c r="F172" s="85" t="s">
        <v>169</v>
      </c>
    </row>
    <row r="173" spans="4:6" x14ac:dyDescent="0.25">
      <c r="D173" s="78" t="s">
        <v>426</v>
      </c>
      <c r="E173" s="78" t="s">
        <v>427</v>
      </c>
      <c r="F173" s="85" t="s">
        <v>169</v>
      </c>
    </row>
    <row r="174" spans="4:6" x14ac:dyDescent="0.25">
      <c r="D174" s="78" t="s">
        <v>424</v>
      </c>
      <c r="E174" s="78" t="s">
        <v>428</v>
      </c>
      <c r="F174" s="85" t="s">
        <v>169</v>
      </c>
    </row>
    <row r="175" spans="4:6" x14ac:dyDescent="0.25">
      <c r="D175" s="78" t="s">
        <v>429</v>
      </c>
      <c r="E175" s="78" t="s">
        <v>430</v>
      </c>
      <c r="F175" s="85" t="s">
        <v>169</v>
      </c>
    </row>
    <row r="176" spans="4:6" x14ac:dyDescent="0.25">
      <c r="D176" s="78" t="s">
        <v>431</v>
      </c>
      <c r="E176" s="78" t="s">
        <v>432</v>
      </c>
      <c r="F176" s="85" t="s">
        <v>169</v>
      </c>
    </row>
    <row r="177" spans="4:6" x14ac:dyDescent="0.25">
      <c r="D177" s="78" t="s">
        <v>433</v>
      </c>
      <c r="E177" s="78" t="s">
        <v>434</v>
      </c>
      <c r="F177" s="85" t="s">
        <v>169</v>
      </c>
    </row>
    <row r="178" spans="4:6" x14ac:dyDescent="0.25">
      <c r="D178" s="78" t="s">
        <v>435</v>
      </c>
      <c r="E178" s="78" t="s">
        <v>436</v>
      </c>
      <c r="F178" s="85" t="s">
        <v>169</v>
      </c>
    </row>
    <row r="179" spans="4:6" x14ac:dyDescent="0.25">
      <c r="D179" s="78" t="s">
        <v>437</v>
      </c>
      <c r="E179" s="78" t="s">
        <v>438</v>
      </c>
      <c r="F179" s="85" t="s">
        <v>169</v>
      </c>
    </row>
    <row r="180" spans="4:6" x14ac:dyDescent="0.25">
      <c r="D180" s="78" t="s">
        <v>439</v>
      </c>
      <c r="E180" s="78" t="s">
        <v>440</v>
      </c>
      <c r="F180" s="85" t="s">
        <v>169</v>
      </c>
    </row>
    <row r="181" spans="4:6" x14ac:dyDescent="0.25">
      <c r="D181" s="78" t="s">
        <v>441</v>
      </c>
      <c r="E181" s="78" t="s">
        <v>442</v>
      </c>
      <c r="F181" s="85" t="s">
        <v>169</v>
      </c>
    </row>
    <row r="182" spans="4:6" x14ac:dyDescent="0.25">
      <c r="D182" s="78" t="s">
        <v>943</v>
      </c>
      <c r="E182" s="78" t="s">
        <v>944</v>
      </c>
      <c r="F182" s="85" t="s">
        <v>169</v>
      </c>
    </row>
    <row r="183" spans="4:6" x14ac:dyDescent="0.25">
      <c r="D183" s="78" t="s">
        <v>945</v>
      </c>
      <c r="E183" s="78" t="s">
        <v>946</v>
      </c>
      <c r="F183" s="85" t="s">
        <v>169</v>
      </c>
    </row>
    <row r="184" spans="4:6" x14ac:dyDescent="0.25">
      <c r="D184" s="78" t="s">
        <v>947</v>
      </c>
      <c r="E184" s="78" t="s">
        <v>948</v>
      </c>
      <c r="F184" s="85" t="s">
        <v>169</v>
      </c>
    </row>
    <row r="185" spans="4:6" x14ac:dyDescent="0.25">
      <c r="D185" s="78" t="s">
        <v>949</v>
      </c>
      <c r="E185" s="78" t="s">
        <v>950</v>
      </c>
      <c r="F185" s="85" t="s">
        <v>169</v>
      </c>
    </row>
    <row r="186" spans="4:6" x14ac:dyDescent="0.25">
      <c r="D186" s="78" t="s">
        <v>951</v>
      </c>
      <c r="E186" s="78" t="s">
        <v>952</v>
      </c>
      <c r="F186" s="85" t="s">
        <v>169</v>
      </c>
    </row>
    <row r="187" spans="4:6" x14ac:dyDescent="0.25">
      <c r="D187" s="78" t="s">
        <v>953</v>
      </c>
      <c r="E187" s="78" t="s">
        <v>954</v>
      </c>
      <c r="F187" s="85" t="s">
        <v>169</v>
      </c>
    </row>
    <row r="188" spans="4:6" x14ac:dyDescent="0.25">
      <c r="D188" s="78" t="s">
        <v>955</v>
      </c>
      <c r="E188" s="78" t="s">
        <v>956</v>
      </c>
      <c r="F188" s="85" t="s">
        <v>169</v>
      </c>
    </row>
    <row r="189" spans="4:6" x14ac:dyDescent="0.25">
      <c r="D189" s="78" t="s">
        <v>957</v>
      </c>
      <c r="E189" s="78" t="s">
        <v>958</v>
      </c>
      <c r="F189" s="85" t="s">
        <v>169</v>
      </c>
    </row>
    <row r="190" spans="4:6" x14ac:dyDescent="0.25">
      <c r="D190" s="78" t="s">
        <v>959</v>
      </c>
      <c r="E190" s="78" t="s">
        <v>960</v>
      </c>
      <c r="F190" s="85" t="s">
        <v>169</v>
      </c>
    </row>
    <row r="191" spans="4:6" x14ac:dyDescent="0.25">
      <c r="D191" s="78" t="s">
        <v>961</v>
      </c>
      <c r="E191" s="78" t="s">
        <v>962</v>
      </c>
      <c r="F191" s="85" t="s">
        <v>169</v>
      </c>
    </row>
    <row r="192" spans="4:6" x14ac:dyDescent="0.25">
      <c r="D192" s="78" t="s">
        <v>963</v>
      </c>
      <c r="E192" s="78" t="s">
        <v>964</v>
      </c>
      <c r="F192" s="85" t="s">
        <v>169</v>
      </c>
    </row>
    <row r="193" spans="4:6" x14ac:dyDescent="0.25">
      <c r="D193" s="78" t="s">
        <v>965</v>
      </c>
      <c r="E193" s="78" t="s">
        <v>966</v>
      </c>
      <c r="F193" s="85" t="s">
        <v>169</v>
      </c>
    </row>
    <row r="194" spans="4:6" x14ac:dyDescent="0.25">
      <c r="D194" s="78" t="s">
        <v>967</v>
      </c>
      <c r="E194" s="78" t="s">
        <v>968</v>
      </c>
      <c r="F194" s="85" t="s">
        <v>169</v>
      </c>
    </row>
    <row r="195" spans="4:6" x14ac:dyDescent="0.25">
      <c r="D195" s="78" t="s">
        <v>969</v>
      </c>
      <c r="E195" s="78" t="s">
        <v>970</v>
      </c>
      <c r="F195" s="85" t="s">
        <v>169</v>
      </c>
    </row>
    <row r="196" spans="4:6" x14ac:dyDescent="0.25">
      <c r="D196" s="78" t="s">
        <v>971</v>
      </c>
      <c r="E196" s="78" t="s">
        <v>972</v>
      </c>
      <c r="F196" s="85" t="s">
        <v>169</v>
      </c>
    </row>
    <row r="197" spans="4:6" x14ac:dyDescent="0.25">
      <c r="D197" s="78" t="s">
        <v>973</v>
      </c>
      <c r="E197" s="78" t="s">
        <v>974</v>
      </c>
      <c r="F197" s="85" t="s">
        <v>169</v>
      </c>
    </row>
    <row r="198" spans="4:6" x14ac:dyDescent="0.25">
      <c r="D198" s="78" t="s">
        <v>975</v>
      </c>
      <c r="E198" s="78" t="s">
        <v>976</v>
      </c>
      <c r="F198" s="85" t="s">
        <v>169</v>
      </c>
    </row>
    <row r="199" spans="4:6" x14ac:dyDescent="0.25">
      <c r="D199" s="78" t="s">
        <v>977</v>
      </c>
      <c r="E199" s="78" t="s">
        <v>978</v>
      </c>
      <c r="F199" s="85" t="s">
        <v>169</v>
      </c>
    </row>
    <row r="200" spans="4:6" x14ac:dyDescent="0.25">
      <c r="D200" s="78" t="s">
        <v>979</v>
      </c>
      <c r="E200" s="78" t="s">
        <v>980</v>
      </c>
      <c r="F200" s="85" t="s">
        <v>169</v>
      </c>
    </row>
    <row r="201" spans="4:6" x14ac:dyDescent="0.25">
      <c r="D201" s="78" t="s">
        <v>981</v>
      </c>
      <c r="E201" s="78" t="s">
        <v>982</v>
      </c>
      <c r="F201" s="85" t="s">
        <v>169</v>
      </c>
    </row>
    <row r="202" spans="4:6" x14ac:dyDescent="0.25">
      <c r="D202" s="78" t="s">
        <v>983</v>
      </c>
      <c r="E202" s="78" t="s">
        <v>984</v>
      </c>
      <c r="F202" s="85" t="s">
        <v>169</v>
      </c>
    </row>
    <row r="203" spans="4:6" x14ac:dyDescent="0.25">
      <c r="D203" s="78" t="s">
        <v>985</v>
      </c>
      <c r="E203" s="78" t="s">
        <v>986</v>
      </c>
      <c r="F203" s="85" t="s">
        <v>169</v>
      </c>
    </row>
    <row r="204" spans="4:6" x14ac:dyDescent="0.25">
      <c r="D204" s="78" t="s">
        <v>987</v>
      </c>
      <c r="E204" s="78" t="s">
        <v>988</v>
      </c>
      <c r="F204" s="85" t="s">
        <v>169</v>
      </c>
    </row>
    <row r="205" spans="4:6" x14ac:dyDescent="0.25">
      <c r="D205" s="78" t="s">
        <v>989</v>
      </c>
      <c r="E205" s="78" t="s">
        <v>990</v>
      </c>
      <c r="F205" s="85" t="s">
        <v>169</v>
      </c>
    </row>
    <row r="206" spans="4:6" x14ac:dyDescent="0.25">
      <c r="D206" s="78" t="s">
        <v>987</v>
      </c>
      <c r="E206" s="78" t="s">
        <v>991</v>
      </c>
      <c r="F206" s="85" t="s">
        <v>169</v>
      </c>
    </row>
    <row r="207" spans="4:6" x14ac:dyDescent="0.25">
      <c r="D207" s="78" t="s">
        <v>992</v>
      </c>
      <c r="E207" s="78" t="s">
        <v>993</v>
      </c>
      <c r="F207" s="85" t="s">
        <v>169</v>
      </c>
    </row>
    <row r="208" spans="4:6" x14ac:dyDescent="0.25">
      <c r="D208" s="78" t="s">
        <v>994</v>
      </c>
      <c r="E208" s="78" t="s">
        <v>995</v>
      </c>
      <c r="F208" s="85" t="s">
        <v>169</v>
      </c>
    </row>
    <row r="209" spans="4:6" x14ac:dyDescent="0.25">
      <c r="D209" s="78" t="s">
        <v>996</v>
      </c>
      <c r="E209" s="78" t="s">
        <v>997</v>
      </c>
      <c r="F209" s="85" t="s">
        <v>169</v>
      </c>
    </row>
    <row r="210" spans="4:6" x14ac:dyDescent="0.25">
      <c r="D210" s="78" t="s">
        <v>998</v>
      </c>
      <c r="E210" s="78" t="s">
        <v>999</v>
      </c>
      <c r="F210" s="85" t="s">
        <v>169</v>
      </c>
    </row>
    <row r="211" spans="4:6" x14ac:dyDescent="0.25">
      <c r="D211" s="78" t="s">
        <v>1000</v>
      </c>
      <c r="E211" s="78" t="s">
        <v>1001</v>
      </c>
      <c r="F211" s="85" t="s">
        <v>169</v>
      </c>
    </row>
    <row r="212" spans="4:6" x14ac:dyDescent="0.25">
      <c r="D212" s="78" t="s">
        <v>1002</v>
      </c>
      <c r="E212" s="78" t="s">
        <v>1003</v>
      </c>
      <c r="F212" s="85" t="s">
        <v>169</v>
      </c>
    </row>
    <row r="213" spans="4:6" x14ac:dyDescent="0.25">
      <c r="D213" s="78" t="s">
        <v>1004</v>
      </c>
      <c r="E213" s="78" t="s">
        <v>1005</v>
      </c>
      <c r="F213" s="85" t="s">
        <v>169</v>
      </c>
    </row>
    <row r="214" spans="4:6" x14ac:dyDescent="0.25">
      <c r="D214" s="78" t="s">
        <v>914</v>
      </c>
      <c r="E214" s="78" t="s">
        <v>915</v>
      </c>
      <c r="F214" s="85" t="s">
        <v>169</v>
      </c>
    </row>
    <row r="215" spans="4:6" x14ac:dyDescent="0.25">
      <c r="D215" s="78" t="s">
        <v>443</v>
      </c>
      <c r="E215" s="78" t="s">
        <v>444</v>
      </c>
      <c r="F215" s="85" t="s">
        <v>169</v>
      </c>
    </row>
    <row r="216" spans="4:6" x14ac:dyDescent="0.25">
      <c r="D216" s="78" t="s">
        <v>445</v>
      </c>
      <c r="E216" s="78" t="s">
        <v>446</v>
      </c>
      <c r="F216" s="85" t="s">
        <v>169</v>
      </c>
    </row>
    <row r="217" spans="4:6" x14ac:dyDescent="0.25">
      <c r="D217" s="78" t="s">
        <v>916</v>
      </c>
      <c r="E217" s="78" t="s">
        <v>447</v>
      </c>
      <c r="F217" s="85" t="s">
        <v>169</v>
      </c>
    </row>
    <row r="218" spans="4:6" x14ac:dyDescent="0.25">
      <c r="D218" s="78" t="s">
        <v>448</v>
      </c>
      <c r="E218" s="78" t="s">
        <v>449</v>
      </c>
      <c r="F218" s="85" t="s">
        <v>169</v>
      </c>
    </row>
    <row r="219" spans="4:6" x14ac:dyDescent="0.25">
      <c r="D219" s="78" t="s">
        <v>450</v>
      </c>
      <c r="E219" s="78" t="s">
        <v>451</v>
      </c>
      <c r="F219" s="85" t="s">
        <v>169</v>
      </c>
    </row>
    <row r="220" spans="4:6" x14ac:dyDescent="0.25">
      <c r="D220" s="78" t="s">
        <v>452</v>
      </c>
      <c r="E220" s="78" t="s">
        <v>453</v>
      </c>
      <c r="F220" s="85" t="s">
        <v>169</v>
      </c>
    </row>
    <row r="221" spans="4:6" x14ac:dyDescent="0.25">
      <c r="D221" s="78" t="s">
        <v>454</v>
      </c>
      <c r="E221" s="78" t="s">
        <v>455</v>
      </c>
      <c r="F221" s="85" t="s">
        <v>169</v>
      </c>
    </row>
    <row r="222" spans="4:6" x14ac:dyDescent="0.25">
      <c r="D222" s="78" t="s">
        <v>456</v>
      </c>
      <c r="E222" s="78" t="s">
        <v>457</v>
      </c>
      <c r="F222" s="85" t="s">
        <v>169</v>
      </c>
    </row>
    <row r="223" spans="4:6" x14ac:dyDescent="0.25">
      <c r="D223" s="78" t="s">
        <v>458</v>
      </c>
      <c r="E223" s="78" t="s">
        <v>459</v>
      </c>
      <c r="F223" s="85" t="s">
        <v>169</v>
      </c>
    </row>
    <row r="224" spans="4:6" x14ac:dyDescent="0.25">
      <c r="D224" s="78" t="s">
        <v>460</v>
      </c>
      <c r="E224" s="78" t="s">
        <v>461</v>
      </c>
      <c r="F224" s="85" t="s">
        <v>169</v>
      </c>
    </row>
    <row r="225" spans="4:6" x14ac:dyDescent="0.25">
      <c r="D225" s="78" t="s">
        <v>462</v>
      </c>
      <c r="E225" s="78" t="s">
        <v>463</v>
      </c>
      <c r="F225" s="85" t="s">
        <v>169</v>
      </c>
    </row>
    <row r="226" spans="4:6" x14ac:dyDescent="0.25">
      <c r="D226" s="78" t="s">
        <v>464</v>
      </c>
      <c r="E226" s="78" t="s">
        <v>465</v>
      </c>
      <c r="F226" s="85" t="s">
        <v>169</v>
      </c>
    </row>
    <row r="227" spans="4:6" x14ac:dyDescent="0.25">
      <c r="D227" s="78" t="s">
        <v>466</v>
      </c>
      <c r="E227" s="78" t="s">
        <v>467</v>
      </c>
      <c r="F227" s="85" t="s">
        <v>169</v>
      </c>
    </row>
    <row r="228" spans="4:6" x14ac:dyDescent="0.25">
      <c r="D228" s="78" t="s">
        <v>468</v>
      </c>
      <c r="E228" s="78" t="s">
        <v>469</v>
      </c>
      <c r="F228" s="85" t="s">
        <v>169</v>
      </c>
    </row>
    <row r="229" spans="4:6" x14ac:dyDescent="0.25">
      <c r="D229" s="78" t="s">
        <v>470</v>
      </c>
      <c r="E229" s="78" t="s">
        <v>471</v>
      </c>
      <c r="F229" s="85" t="s">
        <v>169</v>
      </c>
    </row>
    <row r="230" spans="4:6" x14ac:dyDescent="0.25">
      <c r="D230" s="78" t="s">
        <v>472</v>
      </c>
      <c r="E230" s="78" t="s">
        <v>473</v>
      </c>
      <c r="F230" s="85" t="s">
        <v>169</v>
      </c>
    </row>
    <row r="231" spans="4:6" x14ac:dyDescent="0.25">
      <c r="D231" s="78" t="s">
        <v>474</v>
      </c>
      <c r="E231" s="78" t="s">
        <v>475</v>
      </c>
      <c r="F231" s="85" t="s">
        <v>169</v>
      </c>
    </row>
    <row r="232" spans="4:6" x14ac:dyDescent="0.25">
      <c r="D232" s="78" t="s">
        <v>476</v>
      </c>
      <c r="E232" s="78" t="s">
        <v>477</v>
      </c>
      <c r="F232" s="85" t="s">
        <v>169</v>
      </c>
    </row>
    <row r="233" spans="4:6" x14ac:dyDescent="0.25">
      <c r="D233" s="78" t="s">
        <v>478</v>
      </c>
      <c r="E233" s="78" t="s">
        <v>479</v>
      </c>
      <c r="F233" s="85" t="s">
        <v>169</v>
      </c>
    </row>
    <row r="234" spans="4:6" x14ac:dyDescent="0.25">
      <c r="D234" s="78" t="s">
        <v>480</v>
      </c>
      <c r="E234" s="78" t="s">
        <v>481</v>
      </c>
      <c r="F234" s="85" t="s">
        <v>169</v>
      </c>
    </row>
    <row r="235" spans="4:6" x14ac:dyDescent="0.25">
      <c r="D235" s="78" t="s">
        <v>482</v>
      </c>
      <c r="E235" s="78" t="s">
        <v>483</v>
      </c>
      <c r="F235" s="85" t="s">
        <v>169</v>
      </c>
    </row>
    <row r="236" spans="4:6" x14ac:dyDescent="0.25">
      <c r="D236" s="78" t="s">
        <v>484</v>
      </c>
      <c r="E236" s="78" t="s">
        <v>485</v>
      </c>
      <c r="F236" s="85" t="s">
        <v>169</v>
      </c>
    </row>
    <row r="237" spans="4:6" x14ac:dyDescent="0.25">
      <c r="D237" s="78" t="s">
        <v>486</v>
      </c>
      <c r="E237" s="78" t="s">
        <v>487</v>
      </c>
      <c r="F237" s="85" t="s">
        <v>169</v>
      </c>
    </row>
    <row r="238" spans="4:6" x14ac:dyDescent="0.25">
      <c r="D238" s="78" t="s">
        <v>484</v>
      </c>
      <c r="E238" s="78" t="s">
        <v>488</v>
      </c>
      <c r="F238" s="85" t="s">
        <v>169</v>
      </c>
    </row>
    <row r="239" spans="4:6" x14ac:dyDescent="0.25">
      <c r="D239" s="78" t="s">
        <v>489</v>
      </c>
      <c r="E239" s="78" t="s">
        <v>490</v>
      </c>
      <c r="F239" s="85" t="s">
        <v>169</v>
      </c>
    </row>
    <row r="240" spans="4:6" x14ac:dyDescent="0.25">
      <c r="D240" s="78" t="s">
        <v>491</v>
      </c>
      <c r="E240" s="78" t="s">
        <v>492</v>
      </c>
      <c r="F240" s="85" t="s">
        <v>169</v>
      </c>
    </row>
    <row r="241" spans="4:6" x14ac:dyDescent="0.25">
      <c r="D241" s="78" t="s">
        <v>493</v>
      </c>
      <c r="E241" s="78" t="s">
        <v>494</v>
      </c>
      <c r="F241" s="85" t="s">
        <v>169</v>
      </c>
    </row>
    <row r="242" spans="4:6" x14ac:dyDescent="0.25">
      <c r="D242" s="78" t="s">
        <v>495</v>
      </c>
      <c r="E242" s="78" t="s">
        <v>496</v>
      </c>
      <c r="F242" s="85" t="s">
        <v>169</v>
      </c>
    </row>
    <row r="243" spans="4:6" x14ac:dyDescent="0.25">
      <c r="D243" s="78" t="s">
        <v>497</v>
      </c>
      <c r="E243" s="78" t="s">
        <v>498</v>
      </c>
      <c r="F243" s="85" t="s">
        <v>169</v>
      </c>
    </row>
    <row r="244" spans="4:6" x14ac:dyDescent="0.25">
      <c r="D244" s="78" t="s">
        <v>499</v>
      </c>
      <c r="E244" s="78" t="s">
        <v>500</v>
      </c>
      <c r="F244" s="85" t="s">
        <v>169</v>
      </c>
    </row>
    <row r="245" spans="4:6" x14ac:dyDescent="0.25">
      <c r="D245" s="78" t="s">
        <v>501</v>
      </c>
      <c r="E245" s="78" t="s">
        <v>502</v>
      </c>
      <c r="F245" s="85" t="s">
        <v>169</v>
      </c>
    </row>
    <row r="246" spans="4:6" x14ac:dyDescent="0.25">
      <c r="D246" s="78" t="s">
        <v>503</v>
      </c>
      <c r="E246" s="78" t="s">
        <v>504</v>
      </c>
      <c r="F246" s="85" t="s">
        <v>169</v>
      </c>
    </row>
    <row r="247" spans="4:6" x14ac:dyDescent="0.25">
      <c r="D247" s="78" t="s">
        <v>505</v>
      </c>
      <c r="E247" s="78" t="s">
        <v>506</v>
      </c>
      <c r="F247" s="85" t="s">
        <v>169</v>
      </c>
    </row>
    <row r="248" spans="4:6" x14ac:dyDescent="0.25">
      <c r="D248" s="78" t="s">
        <v>507</v>
      </c>
      <c r="E248" s="78" t="s">
        <v>508</v>
      </c>
      <c r="F248" s="85" t="s">
        <v>169</v>
      </c>
    </row>
    <row r="249" spans="4:6" x14ac:dyDescent="0.25">
      <c r="D249" s="78" t="s">
        <v>509</v>
      </c>
      <c r="E249" s="78" t="s">
        <v>510</v>
      </c>
      <c r="F249" s="85" t="s">
        <v>169</v>
      </c>
    </row>
    <row r="250" spans="4:6" x14ac:dyDescent="0.25">
      <c r="D250" s="78" t="s">
        <v>511</v>
      </c>
      <c r="E250" s="78" t="s">
        <v>512</v>
      </c>
      <c r="F250" s="85" t="s">
        <v>169</v>
      </c>
    </row>
    <row r="251" spans="4:6" x14ac:dyDescent="0.25">
      <c r="D251" s="78" t="s">
        <v>513</v>
      </c>
      <c r="E251" s="78" t="s">
        <v>514</v>
      </c>
      <c r="F251" s="85" t="s">
        <v>169</v>
      </c>
    </row>
    <row r="252" spans="4:6" x14ac:dyDescent="0.25">
      <c r="D252" s="78" t="s">
        <v>515</v>
      </c>
      <c r="E252" s="78" t="s">
        <v>516</v>
      </c>
      <c r="F252" s="85" t="s">
        <v>169</v>
      </c>
    </row>
    <row r="253" spans="4:6" x14ac:dyDescent="0.25">
      <c r="D253" s="78" t="s">
        <v>517</v>
      </c>
      <c r="E253" s="78" t="s">
        <v>518</v>
      </c>
      <c r="F253" s="85" t="s">
        <v>169</v>
      </c>
    </row>
    <row r="254" spans="4:6" x14ac:dyDescent="0.25">
      <c r="D254" s="78" t="s">
        <v>519</v>
      </c>
      <c r="E254" s="78" t="s">
        <v>520</v>
      </c>
      <c r="F254" s="85" t="s">
        <v>169</v>
      </c>
    </row>
    <row r="255" spans="4:6" x14ac:dyDescent="0.25">
      <c r="D255" s="78" t="s">
        <v>521</v>
      </c>
      <c r="E255" s="78" t="s">
        <v>522</v>
      </c>
      <c r="F255" s="85" t="s">
        <v>169</v>
      </c>
    </row>
    <row r="256" spans="4:6" x14ac:dyDescent="0.25">
      <c r="D256" s="78" t="s">
        <v>523</v>
      </c>
      <c r="E256" s="78" t="s">
        <v>524</v>
      </c>
      <c r="F256" s="85" t="s">
        <v>169</v>
      </c>
    </row>
    <row r="257" spans="4:6" x14ac:dyDescent="0.25">
      <c r="D257" s="78" t="s">
        <v>525</v>
      </c>
      <c r="E257" s="78" t="s">
        <v>526</v>
      </c>
      <c r="F257" s="85" t="s">
        <v>169</v>
      </c>
    </row>
    <row r="258" spans="4:6" x14ac:dyDescent="0.25">
      <c r="D258" s="78" t="s">
        <v>523</v>
      </c>
      <c r="E258" s="78" t="s">
        <v>527</v>
      </c>
      <c r="F258" s="85" t="s">
        <v>169</v>
      </c>
    </row>
    <row r="259" spans="4:6" x14ac:dyDescent="0.25">
      <c r="D259" s="78" t="s">
        <v>528</v>
      </c>
      <c r="E259" s="78" t="s">
        <v>529</v>
      </c>
      <c r="F259" s="85" t="s">
        <v>169</v>
      </c>
    </row>
    <row r="260" spans="4:6" x14ac:dyDescent="0.25">
      <c r="D260" s="78" t="s">
        <v>917</v>
      </c>
      <c r="E260" s="78" t="s">
        <v>918</v>
      </c>
      <c r="F260" s="85" t="s">
        <v>169</v>
      </c>
    </row>
    <row r="261" spans="4:6" x14ac:dyDescent="0.25">
      <c r="D261" s="78" t="s">
        <v>530</v>
      </c>
      <c r="E261" s="78" t="s">
        <v>531</v>
      </c>
      <c r="F261" s="85" t="s">
        <v>169</v>
      </c>
    </row>
    <row r="262" spans="4:6" x14ac:dyDescent="0.25">
      <c r="D262" s="78" t="s">
        <v>532</v>
      </c>
      <c r="E262" s="78" t="s">
        <v>533</v>
      </c>
      <c r="F262" s="85" t="s">
        <v>169</v>
      </c>
    </row>
    <row r="263" spans="4:6" x14ac:dyDescent="0.25">
      <c r="D263" s="78" t="s">
        <v>919</v>
      </c>
      <c r="E263" s="78" t="s">
        <v>534</v>
      </c>
      <c r="F263" s="85" t="s">
        <v>169</v>
      </c>
    </row>
    <row r="264" spans="4:6" x14ac:dyDescent="0.25">
      <c r="D264" s="78" t="s">
        <v>535</v>
      </c>
      <c r="E264" s="78" t="s">
        <v>536</v>
      </c>
      <c r="F264" s="85" t="s">
        <v>169</v>
      </c>
    </row>
    <row r="265" spans="4:6" x14ac:dyDescent="0.25">
      <c r="D265" s="78" t="s">
        <v>537</v>
      </c>
      <c r="E265" s="78" t="s">
        <v>538</v>
      </c>
      <c r="F265" s="85" t="s">
        <v>169</v>
      </c>
    </row>
    <row r="266" spans="4:6" x14ac:dyDescent="0.25">
      <c r="D266" s="78" t="s">
        <v>539</v>
      </c>
      <c r="E266" s="78" t="s">
        <v>540</v>
      </c>
      <c r="F266" s="85" t="s">
        <v>169</v>
      </c>
    </row>
    <row r="267" spans="4:6" x14ac:dyDescent="0.25">
      <c r="D267" s="78" t="s">
        <v>541</v>
      </c>
      <c r="E267" s="78" t="s">
        <v>542</v>
      </c>
      <c r="F267" s="85" t="s">
        <v>169</v>
      </c>
    </row>
    <row r="268" spans="4:6" x14ac:dyDescent="0.25">
      <c r="D268" s="78" t="s">
        <v>543</v>
      </c>
      <c r="E268" s="78" t="s">
        <v>544</v>
      </c>
      <c r="F268" s="85" t="s">
        <v>169</v>
      </c>
    </row>
    <row r="269" spans="4:6" x14ac:dyDescent="0.25">
      <c r="D269" s="78" t="s">
        <v>545</v>
      </c>
      <c r="E269" s="78" t="s">
        <v>546</v>
      </c>
      <c r="F269" s="85" t="s">
        <v>169</v>
      </c>
    </row>
    <row r="270" spans="4:6" x14ac:dyDescent="0.25">
      <c r="D270" s="78" t="s">
        <v>547</v>
      </c>
      <c r="E270" s="78" t="s">
        <v>548</v>
      </c>
      <c r="F270" s="85" t="s">
        <v>169</v>
      </c>
    </row>
    <row r="271" spans="4:6" x14ac:dyDescent="0.25">
      <c r="D271" s="78" t="s">
        <v>549</v>
      </c>
      <c r="E271" s="78" t="s">
        <v>550</v>
      </c>
      <c r="F271" s="85" t="s">
        <v>169</v>
      </c>
    </row>
    <row r="272" spans="4:6" x14ac:dyDescent="0.25">
      <c r="D272" s="78" t="s">
        <v>551</v>
      </c>
      <c r="E272" s="78" t="s">
        <v>552</v>
      </c>
      <c r="F272" s="85" t="s">
        <v>169</v>
      </c>
    </row>
    <row r="273" spans="4:6" x14ac:dyDescent="0.25">
      <c r="D273" s="78" t="s">
        <v>553</v>
      </c>
      <c r="E273" s="78" t="s">
        <v>554</v>
      </c>
      <c r="F273" s="85" t="s">
        <v>169</v>
      </c>
    </row>
    <row r="274" spans="4:6" x14ac:dyDescent="0.25">
      <c r="D274" s="78" t="s">
        <v>555</v>
      </c>
      <c r="E274" s="78" t="s">
        <v>556</v>
      </c>
      <c r="F274" s="85" t="s">
        <v>169</v>
      </c>
    </row>
    <row r="275" spans="4:6" x14ac:dyDescent="0.25">
      <c r="D275" s="78" t="s">
        <v>557</v>
      </c>
      <c r="E275" s="78" t="s">
        <v>558</v>
      </c>
      <c r="F275" s="85" t="s">
        <v>169</v>
      </c>
    </row>
    <row r="276" spans="4:6" x14ac:dyDescent="0.25">
      <c r="D276" s="78" t="s">
        <v>559</v>
      </c>
      <c r="E276" s="78" t="s">
        <v>560</v>
      </c>
      <c r="F276" s="85" t="s">
        <v>169</v>
      </c>
    </row>
    <row r="277" spans="4:6" x14ac:dyDescent="0.25">
      <c r="D277" s="78" t="s">
        <v>561</v>
      </c>
      <c r="E277" s="78" t="s">
        <v>562</v>
      </c>
      <c r="F277" s="85" t="s">
        <v>169</v>
      </c>
    </row>
    <row r="278" spans="4:6" x14ac:dyDescent="0.25">
      <c r="D278" s="78" t="s">
        <v>563</v>
      </c>
      <c r="E278" s="78" t="s">
        <v>564</v>
      </c>
      <c r="F278" s="85" t="s">
        <v>169</v>
      </c>
    </row>
    <row r="279" spans="4:6" x14ac:dyDescent="0.25">
      <c r="D279" s="78" t="s">
        <v>565</v>
      </c>
      <c r="E279" s="78" t="s">
        <v>566</v>
      </c>
      <c r="F279" s="85" t="s">
        <v>169</v>
      </c>
    </row>
    <row r="280" spans="4:6" x14ac:dyDescent="0.25">
      <c r="D280" s="78" t="s">
        <v>567</v>
      </c>
      <c r="E280" s="78" t="s">
        <v>568</v>
      </c>
      <c r="F280" s="85" t="s">
        <v>169</v>
      </c>
    </row>
    <row r="281" spans="4:6" x14ac:dyDescent="0.25">
      <c r="D281" s="78" t="s">
        <v>569</v>
      </c>
      <c r="E281" s="78" t="s">
        <v>570</v>
      </c>
      <c r="F281" s="85" t="s">
        <v>169</v>
      </c>
    </row>
    <row r="282" spans="4:6" x14ac:dyDescent="0.25">
      <c r="D282" s="78" t="s">
        <v>571</v>
      </c>
      <c r="E282" s="78" t="s">
        <v>572</v>
      </c>
      <c r="F282" s="85" t="s">
        <v>169</v>
      </c>
    </row>
    <row r="283" spans="4:6" x14ac:dyDescent="0.25">
      <c r="D283" s="78" t="s">
        <v>573</v>
      </c>
      <c r="E283" s="78" t="s">
        <v>574</v>
      </c>
      <c r="F283" s="85" t="s">
        <v>169</v>
      </c>
    </row>
    <row r="284" spans="4:6" x14ac:dyDescent="0.25">
      <c r="D284" s="78" t="s">
        <v>575</v>
      </c>
      <c r="E284" s="78" t="s">
        <v>576</v>
      </c>
      <c r="F284" s="85" t="s">
        <v>169</v>
      </c>
    </row>
    <row r="285" spans="4:6" x14ac:dyDescent="0.25">
      <c r="D285" s="78" t="s">
        <v>577</v>
      </c>
      <c r="E285" s="78" t="s">
        <v>578</v>
      </c>
      <c r="F285" s="85" t="s">
        <v>169</v>
      </c>
    </row>
    <row r="286" spans="4:6" x14ac:dyDescent="0.25">
      <c r="D286" s="78" t="s">
        <v>579</v>
      </c>
      <c r="E286" s="78" t="s">
        <v>580</v>
      </c>
      <c r="F286" s="85" t="s">
        <v>169</v>
      </c>
    </row>
    <row r="287" spans="4:6" x14ac:dyDescent="0.25">
      <c r="D287" s="78" t="s">
        <v>581</v>
      </c>
      <c r="E287" s="78" t="s">
        <v>582</v>
      </c>
      <c r="F287" s="85" t="s">
        <v>169</v>
      </c>
    </row>
    <row r="288" spans="4:6" x14ac:dyDescent="0.25">
      <c r="D288" s="78" t="s">
        <v>583</v>
      </c>
      <c r="E288" s="78" t="s">
        <v>584</v>
      </c>
      <c r="F288" s="85" t="s">
        <v>169</v>
      </c>
    </row>
    <row r="289" spans="4:6" x14ac:dyDescent="0.25">
      <c r="D289" s="78" t="s">
        <v>581</v>
      </c>
      <c r="E289" s="78" t="s">
        <v>585</v>
      </c>
      <c r="F289" s="85" t="s">
        <v>169</v>
      </c>
    </row>
    <row r="290" spans="4:6" x14ac:dyDescent="0.25">
      <c r="D290" s="78" t="s">
        <v>586</v>
      </c>
      <c r="E290" s="78" t="s">
        <v>587</v>
      </c>
      <c r="F290" s="85" t="s">
        <v>169</v>
      </c>
    </row>
    <row r="291" spans="4:6" x14ac:dyDescent="0.25">
      <c r="D291" s="78" t="s">
        <v>588</v>
      </c>
      <c r="E291" s="78" t="s">
        <v>589</v>
      </c>
      <c r="F291" s="85" t="s">
        <v>169</v>
      </c>
    </row>
    <row r="292" spans="4:6" x14ac:dyDescent="0.25">
      <c r="D292" s="78" t="s">
        <v>590</v>
      </c>
      <c r="E292" s="78" t="s">
        <v>591</v>
      </c>
      <c r="F292" s="85" t="s">
        <v>169</v>
      </c>
    </row>
    <row r="293" spans="4:6" x14ac:dyDescent="0.25">
      <c r="D293" s="78" t="s">
        <v>592</v>
      </c>
      <c r="E293" s="78" t="s">
        <v>593</v>
      </c>
      <c r="F293" s="85" t="s">
        <v>169</v>
      </c>
    </row>
    <row r="294" spans="4:6" x14ac:dyDescent="0.25">
      <c r="D294" s="78" t="s">
        <v>594</v>
      </c>
      <c r="E294" s="78" t="s">
        <v>595</v>
      </c>
      <c r="F294" s="85" t="s">
        <v>169</v>
      </c>
    </row>
    <row r="295" spans="4:6" x14ac:dyDescent="0.25">
      <c r="D295" s="78" t="s">
        <v>596</v>
      </c>
      <c r="E295" s="78" t="s">
        <v>597</v>
      </c>
      <c r="F295" s="85" t="s">
        <v>169</v>
      </c>
    </row>
    <row r="296" spans="4:6" x14ac:dyDescent="0.25">
      <c r="D296" s="78" t="s">
        <v>598</v>
      </c>
      <c r="E296" s="78" t="s">
        <v>599</v>
      </c>
      <c r="F296" s="85" t="s">
        <v>169</v>
      </c>
    </row>
    <row r="297" spans="4:6" x14ac:dyDescent="0.25">
      <c r="D297" s="78" t="s">
        <v>920</v>
      </c>
      <c r="E297" s="78" t="s">
        <v>921</v>
      </c>
      <c r="F297" s="85" t="s">
        <v>169</v>
      </c>
    </row>
    <row r="298" spans="4:6" x14ac:dyDescent="0.25">
      <c r="D298" s="78" t="s">
        <v>600</v>
      </c>
      <c r="E298" s="78" t="s">
        <v>601</v>
      </c>
      <c r="F298" s="85" t="s">
        <v>169</v>
      </c>
    </row>
    <row r="299" spans="4:6" x14ac:dyDescent="0.25">
      <c r="D299" s="78" t="s">
        <v>602</v>
      </c>
      <c r="E299" s="78" t="s">
        <v>603</v>
      </c>
      <c r="F299" s="85" t="s">
        <v>169</v>
      </c>
    </row>
    <row r="300" spans="4:6" x14ac:dyDescent="0.25">
      <c r="D300" s="78" t="s">
        <v>922</v>
      </c>
      <c r="E300" s="78" t="s">
        <v>604</v>
      </c>
      <c r="F300" s="85" t="s">
        <v>169</v>
      </c>
    </row>
    <row r="301" spans="4:6" x14ac:dyDescent="0.25">
      <c r="D301" s="78" t="s">
        <v>605</v>
      </c>
      <c r="E301" s="78" t="s">
        <v>606</v>
      </c>
      <c r="F301" s="85" t="s">
        <v>169</v>
      </c>
    </row>
    <row r="302" spans="4:6" x14ac:dyDescent="0.25">
      <c r="D302" s="78" t="s">
        <v>607</v>
      </c>
      <c r="E302" s="78" t="s">
        <v>608</v>
      </c>
      <c r="F302" s="85" t="s">
        <v>169</v>
      </c>
    </row>
    <row r="303" spans="4:6" x14ac:dyDescent="0.25">
      <c r="D303" s="78" t="s">
        <v>609</v>
      </c>
      <c r="E303" s="78" t="s">
        <v>610</v>
      </c>
      <c r="F303" s="85" t="s">
        <v>169</v>
      </c>
    </row>
    <row r="304" spans="4:6" x14ac:dyDescent="0.25">
      <c r="D304" s="78" t="s">
        <v>611</v>
      </c>
      <c r="E304" s="78" t="s">
        <v>612</v>
      </c>
      <c r="F304" s="85" t="s">
        <v>169</v>
      </c>
    </row>
    <row r="305" spans="4:6" x14ac:dyDescent="0.25">
      <c r="D305" s="78" t="s">
        <v>613</v>
      </c>
      <c r="E305" s="78" t="s">
        <v>614</v>
      </c>
      <c r="F305" s="85" t="s">
        <v>169</v>
      </c>
    </row>
    <row r="306" spans="4:6" x14ac:dyDescent="0.25">
      <c r="D306" s="78" t="s">
        <v>615</v>
      </c>
      <c r="E306" s="78" t="s">
        <v>616</v>
      </c>
      <c r="F306" s="85" t="s">
        <v>169</v>
      </c>
    </row>
    <row r="307" spans="4:6" x14ac:dyDescent="0.25">
      <c r="D307" s="78" t="s">
        <v>617</v>
      </c>
      <c r="E307" s="78" t="s">
        <v>618</v>
      </c>
      <c r="F307" s="85" t="s">
        <v>169</v>
      </c>
    </row>
    <row r="308" spans="4:6" x14ac:dyDescent="0.25">
      <c r="D308" s="78" t="s">
        <v>619</v>
      </c>
      <c r="E308" s="78" t="s">
        <v>620</v>
      </c>
      <c r="F308" s="85" t="s">
        <v>169</v>
      </c>
    </row>
    <row r="309" spans="4:6" x14ac:dyDescent="0.25">
      <c r="D309" s="78" t="s">
        <v>621</v>
      </c>
      <c r="E309" s="78" t="s">
        <v>622</v>
      </c>
      <c r="F309" s="85" t="s">
        <v>169</v>
      </c>
    </row>
    <row r="310" spans="4:6" x14ac:dyDescent="0.25">
      <c r="D310" s="78" t="s">
        <v>623</v>
      </c>
      <c r="E310" s="78" t="s">
        <v>624</v>
      </c>
      <c r="F310" s="85" t="s">
        <v>169</v>
      </c>
    </row>
    <row r="311" spans="4:6" x14ac:dyDescent="0.25">
      <c r="D311" s="78" t="s">
        <v>625</v>
      </c>
      <c r="E311" s="78" t="s">
        <v>626</v>
      </c>
      <c r="F311" s="85" t="s">
        <v>169</v>
      </c>
    </row>
    <row r="312" spans="4:6" x14ac:dyDescent="0.25">
      <c r="D312" s="78" t="s">
        <v>627</v>
      </c>
      <c r="E312" s="78" t="s">
        <v>628</v>
      </c>
      <c r="F312" s="85" t="s">
        <v>169</v>
      </c>
    </row>
    <row r="313" spans="4:6" x14ac:dyDescent="0.25">
      <c r="D313" s="78" t="s">
        <v>629</v>
      </c>
      <c r="E313" s="78" t="s">
        <v>630</v>
      </c>
      <c r="F313" s="85" t="s">
        <v>169</v>
      </c>
    </row>
    <row r="314" spans="4:6" x14ac:dyDescent="0.25">
      <c r="D314" s="78" t="s">
        <v>631</v>
      </c>
      <c r="E314" s="78" t="s">
        <v>632</v>
      </c>
      <c r="F314" s="85" t="s">
        <v>169</v>
      </c>
    </row>
    <row r="315" spans="4:6" x14ac:dyDescent="0.25">
      <c r="D315" s="78" t="s">
        <v>633</v>
      </c>
      <c r="E315" s="78" t="s">
        <v>634</v>
      </c>
      <c r="F315" s="85" t="s">
        <v>169</v>
      </c>
    </row>
    <row r="316" spans="4:6" x14ac:dyDescent="0.25">
      <c r="D316" s="78" t="s">
        <v>635</v>
      </c>
      <c r="E316" s="78" t="s">
        <v>636</v>
      </c>
      <c r="F316" s="85" t="s">
        <v>169</v>
      </c>
    </row>
    <row r="317" spans="4:6" x14ac:dyDescent="0.25">
      <c r="D317" s="78" t="s">
        <v>637</v>
      </c>
      <c r="E317" s="78" t="s">
        <v>638</v>
      </c>
      <c r="F317" s="85" t="s">
        <v>169</v>
      </c>
    </row>
    <row r="318" spans="4:6" x14ac:dyDescent="0.25">
      <c r="D318" s="78" t="s">
        <v>639</v>
      </c>
      <c r="E318" s="78" t="s">
        <v>640</v>
      </c>
      <c r="F318" s="85" t="s">
        <v>169</v>
      </c>
    </row>
    <row r="319" spans="4:6" x14ac:dyDescent="0.25">
      <c r="D319" s="78" t="s">
        <v>641</v>
      </c>
      <c r="E319" s="78" t="s">
        <v>642</v>
      </c>
      <c r="F319" s="85" t="s">
        <v>169</v>
      </c>
    </row>
    <row r="320" spans="4:6" x14ac:dyDescent="0.25">
      <c r="D320" s="78" t="s">
        <v>643</v>
      </c>
      <c r="E320" s="78" t="s">
        <v>644</v>
      </c>
      <c r="F320" s="85" t="s">
        <v>169</v>
      </c>
    </row>
    <row r="321" spans="4:6" x14ac:dyDescent="0.25">
      <c r="D321" s="78" t="s">
        <v>645</v>
      </c>
      <c r="E321" s="78" t="s">
        <v>646</v>
      </c>
      <c r="F321" s="85" t="s">
        <v>169</v>
      </c>
    </row>
    <row r="322" spans="4:6" x14ac:dyDescent="0.25">
      <c r="D322" s="78" t="s">
        <v>647</v>
      </c>
      <c r="E322" s="78" t="s">
        <v>648</v>
      </c>
      <c r="F322" s="85" t="s">
        <v>169</v>
      </c>
    </row>
    <row r="323" spans="4:6" x14ac:dyDescent="0.25">
      <c r="D323" s="78" t="s">
        <v>649</v>
      </c>
      <c r="E323" s="78" t="s">
        <v>650</v>
      </c>
      <c r="F323" s="85" t="s">
        <v>169</v>
      </c>
    </row>
    <row r="324" spans="4:6" x14ac:dyDescent="0.25">
      <c r="D324" s="78" t="s">
        <v>651</v>
      </c>
      <c r="E324" s="78" t="s">
        <v>652</v>
      </c>
      <c r="F324" s="85" t="s">
        <v>169</v>
      </c>
    </row>
    <row r="325" spans="4:6" x14ac:dyDescent="0.25">
      <c r="D325" s="78" t="s">
        <v>653</v>
      </c>
      <c r="E325" s="78" t="s">
        <v>654</v>
      </c>
      <c r="F325" s="85" t="s">
        <v>169</v>
      </c>
    </row>
    <row r="326" spans="4:6" x14ac:dyDescent="0.25">
      <c r="D326" s="78" t="s">
        <v>651</v>
      </c>
      <c r="E326" s="78" t="s">
        <v>655</v>
      </c>
      <c r="F326" s="85" t="s">
        <v>169</v>
      </c>
    </row>
    <row r="327" spans="4:6" x14ac:dyDescent="0.25">
      <c r="D327" s="78" t="s">
        <v>656</v>
      </c>
      <c r="E327" s="78" t="s">
        <v>657</v>
      </c>
      <c r="F327" s="85" t="s">
        <v>169</v>
      </c>
    </row>
    <row r="328" spans="4:6" x14ac:dyDescent="0.25">
      <c r="D328" s="78" t="s">
        <v>658</v>
      </c>
      <c r="E328" s="78" t="s">
        <v>659</v>
      </c>
      <c r="F328" s="85" t="s">
        <v>169</v>
      </c>
    </row>
    <row r="329" spans="4:6" x14ac:dyDescent="0.25">
      <c r="D329" s="94" t="s">
        <v>686</v>
      </c>
      <c r="E329" s="94" t="s">
        <v>687</v>
      </c>
      <c r="F329" s="95" t="s">
        <v>169</v>
      </c>
    </row>
    <row r="330" spans="4:6" x14ac:dyDescent="0.25">
      <c r="D330" s="78" t="s">
        <v>660</v>
      </c>
      <c r="E330" s="78" t="s">
        <v>661</v>
      </c>
      <c r="F330" s="85" t="s">
        <v>169</v>
      </c>
    </row>
    <row r="331" spans="4:6" x14ac:dyDescent="0.25">
      <c r="D331" s="78" t="s">
        <v>662</v>
      </c>
      <c r="E331" s="78" t="s">
        <v>663</v>
      </c>
      <c r="F331" s="85" t="s">
        <v>169</v>
      </c>
    </row>
    <row r="332" spans="4:6" x14ac:dyDescent="0.25">
      <c r="D332" s="78" t="s">
        <v>664</v>
      </c>
      <c r="E332" s="78" t="s">
        <v>665</v>
      </c>
      <c r="F332" s="85" t="s">
        <v>169</v>
      </c>
    </row>
    <row r="333" spans="4:6" x14ac:dyDescent="0.25">
      <c r="D333" s="78" t="s">
        <v>666</v>
      </c>
      <c r="E333" s="78" t="s">
        <v>667</v>
      </c>
      <c r="F333" s="85" t="s">
        <v>169</v>
      </c>
    </row>
    <row r="334" spans="4:6" x14ac:dyDescent="0.25">
      <c r="D334" s="78" t="s">
        <v>668</v>
      </c>
      <c r="E334" s="78" t="s">
        <v>669</v>
      </c>
      <c r="F334" s="85" t="s">
        <v>169</v>
      </c>
    </row>
    <row r="335" spans="4:6" x14ac:dyDescent="0.25">
      <c r="D335" s="78" t="s">
        <v>670</v>
      </c>
      <c r="E335" s="78" t="s">
        <v>671</v>
      </c>
      <c r="F335" s="85" t="s">
        <v>169</v>
      </c>
    </row>
    <row r="336" spans="4:6" x14ac:dyDescent="0.25">
      <c r="D336" s="78" t="s">
        <v>672</v>
      </c>
      <c r="E336" s="78" t="s">
        <v>673</v>
      </c>
      <c r="F336" s="85" t="s">
        <v>169</v>
      </c>
    </row>
    <row r="337" spans="4:6" x14ac:dyDescent="0.25">
      <c r="D337" s="78" t="s">
        <v>674</v>
      </c>
      <c r="E337" s="78" t="s">
        <v>675</v>
      </c>
      <c r="F337" s="85" t="s">
        <v>169</v>
      </c>
    </row>
    <row r="338" spans="4:6" x14ac:dyDescent="0.25">
      <c r="D338" s="78" t="s">
        <v>676</v>
      </c>
      <c r="E338" s="78" t="s">
        <v>677</v>
      </c>
      <c r="F338" s="85" t="s">
        <v>169</v>
      </c>
    </row>
    <row r="339" spans="4:6" x14ac:dyDescent="0.25">
      <c r="D339" s="78" t="s">
        <v>678</v>
      </c>
      <c r="E339" s="78" t="s">
        <v>679</v>
      </c>
      <c r="F339" s="85" t="s">
        <v>169</v>
      </c>
    </row>
    <row r="340" spans="4:6" x14ac:dyDescent="0.25">
      <c r="D340" s="78" t="s">
        <v>941</v>
      </c>
      <c r="E340" s="78" t="s">
        <v>942</v>
      </c>
      <c r="F340" s="85" t="s">
        <v>169</v>
      </c>
    </row>
    <row r="341" spans="4:6" x14ac:dyDescent="0.25">
      <c r="D341" s="78" t="s">
        <v>680</v>
      </c>
      <c r="E341" s="78" t="s">
        <v>681</v>
      </c>
      <c r="F341" s="85" t="s">
        <v>169</v>
      </c>
    </row>
    <row r="342" spans="4:6" x14ac:dyDescent="0.25">
      <c r="D342" s="78" t="s">
        <v>682</v>
      </c>
      <c r="E342" s="78" t="s">
        <v>683</v>
      </c>
      <c r="F342" s="85" t="s">
        <v>169</v>
      </c>
    </row>
    <row r="343" spans="4:6" x14ac:dyDescent="0.25">
      <c r="D343" s="78" t="s">
        <v>684</v>
      </c>
      <c r="E343" s="78" t="s">
        <v>685</v>
      </c>
      <c r="F343" s="85" t="s">
        <v>169</v>
      </c>
    </row>
    <row r="344" spans="4:6" x14ac:dyDescent="0.25">
      <c r="D344" s="78" t="s">
        <v>686</v>
      </c>
      <c r="E344" s="78" t="s">
        <v>687</v>
      </c>
      <c r="F344" s="85" t="s">
        <v>169</v>
      </c>
    </row>
    <row r="345" spans="4:6" x14ac:dyDescent="0.25">
      <c r="D345" s="78" t="s">
        <v>688</v>
      </c>
      <c r="E345" s="78" t="s">
        <v>689</v>
      </c>
      <c r="F345" s="85" t="s">
        <v>169</v>
      </c>
    </row>
    <row r="346" spans="4:6" x14ac:dyDescent="0.25">
      <c r="D346" s="78" t="s">
        <v>1069</v>
      </c>
      <c r="E346" s="78" t="s">
        <v>1070</v>
      </c>
      <c r="F346" s="85" t="s">
        <v>169</v>
      </c>
    </row>
    <row r="347" spans="4:6" x14ac:dyDescent="0.25">
      <c r="D347" s="78" t="s">
        <v>924</v>
      </c>
      <c r="E347" s="78" t="s">
        <v>923</v>
      </c>
      <c r="F347" s="85" t="s">
        <v>169</v>
      </c>
    </row>
    <row r="348" spans="4:6" x14ac:dyDescent="0.25">
      <c r="D348" s="78" t="s">
        <v>925</v>
      </c>
      <c r="E348" s="78" t="s">
        <v>926</v>
      </c>
      <c r="F348" s="96" t="s">
        <v>169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1"/>
  <sheetViews>
    <sheetView tabSelected="1" topLeftCell="A4" zoomScale="55" zoomScaleNormal="55" workbookViewId="0">
      <selection activeCell="A4" sqref="A1:XFD1048576"/>
    </sheetView>
  </sheetViews>
  <sheetFormatPr defaultColWidth="9.109375" defaultRowHeight="13.2" x14ac:dyDescent="0.25"/>
  <cols>
    <col min="1" max="1" width="9.109375" style="117"/>
    <col min="2" max="2" width="29.6640625" style="117" bestFit="1" customWidth="1"/>
    <col min="3" max="3" width="33.109375" style="117" bestFit="1" customWidth="1"/>
    <col min="4" max="4" width="16.88671875" style="117" bestFit="1" customWidth="1"/>
    <col min="5" max="5" width="18.88671875" style="117" bestFit="1" customWidth="1"/>
    <col min="6" max="6" width="12.109375" style="117" bestFit="1" customWidth="1"/>
    <col min="7" max="7" width="18.109375" style="117" bestFit="1" customWidth="1"/>
    <col min="8" max="9" width="9.109375" style="117"/>
    <col min="10" max="10" width="18.88671875" style="117" customWidth="1"/>
    <col min="11" max="11" width="13.88671875" style="117" bestFit="1" customWidth="1"/>
    <col min="12" max="12" width="26.88671875" style="117" customWidth="1"/>
    <col min="13" max="13" width="72.5546875" style="117" bestFit="1" customWidth="1"/>
    <col min="14" max="14" width="13.109375" style="117" bestFit="1" customWidth="1"/>
    <col min="15" max="15" width="13.44140625" style="117" bestFit="1" customWidth="1"/>
    <col min="16" max="16" width="33.44140625" style="117" bestFit="1" customWidth="1"/>
    <col min="17" max="17" width="9.109375" style="117"/>
    <col min="18" max="18" width="16.6640625" style="117" bestFit="1" customWidth="1"/>
    <col min="19" max="19" width="9.109375" style="117"/>
    <col min="20" max="20" width="27" style="117" customWidth="1"/>
    <col min="21" max="21" width="26.44140625" style="117" bestFit="1" customWidth="1"/>
    <col min="22" max="16384" width="9.109375" style="117"/>
  </cols>
  <sheetData>
    <row r="1" spans="2:21" s="78" customFormat="1" ht="17.399999999999999" x14ac:dyDescent="0.3">
      <c r="B1" s="97" t="s">
        <v>737</v>
      </c>
      <c r="C1" s="97"/>
      <c r="D1" s="97"/>
      <c r="E1" s="97"/>
      <c r="H1" s="91"/>
      <c r="J1" s="78" t="s">
        <v>724</v>
      </c>
    </row>
    <row r="2" spans="2:21" s="78" customFormat="1" ht="17.399999999999999" x14ac:dyDescent="0.3">
      <c r="B2" s="97" t="s">
        <v>725</v>
      </c>
      <c r="C2" s="97"/>
      <c r="D2" s="97"/>
      <c r="E2" s="97"/>
      <c r="H2" s="91"/>
    </row>
    <row r="3" spans="2:21" s="78" customFormat="1" ht="13.8" x14ac:dyDescent="0.25">
      <c r="B3" s="98"/>
      <c r="D3" s="93"/>
      <c r="E3" s="93"/>
      <c r="F3" s="93"/>
      <c r="G3" s="99"/>
      <c r="H3" s="91"/>
      <c r="J3" s="100" t="s">
        <v>726</v>
      </c>
      <c r="K3" s="100"/>
      <c r="L3" s="100" t="s">
        <v>727</v>
      </c>
      <c r="M3" s="100"/>
      <c r="N3" s="100"/>
      <c r="O3" s="100"/>
      <c r="P3" s="100"/>
      <c r="Q3" s="100"/>
      <c r="R3" s="100"/>
    </row>
    <row r="4" spans="2:21" s="78" customFormat="1" ht="13.8" x14ac:dyDescent="0.25">
      <c r="E4" s="101" t="s">
        <v>0</v>
      </c>
      <c r="F4" s="101"/>
      <c r="H4" s="91"/>
      <c r="J4" s="102" t="s">
        <v>17</v>
      </c>
      <c r="K4" s="102"/>
      <c r="L4" s="100"/>
      <c r="M4" s="100"/>
      <c r="N4" s="100"/>
      <c r="O4" s="100"/>
      <c r="P4" s="100"/>
      <c r="Q4" s="100"/>
      <c r="R4" s="100"/>
    </row>
    <row r="5" spans="2:21" s="78" customFormat="1" ht="13.8" x14ac:dyDescent="0.25">
      <c r="B5" s="103" t="s">
        <v>1</v>
      </c>
      <c r="C5" s="103" t="s">
        <v>728</v>
      </c>
      <c r="D5" s="103" t="s">
        <v>3</v>
      </c>
      <c r="E5" s="104" t="s">
        <v>4</v>
      </c>
      <c r="F5" s="103" t="s">
        <v>14</v>
      </c>
      <c r="G5" s="105" t="s">
        <v>47</v>
      </c>
      <c r="H5" s="91"/>
      <c r="J5" s="80" t="s">
        <v>15</v>
      </c>
      <c r="K5" s="80" t="s">
        <v>50</v>
      </c>
      <c r="L5" s="80" t="s">
        <v>1</v>
      </c>
      <c r="M5" s="80" t="s">
        <v>2</v>
      </c>
      <c r="N5" s="80" t="s">
        <v>18</v>
      </c>
      <c r="O5" s="80" t="s">
        <v>19</v>
      </c>
      <c r="P5" s="80" t="s">
        <v>20</v>
      </c>
      <c r="Q5" s="80" t="s">
        <v>21</v>
      </c>
      <c r="R5" s="80" t="s">
        <v>22</v>
      </c>
    </row>
    <row r="6" spans="2:21" s="78" customFormat="1" ht="19.5" customHeight="1" thickBot="1" x14ac:dyDescent="0.3">
      <c r="B6" s="106" t="s">
        <v>729</v>
      </c>
      <c r="C6" s="106" t="s">
        <v>28</v>
      </c>
      <c r="D6" s="106" t="s">
        <v>32</v>
      </c>
      <c r="E6" s="107" t="s">
        <v>33</v>
      </c>
      <c r="F6" s="108" t="s">
        <v>35</v>
      </c>
      <c r="G6" s="106" t="s">
        <v>716</v>
      </c>
      <c r="H6" s="91"/>
      <c r="J6" s="109" t="s">
        <v>730</v>
      </c>
      <c r="K6" s="109" t="s">
        <v>53</v>
      </c>
      <c r="L6" s="109" t="s">
        <v>27</v>
      </c>
      <c r="M6" s="109" t="s">
        <v>28</v>
      </c>
      <c r="N6" s="109" t="s">
        <v>29</v>
      </c>
      <c r="O6" s="109" t="s">
        <v>30</v>
      </c>
      <c r="P6" s="109" t="s">
        <v>731</v>
      </c>
      <c r="Q6" s="109" t="s">
        <v>732</v>
      </c>
      <c r="R6" s="109" t="s">
        <v>31</v>
      </c>
      <c r="S6" s="85"/>
      <c r="T6" s="110" t="s">
        <v>735</v>
      </c>
      <c r="U6" s="110" t="s">
        <v>736</v>
      </c>
    </row>
    <row r="7" spans="2:21" s="78" customFormat="1" ht="17.25" customHeight="1" x14ac:dyDescent="0.25">
      <c r="B7" s="111"/>
      <c r="C7" s="112"/>
      <c r="D7" s="112"/>
      <c r="E7" s="113" t="s">
        <v>733</v>
      </c>
      <c r="F7" s="112"/>
      <c r="G7" s="112" t="s">
        <v>39</v>
      </c>
      <c r="H7" s="91"/>
      <c r="I7" s="91"/>
      <c r="J7" s="91" t="s">
        <v>734</v>
      </c>
      <c r="L7" s="78" t="str">
        <f>"TER_BU_"&amp;U7&amp;"_"&amp;$L$3</f>
        <v>TER_BU_TP_N</v>
      </c>
      <c r="M7" s="78" t="s">
        <v>937</v>
      </c>
      <c r="N7" s="78" t="str">
        <f>General!$D$22</f>
        <v>000m2</v>
      </c>
      <c r="O7" s="78" t="str">
        <f>General!$D$23</f>
        <v>000m2</v>
      </c>
      <c r="R7" s="85" t="s">
        <v>42</v>
      </c>
      <c r="T7" s="114" t="s">
        <v>935</v>
      </c>
      <c r="U7" s="114" t="s">
        <v>939</v>
      </c>
    </row>
    <row r="8" spans="2:21" s="78" customFormat="1" ht="14.4" x14ac:dyDescent="0.25">
      <c r="B8" s="91" t="str">
        <f>L7</f>
        <v>TER_BU_TP_N</v>
      </c>
      <c r="C8" s="91" t="str">
        <f>M7</f>
        <v>NEW Building stock Private</v>
      </c>
      <c r="D8" s="91" t="str">
        <f>Commodities!AC9</f>
        <v>TER_TP_SH</v>
      </c>
      <c r="E8" s="115" t="str">
        <f>Commodities!$AC$6</f>
        <v>TER_TP</v>
      </c>
      <c r="F8" s="116">
        <f>BASE_YEAR+1</f>
        <v>2018</v>
      </c>
      <c r="G8" s="92">
        <v>100</v>
      </c>
      <c r="H8" s="91"/>
      <c r="L8" s="78" t="str">
        <f>"TER_BU_"&amp;U8&amp;"_"&amp;$L$3</f>
        <v>TER_BU_TS_N</v>
      </c>
      <c r="M8" s="78" t="s">
        <v>938</v>
      </c>
      <c r="N8" s="78" t="str">
        <f>General!$D$22</f>
        <v>000m2</v>
      </c>
      <c r="O8" s="78" t="str">
        <f>General!$D$23</f>
        <v>000m2</v>
      </c>
      <c r="R8" s="85" t="s">
        <v>42</v>
      </c>
      <c r="T8" s="78" t="s">
        <v>936</v>
      </c>
      <c r="U8" s="114" t="s">
        <v>940</v>
      </c>
    </row>
    <row r="9" spans="2:21" ht="14.4" x14ac:dyDescent="0.25">
      <c r="B9" s="91"/>
      <c r="C9" s="91"/>
      <c r="D9" s="91" t="str">
        <f>Commodities!AC11</f>
        <v>TER_TP_WH</v>
      </c>
      <c r="E9" s="115"/>
      <c r="F9" s="78"/>
      <c r="G9" s="78"/>
      <c r="J9" s="78"/>
      <c r="K9" s="78"/>
      <c r="L9" s="78"/>
      <c r="M9" s="78"/>
      <c r="N9" s="78"/>
      <c r="O9" s="78"/>
      <c r="P9" s="78"/>
      <c r="Q9" s="78"/>
      <c r="R9" s="85"/>
      <c r="T9" s="114"/>
      <c r="U9" s="114"/>
    </row>
    <row r="10" spans="2:21" ht="13.8" x14ac:dyDescent="0.25">
      <c r="B10" s="91"/>
      <c r="C10" s="91"/>
      <c r="D10" s="91" t="str">
        <f>Commodities!AC13</f>
        <v>TER_TP_SC</v>
      </c>
      <c r="E10" s="115"/>
      <c r="F10" s="78"/>
      <c r="G10" s="78"/>
    </row>
    <row r="11" spans="2:21" ht="13.8" x14ac:dyDescent="0.25">
      <c r="B11" s="91"/>
      <c r="C11" s="91"/>
      <c r="D11" s="91" t="str">
        <f>Commodities!AC15</f>
        <v>TER_TP_CK</v>
      </c>
      <c r="E11" s="115"/>
      <c r="F11" s="78"/>
      <c r="G11" s="78"/>
    </row>
    <row r="12" spans="2:21" ht="13.8" x14ac:dyDescent="0.25">
      <c r="B12" s="91"/>
      <c r="C12" s="91"/>
      <c r="D12" s="91" t="str">
        <f>Commodities!AC17</f>
        <v>TER_TP_LI</v>
      </c>
      <c r="E12" s="115"/>
      <c r="F12" s="78"/>
      <c r="G12" s="78"/>
    </row>
    <row r="13" spans="2:21" ht="13.8" x14ac:dyDescent="0.25">
      <c r="B13" s="91"/>
      <c r="C13" s="91"/>
      <c r="D13" s="91" t="str">
        <f>Commodities!AC19</f>
        <v>TER_TP_RF</v>
      </c>
      <c r="E13" s="115"/>
      <c r="F13" s="78"/>
      <c r="G13" s="78"/>
    </row>
    <row r="14" spans="2:21" ht="13.8" x14ac:dyDescent="0.25">
      <c r="B14" s="86"/>
      <c r="C14" s="86"/>
      <c r="D14" s="86" t="str">
        <f>Commodities!AC21</f>
        <v>TER_TP_AP</v>
      </c>
      <c r="E14" s="118"/>
      <c r="F14" s="86"/>
      <c r="G14" s="86"/>
    </row>
    <row r="15" spans="2:21" ht="13.8" x14ac:dyDescent="0.25">
      <c r="B15" s="91" t="str">
        <f>L8</f>
        <v>TER_BU_TS_N</v>
      </c>
      <c r="C15" s="91" t="str">
        <f>M8</f>
        <v>NEW Building stock Public</v>
      </c>
      <c r="D15" s="78" t="str">
        <f>Commodities!AC10</f>
        <v>TER_TS_SH</v>
      </c>
      <c r="E15" s="115" t="str">
        <f>Commodities!$AC$7</f>
        <v>TER_TS</v>
      </c>
      <c r="F15" s="116">
        <f>BASE_YEAR+1</f>
        <v>2018</v>
      </c>
      <c r="G15" s="92">
        <v>100</v>
      </c>
    </row>
    <row r="16" spans="2:21" ht="13.8" x14ac:dyDescent="0.25">
      <c r="B16" s="78"/>
      <c r="C16" s="78"/>
      <c r="D16" s="78" t="str">
        <f>Commodities!AC12</f>
        <v>TER_TS_WH</v>
      </c>
      <c r="E16" s="115"/>
      <c r="F16" s="78"/>
      <c r="G16" s="78"/>
    </row>
    <row r="17" spans="2:7" ht="13.8" x14ac:dyDescent="0.25">
      <c r="B17" s="78"/>
      <c r="C17" s="78"/>
      <c r="D17" s="78" t="str">
        <f>Commodities!AC14</f>
        <v>TER_TS_SC</v>
      </c>
      <c r="E17" s="115"/>
      <c r="F17" s="78"/>
      <c r="G17" s="78"/>
    </row>
    <row r="18" spans="2:7" ht="13.8" x14ac:dyDescent="0.25">
      <c r="B18" s="78"/>
      <c r="C18" s="78"/>
      <c r="D18" s="78" t="str">
        <f>Commodities!AC16</f>
        <v>TER_TS_CK</v>
      </c>
      <c r="E18" s="115"/>
      <c r="F18" s="78"/>
      <c r="G18" s="78"/>
    </row>
    <row r="19" spans="2:7" ht="13.8" x14ac:dyDescent="0.25">
      <c r="B19" s="78"/>
      <c r="C19" s="78"/>
      <c r="D19" s="78" t="str">
        <f>Commodities!AC18</f>
        <v>TER_TS_LI</v>
      </c>
      <c r="E19" s="115"/>
      <c r="F19" s="78"/>
      <c r="G19" s="78"/>
    </row>
    <row r="20" spans="2:7" ht="13.8" x14ac:dyDescent="0.25">
      <c r="B20" s="78"/>
      <c r="C20" s="78"/>
      <c r="D20" s="78" t="str">
        <f>Commodities!AC20</f>
        <v>TER_TS_RF</v>
      </c>
      <c r="E20" s="115"/>
      <c r="F20" s="78"/>
      <c r="G20" s="78"/>
    </row>
    <row r="21" spans="2:7" ht="13.8" x14ac:dyDescent="0.25">
      <c r="B21" s="86"/>
      <c r="C21" s="86"/>
      <c r="D21" s="86" t="str">
        <f>Commodities!AC22</f>
        <v>TER_TS_AP</v>
      </c>
      <c r="E21" s="118"/>
      <c r="F21" s="86"/>
      <c r="G21" s="86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K340"/>
  <sheetViews>
    <sheetView topLeftCell="A19" zoomScale="60" zoomScaleNormal="60" workbookViewId="0">
      <selection activeCell="A4" sqref="A1:XFD1048576"/>
    </sheetView>
  </sheetViews>
  <sheetFormatPr defaultRowHeight="16.5" customHeight="1" x14ac:dyDescent="0.25"/>
  <cols>
    <col min="1" max="1" width="8.88671875" style="117"/>
    <col min="2" max="2" width="38.5546875" style="117" customWidth="1"/>
    <col min="3" max="3" width="74" style="117" customWidth="1"/>
    <col min="4" max="4" width="17.109375" style="117" bestFit="1" customWidth="1"/>
    <col min="5" max="5" width="19.109375" style="117" bestFit="1" customWidth="1"/>
    <col min="6" max="6" width="8.109375" style="117" bestFit="1" customWidth="1"/>
    <col min="7" max="7" width="13.6640625" style="117" customWidth="1"/>
    <col min="8" max="8" width="29.109375" style="117" bestFit="1" customWidth="1"/>
    <col min="9" max="9" width="26.109375" style="117" bestFit="1" customWidth="1"/>
    <col min="10" max="10" width="25.5546875" style="117" bestFit="1" customWidth="1"/>
    <col min="11" max="11" width="18.33203125" style="117" bestFit="1" customWidth="1"/>
    <col min="12" max="12" width="29" style="117" bestFit="1" customWidth="1"/>
    <col min="13" max="13" width="34.109375" style="117" bestFit="1" customWidth="1"/>
    <col min="14" max="14" width="15.6640625" style="117" bestFit="1" customWidth="1"/>
    <col min="15" max="15" width="16.44140625" style="117" bestFit="1" customWidth="1"/>
    <col min="16" max="16" width="19.33203125" style="117" bestFit="1" customWidth="1"/>
    <col min="17" max="17" width="18.88671875" style="117" bestFit="1" customWidth="1"/>
    <col min="18" max="18" width="26.33203125" style="117" bestFit="1" customWidth="1"/>
    <col min="19" max="19" width="8.88671875" style="117"/>
    <col min="20" max="20" width="20.5546875" style="117" customWidth="1"/>
    <col min="21" max="21" width="11.88671875" style="117" customWidth="1"/>
    <col min="22" max="22" width="14.33203125" style="117" bestFit="1" customWidth="1"/>
    <col min="23" max="23" width="33.6640625" style="117" customWidth="1"/>
    <col min="24" max="24" width="148.88671875" style="117" bestFit="1" customWidth="1"/>
    <col min="25" max="25" width="12.109375" style="117" bestFit="1" customWidth="1"/>
    <col min="26" max="26" width="14" style="117" bestFit="1" customWidth="1"/>
    <col min="27" max="28" width="26.44140625" style="117" bestFit="1" customWidth="1"/>
    <col min="29" max="29" width="17.44140625" style="117" bestFit="1" customWidth="1"/>
    <col min="30" max="30" width="8.88671875" style="117"/>
    <col min="31" max="31" width="91" style="117" bestFit="1" customWidth="1"/>
    <col min="32" max="32" width="8.88671875" style="117"/>
    <col min="33" max="33" width="46.33203125" style="117" customWidth="1"/>
    <col min="34" max="34" width="58" style="117" bestFit="1" customWidth="1"/>
    <col min="35" max="35" width="9.109375" style="117" customWidth="1"/>
    <col min="36" max="16384" width="8.88671875" style="117"/>
  </cols>
  <sheetData>
    <row r="1" spans="1:37" s="78" customFormat="1" ht="16.5" customHeight="1" x14ac:dyDescent="0.3">
      <c r="B1" s="97" t="s">
        <v>737</v>
      </c>
      <c r="C1" s="97"/>
      <c r="D1" s="97"/>
      <c r="E1" s="97"/>
      <c r="F1" s="97"/>
      <c r="G1" s="97"/>
      <c r="S1" s="91"/>
      <c r="U1" s="78" t="s">
        <v>724</v>
      </c>
    </row>
    <row r="2" spans="1:37" s="78" customFormat="1" ht="16.5" customHeight="1" x14ac:dyDescent="0.3">
      <c r="B2" s="97" t="s">
        <v>738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S2" s="91"/>
    </row>
    <row r="3" spans="1:37" s="78" customFormat="1" ht="16.5" customHeight="1" x14ac:dyDescent="0.25">
      <c r="B3" s="98"/>
      <c r="D3" s="93"/>
      <c r="E3" s="93"/>
      <c r="F3" s="93"/>
      <c r="G3" s="93"/>
      <c r="K3" s="119"/>
      <c r="L3" s="119"/>
      <c r="M3" s="119"/>
      <c r="N3" s="119"/>
      <c r="O3" s="119"/>
      <c r="P3" s="119"/>
      <c r="Q3" s="99"/>
      <c r="S3" s="91"/>
      <c r="U3" s="100" t="s">
        <v>726</v>
      </c>
      <c r="V3" s="100"/>
      <c r="W3" s="100" t="s">
        <v>727</v>
      </c>
      <c r="X3" s="100"/>
      <c r="Y3" s="100"/>
      <c r="Z3" s="100"/>
      <c r="AA3" s="100"/>
      <c r="AB3" s="100"/>
      <c r="AC3" s="100"/>
      <c r="AH3" s="91"/>
      <c r="AI3" s="91"/>
      <c r="AJ3" s="91"/>
    </row>
    <row r="4" spans="1:37" s="78" customFormat="1" ht="16.5" customHeight="1" x14ac:dyDescent="0.25">
      <c r="E4" s="120"/>
      <c r="F4" s="101" t="s">
        <v>0</v>
      </c>
      <c r="G4" s="101"/>
      <c r="H4" s="121">
        <v>3</v>
      </c>
      <c r="I4" s="121">
        <v>4</v>
      </c>
      <c r="J4" s="121">
        <v>5</v>
      </c>
      <c r="K4" s="122"/>
      <c r="L4" s="122"/>
      <c r="M4" s="122"/>
      <c r="N4" s="122">
        <v>7</v>
      </c>
      <c r="O4" s="122">
        <v>8</v>
      </c>
      <c r="P4" s="78">
        <v>9</v>
      </c>
      <c r="Q4" s="78">
        <v>10</v>
      </c>
      <c r="S4" s="91"/>
      <c r="U4" s="102" t="s">
        <v>17</v>
      </c>
      <c r="V4" s="102"/>
      <c r="W4" s="100"/>
      <c r="X4" s="100"/>
      <c r="Y4" s="100"/>
      <c r="Z4" s="100"/>
      <c r="AA4" s="100"/>
      <c r="AB4" s="100"/>
      <c r="AC4" s="100"/>
      <c r="AH4" s="123"/>
      <c r="AI4" s="91"/>
      <c r="AJ4" s="91"/>
    </row>
    <row r="5" spans="1:37" s="78" customFormat="1" ht="16.5" customHeight="1" x14ac:dyDescent="0.25">
      <c r="B5" s="103" t="s">
        <v>1</v>
      </c>
      <c r="C5" s="103" t="s">
        <v>728</v>
      </c>
      <c r="D5" s="103" t="s">
        <v>3</v>
      </c>
      <c r="E5" s="103" t="s">
        <v>4</v>
      </c>
      <c r="F5" s="104" t="s">
        <v>739</v>
      </c>
      <c r="G5" s="103" t="s">
        <v>14</v>
      </c>
      <c r="H5" s="105" t="s">
        <v>16</v>
      </c>
      <c r="I5" s="105" t="str">
        <f>"CEFF~"&amp;E16</f>
        <v>CEFF~TER_TP_SH</v>
      </c>
      <c r="J5" s="105" t="str">
        <f>"CEFF~"&amp;E30</f>
        <v>CEFF~TER_TP_SC</v>
      </c>
      <c r="K5" s="105" t="s">
        <v>46</v>
      </c>
      <c r="L5" s="105" t="str">
        <f>"SHARE~"&amp;D38</f>
        <v>SHARE~TERRESGEO</v>
      </c>
      <c r="M5" s="105" t="str">
        <f>"SHARE~UP~"&amp;E14</f>
        <v>SHARE~UP~TER_TP_WH</v>
      </c>
      <c r="N5" s="105" t="s">
        <v>36</v>
      </c>
      <c r="O5" s="105" t="s">
        <v>5</v>
      </c>
      <c r="P5" s="105" t="s">
        <v>34</v>
      </c>
      <c r="Q5" s="105" t="s">
        <v>47</v>
      </c>
      <c r="R5" s="105" t="s">
        <v>48</v>
      </c>
      <c r="S5" s="91"/>
      <c r="U5" s="80" t="s">
        <v>15</v>
      </c>
      <c r="V5" s="80" t="s">
        <v>50</v>
      </c>
      <c r="W5" s="80" t="s">
        <v>1</v>
      </c>
      <c r="X5" s="80" t="s">
        <v>2</v>
      </c>
      <c r="Y5" s="80" t="s">
        <v>18</v>
      </c>
      <c r="Z5" s="80" t="s">
        <v>19</v>
      </c>
      <c r="AA5" s="80" t="s">
        <v>20</v>
      </c>
      <c r="AB5" s="80" t="s">
        <v>21</v>
      </c>
      <c r="AC5" s="80" t="s">
        <v>22</v>
      </c>
      <c r="AE5" s="124"/>
      <c r="AH5" s="125"/>
      <c r="AI5" s="91"/>
      <c r="AJ5" s="91"/>
    </row>
    <row r="6" spans="1:37" s="78" customFormat="1" ht="16.5" customHeight="1" thickBot="1" x14ac:dyDescent="0.3">
      <c r="B6" s="106" t="s">
        <v>729</v>
      </c>
      <c r="C6" s="106" t="s">
        <v>28</v>
      </c>
      <c r="D6" s="106" t="s">
        <v>32</v>
      </c>
      <c r="E6" s="106" t="s">
        <v>33</v>
      </c>
      <c r="F6" s="107"/>
      <c r="G6" s="108" t="s">
        <v>35</v>
      </c>
      <c r="H6" s="106" t="s">
        <v>741</v>
      </c>
      <c r="I6" s="106" t="s">
        <v>742</v>
      </c>
      <c r="J6" s="106" t="s">
        <v>743</v>
      </c>
      <c r="K6" s="106" t="s">
        <v>744</v>
      </c>
      <c r="L6" s="106" t="s">
        <v>745</v>
      </c>
      <c r="M6" s="106" t="s">
        <v>746</v>
      </c>
      <c r="N6" s="108" t="s">
        <v>747</v>
      </c>
      <c r="O6" s="106" t="s">
        <v>37</v>
      </c>
      <c r="P6" s="106" t="s">
        <v>38</v>
      </c>
      <c r="Q6" s="106" t="s">
        <v>716</v>
      </c>
      <c r="R6" s="106" t="s">
        <v>748</v>
      </c>
      <c r="S6" s="91"/>
      <c r="U6" s="126" t="s">
        <v>730</v>
      </c>
      <c r="V6" s="126" t="s">
        <v>53</v>
      </c>
      <c r="W6" s="126" t="s">
        <v>27</v>
      </c>
      <c r="X6" s="126" t="s">
        <v>28</v>
      </c>
      <c r="Y6" s="126" t="s">
        <v>29</v>
      </c>
      <c r="Z6" s="126" t="s">
        <v>30</v>
      </c>
      <c r="AA6" s="126" t="s">
        <v>731</v>
      </c>
      <c r="AB6" s="126" t="s">
        <v>732</v>
      </c>
      <c r="AC6" s="126" t="s">
        <v>31</v>
      </c>
      <c r="AD6" s="85"/>
      <c r="AE6" s="109"/>
      <c r="AH6" s="127"/>
      <c r="AI6" s="91"/>
      <c r="AJ6" s="91"/>
    </row>
    <row r="7" spans="1:37" s="78" customFormat="1" ht="16.5" customHeight="1" x14ac:dyDescent="0.25">
      <c r="B7" s="128" t="s">
        <v>751</v>
      </c>
      <c r="C7" s="128"/>
      <c r="D7" s="128"/>
      <c r="E7" s="128" t="s">
        <v>733</v>
      </c>
      <c r="F7" s="129"/>
      <c r="G7" s="128"/>
      <c r="H7" s="128" t="s">
        <v>749</v>
      </c>
      <c r="I7" s="128" t="s">
        <v>749</v>
      </c>
      <c r="J7" s="128" t="s">
        <v>749</v>
      </c>
      <c r="K7" s="128" t="s">
        <v>749</v>
      </c>
      <c r="L7" s="128" t="s">
        <v>749</v>
      </c>
      <c r="M7" s="128" t="s">
        <v>749</v>
      </c>
      <c r="N7" s="128" t="str">
        <f>General!$D$26</f>
        <v>$/kW</v>
      </c>
      <c r="O7" s="128" t="str">
        <f>General!$D$26</f>
        <v>$/kW</v>
      </c>
      <c r="P7" s="128" t="str">
        <f>General!$D$15</f>
        <v>$/GJ</v>
      </c>
      <c r="Q7" s="128" t="str">
        <f>General!$D$20</f>
        <v>Years</v>
      </c>
      <c r="R7" s="128" t="str">
        <f>General!$E$16</f>
        <v>PJ/GW</v>
      </c>
      <c r="S7" s="91"/>
      <c r="T7" s="91"/>
      <c r="U7" s="89" t="s">
        <v>750</v>
      </c>
      <c r="V7" s="89"/>
      <c r="W7" s="89" t="str">
        <f>Commodities!$AC$9&amp;"_"&amp;RIGHT(Commodities!$D$156,3)&amp;"_"&amp;$W$3&amp;"_ST"</f>
        <v>TER_TP_SH_BKB_N_ST</v>
      </c>
      <c r="X7" s="89" t="s">
        <v>1017</v>
      </c>
      <c r="Y7" s="90" t="str">
        <f>General!$B$2</f>
        <v>PJ</v>
      </c>
      <c r="Z7" s="92" t="str">
        <f>General!$B$5</f>
        <v>GW</v>
      </c>
      <c r="AA7" s="90" t="s">
        <v>44</v>
      </c>
      <c r="AB7" s="90"/>
      <c r="AC7" s="89"/>
      <c r="AG7" s="91"/>
      <c r="AH7" s="91"/>
      <c r="AI7" s="92"/>
      <c r="AJ7" s="92"/>
      <c r="AK7" s="92"/>
    </row>
    <row r="8" spans="1:37" s="78" customFormat="1" ht="16.5" customHeight="1" x14ac:dyDescent="0.25">
      <c r="B8" s="91" t="str">
        <f t="shared" ref="B8:C10" si="0">W7</f>
        <v>TER_TP_SH_BKB_N_ST</v>
      </c>
      <c r="C8" s="91" t="str">
        <f t="shared" si="0"/>
        <v>Private (Commercial) SpHeat BKB Boiler Standard (N)</v>
      </c>
      <c r="D8" s="91" t="str">
        <f>Commodities!$D$188</f>
        <v>TERCOABKB</v>
      </c>
      <c r="E8" s="91" t="str">
        <f>Commodities!$AC$9</f>
        <v>TER_TP_SH</v>
      </c>
      <c r="F8" s="130">
        <f t="shared" ref="F8:F39" si="1">G8</f>
        <v>2100</v>
      </c>
      <c r="G8" s="92">
        <v>2100</v>
      </c>
      <c r="H8" s="131">
        <f>IFERROR(VLOOKUP(IF(LEN($B8)=18,RIGHT($B8,8),RIGHT($B8,10)),'DATA '!$B$5:$J$31,H$4,FALSE),"")</f>
        <v>0.55000000000000004</v>
      </c>
      <c r="I8" s="131"/>
      <c r="J8" s="131"/>
      <c r="K8" s="131" t="str">
        <f>IFERROR(VLOOKUP(IF(LEN($B8)=18,RIGHT($B8,8),RIGHT($B8,10)),'DATA '!$B$5:$J$31,K$4,FALSE),"")</f>
        <v/>
      </c>
      <c r="L8" s="131" t="str">
        <f>IFERROR(VLOOKUP(IF(LEN($B8)=18,RIGHT($B8,8),RIGHT($B8,10)),'DATA '!$B$5:$J$31,L$4,FALSE),"")</f>
        <v/>
      </c>
      <c r="M8" s="131" t="str">
        <f>IFERROR(VLOOKUP(IF(LEN($B8)=18,RIGHT($B8,8),RIGHT($B8,10)),'DATA '!$B$5:$J$31,M$4,FALSE),"")</f>
        <v/>
      </c>
      <c r="N8" s="131">
        <f>IFERROR(VLOOKUP(IF(LEN($B8)=18,RIGHT($B8,8),RIGHT($B8,10)),'DATA '!$B$5:$J$31,N$4,FALSE),"")</f>
        <v>334.44444444444446</v>
      </c>
      <c r="O8" s="131">
        <f>IFERROR(VLOOKUP(IF(LEN($B8)=18,RIGHT($B8,8),RIGHT($B8,10)),'DATA '!$B$5:$J$31,O$4,FALSE),"")</f>
        <v>135</v>
      </c>
      <c r="P8" s="131">
        <f>IFERROR(VLOOKUP(IF(LEN($B8)=18,RIGHT($B8,8),RIGHT($B8,10)),'DATA '!$B$5:$J$31,P$4,FALSE),"")</f>
        <v>0</v>
      </c>
      <c r="Q8" s="132">
        <f>IFERROR(VLOOKUP(IF(LEN($B8)=18,RIGHT($B8,8),RIGHT($B8,10)),'DATA '!$B$5:$K$31,Q$4,FALSE),"")</f>
        <v>15</v>
      </c>
      <c r="R8" s="131">
        <v>31.536000000000001</v>
      </c>
      <c r="S8" s="91"/>
      <c r="U8" s="91"/>
      <c r="V8" s="91"/>
      <c r="W8" s="91" t="str">
        <f>Commodities!$AC$9&amp;"_"&amp;RIGHT(Commodities!$D$166,3)&amp;"_"&amp;$W$3&amp;"_ST01"</f>
        <v>TER_TP_SH_LOG_N_ST01</v>
      </c>
      <c r="X8" s="91" t="s">
        <v>1018</v>
      </c>
      <c r="Y8" s="92" t="str">
        <f>General!$B$2</f>
        <v>PJ</v>
      </c>
      <c r="Z8" s="92" t="str">
        <f>General!$B$5</f>
        <v>GW</v>
      </c>
      <c r="AA8" s="92" t="s">
        <v>44</v>
      </c>
      <c r="AB8" s="92"/>
      <c r="AC8" s="91"/>
      <c r="AG8" s="91"/>
      <c r="AH8" s="91"/>
      <c r="AI8" s="92"/>
      <c r="AJ8" s="92"/>
      <c r="AK8" s="92"/>
    </row>
    <row r="9" spans="1:37" ht="16.5" customHeight="1" x14ac:dyDescent="0.25">
      <c r="A9" s="78"/>
      <c r="B9" s="91" t="str">
        <f t="shared" si="0"/>
        <v>TER_TP_SH_LOG_N_ST01</v>
      </c>
      <c r="C9" s="91" t="str">
        <f t="shared" si="0"/>
        <v>Private (Commercial) SpHeat Wood Boiler Standard (N)</v>
      </c>
      <c r="D9" s="91" t="str">
        <f>Commodities!$D$198</f>
        <v>TERBIOLOG</v>
      </c>
      <c r="E9" s="91" t="str">
        <f>Commodities!$AC$9</f>
        <v>TER_TP_SH</v>
      </c>
      <c r="F9" s="130">
        <f t="shared" si="1"/>
        <v>2018</v>
      </c>
      <c r="G9" s="92">
        <f>BASE_YEAR+1</f>
        <v>2018</v>
      </c>
      <c r="H9" s="131">
        <f>IFERROR(VLOOKUP(IF(LEN($B9)=18,RIGHT($B9,8),RIGHT($B9,10)),'DATA '!$B$5:$J$31,H$4,FALSE),"")</f>
        <v>0.57999999999999996</v>
      </c>
      <c r="I9" s="131"/>
      <c r="J9" s="131"/>
      <c r="K9" s="131" t="str">
        <f>IFERROR(VLOOKUP(IF(LEN($B9)=18,RIGHT($B9,8),RIGHT($B9,10)),'DATA '!$B$5:$J$31,K$4,FALSE),"")</f>
        <v/>
      </c>
      <c r="L9" s="131" t="str">
        <f>IFERROR(VLOOKUP(IF(LEN($B9)=18,RIGHT($B9,8),RIGHT($B9,10)),'DATA '!$B$5:$J$31,L$4,FALSE),"")</f>
        <v/>
      </c>
      <c r="M9" s="131" t="str">
        <f>IFERROR(VLOOKUP(IF(LEN($B9)=18,RIGHT($B9,8),RIGHT($B9,10)),'DATA '!$B$5:$J$31,M$4,FALSE),"")</f>
        <v/>
      </c>
      <c r="N9" s="131">
        <f>IFERROR(VLOOKUP(IF(LEN($B9)=18,RIGHT($B9,8),RIGHT($B9,10)),'DATA '!$B$5:$J$31,N$4,FALSE),"")</f>
        <v>314.76643374741207</v>
      </c>
      <c r="O9" s="131">
        <f>IFERROR(VLOOKUP(IF(LEN($B9)=18,RIGHT($B9,8),RIGHT($B9,10)),'DATA '!$B$5:$J$31,O$4,FALSE),"")</f>
        <v>7.4559193954659948</v>
      </c>
      <c r="P9" s="131">
        <f>IFERROR(VLOOKUP(IF(LEN($B9)=18,RIGHT($B9,8),RIGHT($B9,10)),'DATA '!$B$5:$J$31,P$4,FALSE),"")</f>
        <v>0</v>
      </c>
      <c r="Q9" s="132">
        <f>IFERROR(VLOOKUP(IF(LEN($B9)=18,RIGHT($B9,8),RIGHT($B9,10)),'DATA '!$B$5:$K$31,Q$4,FALSE),"")</f>
        <v>20</v>
      </c>
      <c r="R9" s="131">
        <v>31.536000000000001</v>
      </c>
      <c r="U9" s="91"/>
      <c r="V9" s="91"/>
      <c r="W9" s="91" t="str">
        <f>Commodities!$AC$9&amp;"_"&amp;RIGHT(Commodities!$D$176,3)&amp;"_"&amp;$W$3&amp;"_ST01"</f>
        <v>TER_TP_SH_PLT_N_ST01</v>
      </c>
      <c r="X9" s="91" t="s">
        <v>1019</v>
      </c>
      <c r="Y9" s="92" t="str">
        <f>General!$B$2</f>
        <v>PJ</v>
      </c>
      <c r="Z9" s="92" t="str">
        <f>General!$B$5</f>
        <v>GW</v>
      </c>
      <c r="AA9" s="92" t="s">
        <v>44</v>
      </c>
      <c r="AB9" s="92"/>
      <c r="AC9" s="91"/>
      <c r="AE9" s="78"/>
      <c r="AG9" s="91"/>
      <c r="AH9" s="91"/>
      <c r="AI9" s="92"/>
      <c r="AJ9" s="92"/>
      <c r="AK9" s="92"/>
    </row>
    <row r="10" spans="1:37" ht="16.5" customHeight="1" x14ac:dyDescent="0.25">
      <c r="A10" s="78"/>
      <c r="B10" s="91" t="str">
        <f t="shared" si="0"/>
        <v>TER_TP_SH_PLT_N_ST01</v>
      </c>
      <c r="C10" s="91" t="str">
        <f t="shared" si="0"/>
        <v>Private (Commercial) SpHeat Pellet Boiler Standard (N)</v>
      </c>
      <c r="D10" s="91" t="str">
        <f>Commodities!$D$208</f>
        <v>TERBIOPLT</v>
      </c>
      <c r="E10" s="91" t="str">
        <f>Commodities!$AC$9</f>
        <v>TER_TP_SH</v>
      </c>
      <c r="F10" s="130">
        <f t="shared" si="1"/>
        <v>2018</v>
      </c>
      <c r="G10" s="92">
        <f>BASE_YEAR+1</f>
        <v>2018</v>
      </c>
      <c r="H10" s="131">
        <f>IFERROR(VLOOKUP(IF(LEN($B10)=18,RIGHT($B10,8),RIGHT($B10,10)),'DATA '!$B$5:$J$31,H$4,FALSE),"")</f>
        <v>0.6</v>
      </c>
      <c r="I10" s="131"/>
      <c r="J10" s="131"/>
      <c r="K10" s="131" t="str">
        <f>IFERROR(VLOOKUP(IF(LEN($B10)=18,RIGHT($B10,8),RIGHT($B10,10)),'DATA '!$B$5:$J$31,K$4,FALSE),"")</f>
        <v/>
      </c>
      <c r="L10" s="131" t="str">
        <f>IFERROR(VLOOKUP(IF(LEN($B10)=18,RIGHT($B10,8),RIGHT($B10,10)),'DATA '!$B$5:$J$31,L$4,FALSE),"")</f>
        <v/>
      </c>
      <c r="M10" s="131" t="str">
        <f>IFERROR(VLOOKUP(IF(LEN($B10)=18,RIGHT($B10,8),RIGHT($B10,10)),'DATA '!$B$5:$J$31,M$4,FALSE),"")</f>
        <v/>
      </c>
      <c r="N10" s="131">
        <f>IFERROR(VLOOKUP(IF(LEN($B10)=18,RIGHT($B10,8),RIGHT($B10,10)),'DATA '!$B$5:$J$31,N$4,FALSE),"")</f>
        <v>234.32098765432067</v>
      </c>
      <c r="O10" s="131">
        <f>IFERROR(VLOOKUP(IF(LEN($B10)=18,RIGHT($B10,8),RIGHT($B10,10)),'DATA '!$B$5:$J$31,O$4,FALSE),"")</f>
        <v>7.0175438596491233</v>
      </c>
      <c r="P10" s="131">
        <f>IFERROR(VLOOKUP(IF(LEN($B10)=18,RIGHT($B10,8),RIGHT($B10,10)),'DATA '!$B$5:$J$31,P$4,FALSE),"")</f>
        <v>0</v>
      </c>
      <c r="Q10" s="132">
        <f>IFERROR(VLOOKUP(IF(LEN($B10)=18,RIGHT($B10,8),RIGHT($B10,10)),'DATA '!$B$5:$K$31,Q$4,FALSE),"")</f>
        <v>15</v>
      </c>
      <c r="R10" s="131">
        <v>31.536000000000001</v>
      </c>
      <c r="U10" s="91"/>
      <c r="V10" s="91"/>
      <c r="W10" s="91" t="str">
        <f>Commodities!$AC$9&amp;"_"&amp;RIGHT(Commodities!$D$176,3)&amp;"_"&amp;$W$3&amp;"_IM01"</f>
        <v>TER_TP_SH_PLT_N_IM01</v>
      </c>
      <c r="X10" s="91" t="s">
        <v>1020</v>
      </c>
      <c r="Y10" s="92" t="str">
        <f>General!$B$2</f>
        <v>PJ</v>
      </c>
      <c r="Z10" s="92" t="str">
        <f>General!$B$5</f>
        <v>GW</v>
      </c>
      <c r="AA10" s="92" t="s">
        <v>44</v>
      </c>
      <c r="AB10" s="92"/>
      <c r="AC10" s="91"/>
      <c r="AE10" s="78"/>
      <c r="AG10" s="91"/>
      <c r="AH10" s="91"/>
      <c r="AI10" s="92"/>
      <c r="AJ10" s="92"/>
      <c r="AK10" s="92"/>
    </row>
    <row r="11" spans="1:37" ht="16.5" customHeight="1" x14ac:dyDescent="0.25">
      <c r="A11" s="78"/>
      <c r="B11" s="91" t="str">
        <f t="shared" ref="B11:C13" si="2">W10</f>
        <v>TER_TP_SH_PLT_N_IM01</v>
      </c>
      <c r="C11" s="91" t="str">
        <f t="shared" si="2"/>
        <v>Private (Commercial) SpHeat Pellet Boiler Improved (N)</v>
      </c>
      <c r="D11" s="91" t="str">
        <f>Commodities!$D$208</f>
        <v>TERBIOPLT</v>
      </c>
      <c r="E11" s="91" t="str">
        <f>Commodities!$AC$9</f>
        <v>TER_TP_SH</v>
      </c>
      <c r="F11" s="130">
        <f>G11</f>
        <v>2025</v>
      </c>
      <c r="G11" s="92">
        <v>2025</v>
      </c>
      <c r="H11" s="131">
        <f>IFERROR(VLOOKUP(IF(LEN($B11)=18,RIGHT($B11,8),RIGHT($B11,10)),'DATA '!$B$5:$J$31,H$4,FALSE),"")</f>
        <v>0.63</v>
      </c>
      <c r="I11" s="131"/>
      <c r="J11" s="131"/>
      <c r="K11" s="131" t="str">
        <f>IFERROR(VLOOKUP(IF(LEN($B11)=18,RIGHT($B11,8),RIGHT($B11,10)),'DATA '!$B$5:$J$31,K$4,FALSE),"")</f>
        <v/>
      </c>
      <c r="L11" s="131" t="str">
        <f>IFERROR(VLOOKUP(IF(LEN($B11)=18,RIGHT($B11,8),RIGHT($B11,10)),'DATA '!$B$5:$J$31,L$4,FALSE),"")</f>
        <v/>
      </c>
      <c r="M11" s="131" t="str">
        <f>IFERROR(VLOOKUP(IF(LEN($B11)=18,RIGHT($B11,8),RIGHT($B11,10)),'DATA '!$B$5:$J$31,M$4,FALSE),"")</f>
        <v/>
      </c>
      <c r="N11" s="131">
        <f>IFERROR(VLOOKUP(IF(LEN($B11)=18,RIGHT($B11,8),RIGHT($B11,10)),'DATA '!$B$5:$J$31,N$4,FALSE),"")</f>
        <v>250.72345679012315</v>
      </c>
      <c r="O11" s="131">
        <f>IFERROR(VLOOKUP(IF(LEN($B11)=18,RIGHT($B11,8),RIGHT($B11,10)),'DATA '!$B$5:$J$31,O$4,FALSE),"")</f>
        <v>6.5263157894736841</v>
      </c>
      <c r="P11" s="131">
        <f>IFERROR(VLOOKUP(IF(LEN($B11)=18,RIGHT($B11,8),RIGHT($B11,10)),'DATA '!$B$5:$J$31,P$4,FALSE),"")</f>
        <v>0</v>
      </c>
      <c r="Q11" s="132">
        <f>IFERROR(VLOOKUP(IF(LEN($B11)=18,RIGHT($B11,8),RIGHT($B11,10)),'DATA '!$B$5:$K$31,Q$4,FALSE),"")</f>
        <v>15</v>
      </c>
      <c r="R11" s="131">
        <v>31.536000000000001</v>
      </c>
      <c r="U11" s="91"/>
      <c r="V11" s="91"/>
      <c r="W11" s="91" t="str">
        <f>Commodities!$AC$9&amp;"_"&amp;LEFT(RIGHT(Commodities!$D$165,6),3)&amp;"_"&amp;$W$3&amp;"_ST01"</f>
        <v>TER_TP_SH_GAS_N_ST01</v>
      </c>
      <c r="X11" s="91" t="s">
        <v>1021</v>
      </c>
      <c r="Y11" s="92" t="str">
        <f>General!$B$2</f>
        <v>PJ</v>
      </c>
      <c r="Z11" s="92" t="str">
        <f>General!$B$5</f>
        <v>GW</v>
      </c>
      <c r="AA11" s="92" t="s">
        <v>44</v>
      </c>
      <c r="AB11" s="92"/>
      <c r="AC11" s="91"/>
      <c r="AE11" s="78"/>
      <c r="AG11" s="91"/>
      <c r="AH11" s="91"/>
      <c r="AI11" s="92"/>
      <c r="AJ11" s="92"/>
      <c r="AK11" s="92"/>
    </row>
    <row r="12" spans="1:37" ht="16.5" customHeight="1" x14ac:dyDescent="0.25">
      <c r="A12" s="78"/>
      <c r="B12" s="86" t="str">
        <f t="shared" si="2"/>
        <v>TER_TP_SH_GAS_N_ST01</v>
      </c>
      <c r="C12" s="86" t="str">
        <f t="shared" si="2"/>
        <v>Private (Commercial) SpHeat Gas Boiler Condensing (N)</v>
      </c>
      <c r="D12" s="86" t="str">
        <f>Commodities!$D$197</f>
        <v>TERGASNAT</v>
      </c>
      <c r="E12" s="86" t="str">
        <f>Commodities!$AC$9</f>
        <v>TER_TP_SH</v>
      </c>
      <c r="F12" s="133">
        <f>G12</f>
        <v>2018</v>
      </c>
      <c r="G12" s="87">
        <f>BASE_YEAR+1</f>
        <v>2018</v>
      </c>
      <c r="H12" s="134">
        <f>IFERROR(VLOOKUP(IF(LEN($B12)=18,RIGHT($B12,8),RIGHT($B12,10)),'DATA '!$B$5:$J$31,H$4,FALSE),"")</f>
        <v>0.9</v>
      </c>
      <c r="I12" s="134"/>
      <c r="J12" s="134"/>
      <c r="K12" s="134" t="str">
        <f>IFERROR(VLOOKUP(IF(LEN($B12)=18,RIGHT($B12,8),RIGHT($B12,10)),'DATA '!$B$5:$J$31,K$4,FALSE),"")</f>
        <v/>
      </c>
      <c r="L12" s="134" t="str">
        <f>IFERROR(VLOOKUP(IF(LEN($B12)=18,RIGHT($B12,8),RIGHT($B12,10)),'DATA '!$B$5:$J$31,L$4,FALSE),"")</f>
        <v/>
      </c>
      <c r="M12" s="134" t="str">
        <f>IFERROR(VLOOKUP(IF(LEN($B12)=18,RIGHT($B12,8),RIGHT($B12,10)),'DATA '!$B$5:$J$31,M$4,FALSE),"")</f>
        <v/>
      </c>
      <c r="N12" s="134">
        <f>IFERROR(VLOOKUP(IF(LEN($B12)=18,RIGHT($B12,8),RIGHT($B12,10)),'DATA '!$B$5:$J$31,N$4,FALSE),"")</f>
        <v>127.71714029603373</v>
      </c>
      <c r="O12" s="134">
        <f>IFERROR(VLOOKUP(IF(LEN($B12)=18,RIGHT($B12,8),RIGHT($B12,10)),'DATA '!$B$5:$J$31,O$4,FALSE),"")</f>
        <v>4.9892962600770518</v>
      </c>
      <c r="P12" s="134">
        <f>IFERROR(VLOOKUP(IF(LEN($B12)=18,RIGHT($B12,8),RIGHT($B12,10)),'DATA '!$B$5:$J$31,P$4,FALSE),"")</f>
        <v>0</v>
      </c>
      <c r="Q12" s="135">
        <f>IFERROR(VLOOKUP(IF(LEN($B12)=18,RIGHT($B12,8),RIGHT($B12,10)),'DATA '!$B$5:$K$31,Q$4,FALSE),"")</f>
        <v>20</v>
      </c>
      <c r="R12" s="134">
        <v>31.536000000000001</v>
      </c>
      <c r="U12" s="91"/>
      <c r="V12" s="91"/>
      <c r="W12" s="91" t="str">
        <f>Commodities!$AC$9&amp;"_"&amp;LEFT(RIGHT(Commodities!$D$165,6),3)&amp;"_"&amp;$W$3&amp;"_ST02"</f>
        <v>TER_TP_SH_GAS_N_ST02</v>
      </c>
      <c r="X12" s="91" t="s">
        <v>1022</v>
      </c>
      <c r="Y12" s="92" t="str">
        <f>General!$B$2</f>
        <v>PJ</v>
      </c>
      <c r="Z12" s="92" t="str">
        <f>General!$B$5</f>
        <v>GW</v>
      </c>
      <c r="AA12" s="92" t="s">
        <v>44</v>
      </c>
      <c r="AB12" s="92"/>
      <c r="AC12" s="91"/>
      <c r="AE12" s="78"/>
      <c r="AG12" s="91"/>
      <c r="AH12" s="91"/>
      <c r="AI12" s="92"/>
      <c r="AJ12" s="92"/>
      <c r="AK12" s="92"/>
    </row>
    <row r="13" spans="1:37" ht="16.5" customHeight="1" x14ac:dyDescent="0.25">
      <c r="A13" s="78"/>
      <c r="B13" s="91" t="str">
        <f t="shared" si="2"/>
        <v>TER_TP_SH_GAS_N_ST02</v>
      </c>
      <c r="C13" s="91" t="str">
        <f t="shared" si="2"/>
        <v>Private (Commercial) Combi Gas Boiler Condensing (N)</v>
      </c>
      <c r="D13" s="91" t="str">
        <f>Commodities!$D$197</f>
        <v>TERGASNAT</v>
      </c>
      <c r="E13" s="91" t="str">
        <f>Commodities!$AC$9</f>
        <v>TER_TP_SH</v>
      </c>
      <c r="F13" s="130">
        <f>G13</f>
        <v>2018</v>
      </c>
      <c r="G13" s="92">
        <f>BASE_YEAR+1</f>
        <v>2018</v>
      </c>
      <c r="H13" s="131">
        <f>IFERROR(VLOOKUP(IF(LEN($B13)=18,RIGHT($B13,8),RIGHT($B13,10)),'DATA '!$B$5:$J$31,H$4,FALSE),"")</f>
        <v>0.9</v>
      </c>
      <c r="I13" s="131"/>
      <c r="J13" s="131"/>
      <c r="K13" s="131" t="str">
        <f>IFERROR(VLOOKUP(IF(LEN($B13)=18,RIGHT($B13,8),RIGHT($B13,10)),'DATA '!$B$5:$J$31,K$4,FALSE),"")</f>
        <v/>
      </c>
      <c r="L13" s="131" t="str">
        <f>IFERROR(VLOOKUP(IF(LEN($B13)=18,RIGHT($B13,8),RIGHT($B13,10)),'DATA '!$B$5:$J$31,L$4,FALSE),"")</f>
        <v/>
      </c>
      <c r="M13" s="131" t="str">
        <f>IFERROR(VLOOKUP(IF(LEN($B13)=18,RIGHT($B13,8),RIGHT($B13,10)),'DATA '!$B$5:$J$31,M$4,FALSE),"")</f>
        <v/>
      </c>
      <c r="N13" s="131">
        <f>IFERROR(VLOOKUP(IF(LEN($B13)=18,RIGHT($B13,8),RIGHT($B13,10)),'DATA '!$B$5:$J$31,N$4,FALSE),"")</f>
        <v>156.09872702848568</v>
      </c>
      <c r="O13" s="131">
        <f>IFERROR(VLOOKUP(IF(LEN($B13)=18,RIGHT($B13,8),RIGHT($B13,10)),'DATA '!$B$5:$J$31,O$4,FALSE),"")</f>
        <v>4.9892962600770518</v>
      </c>
      <c r="P13" s="131">
        <f>IFERROR(VLOOKUP(IF(LEN($B13)=18,RIGHT($B13,8),RIGHT($B13,10)),'DATA '!$B$5:$J$31,P$4,FALSE),"")</f>
        <v>0</v>
      </c>
      <c r="Q13" s="132">
        <f>IFERROR(VLOOKUP(IF(LEN($B13)=18,RIGHT($B13,8),RIGHT($B13,10)),'DATA '!$B$5:$K$31,Q$4,FALSE),"")</f>
        <v>20</v>
      </c>
      <c r="R13" s="131">
        <v>31.536000000000001</v>
      </c>
      <c r="U13" s="91"/>
      <c r="V13" s="91"/>
      <c r="W13" s="91" t="str">
        <f>Commodities!$AC$9&amp;"_"&amp;LEFT(RIGHT(Commodities!$D$165,6),3)&amp;"_"&amp;$W$3&amp;"_AD01"</f>
        <v>TER_TP_SH_GAS_N_AD01</v>
      </c>
      <c r="X13" s="91" t="s">
        <v>1023</v>
      </c>
      <c r="Y13" s="92" t="str">
        <f>General!$B$2</f>
        <v>PJ</v>
      </c>
      <c r="Z13" s="92" t="str">
        <f>General!$B$5</f>
        <v>GW</v>
      </c>
      <c r="AA13" s="92" t="s">
        <v>44</v>
      </c>
      <c r="AB13" s="92"/>
      <c r="AC13" s="91"/>
      <c r="AE13" s="78"/>
      <c r="AG13" s="91"/>
      <c r="AH13" s="91"/>
      <c r="AI13" s="92"/>
      <c r="AJ13" s="92"/>
      <c r="AK13" s="92"/>
    </row>
    <row r="14" spans="1:37" ht="16.5" customHeight="1" x14ac:dyDescent="0.25">
      <c r="A14" s="78"/>
      <c r="B14" s="86"/>
      <c r="C14" s="86"/>
      <c r="D14" s="86"/>
      <c r="E14" s="86" t="str">
        <f>Commodities!$AC$11</f>
        <v>TER_TP_WH</v>
      </c>
      <c r="F14" s="133">
        <f>F13</f>
        <v>2018</v>
      </c>
      <c r="G14" s="87"/>
      <c r="H14" s="134" t="str">
        <f>IFERROR(VLOOKUP(IF(LEN($B14)=18,RIGHT($B14,8),RIGHT($B14,10)),'DATA '!$B$5:$J$31,H$4,FALSE),"")</f>
        <v/>
      </c>
      <c r="I14" s="134"/>
      <c r="J14" s="134"/>
      <c r="K14" s="134" t="str">
        <f>IFERROR(VLOOKUP(IF(LEN($B14)=18,RIGHT($B14,8),RIGHT($B14,10)),'DATA '!$B$5:$J$31,K$4,FALSE),"")</f>
        <v/>
      </c>
      <c r="L14" s="134" t="str">
        <f>IFERROR(VLOOKUP(IF(LEN($B14)=18,RIGHT($B14,8),RIGHT($B14,10)),'DATA '!$B$5:$J$31,L$4,FALSE),"")</f>
        <v/>
      </c>
      <c r="M14" s="134">
        <v>0.4</v>
      </c>
      <c r="N14" s="134" t="str">
        <f>IFERROR(VLOOKUP(IF(LEN($B14)=18,RIGHT($B14,8),RIGHT($B14,10)),'DATA '!$B$5:$J$31,N$4,FALSE),"")</f>
        <v/>
      </c>
      <c r="O14" s="134" t="str">
        <f>IFERROR(VLOOKUP(IF(LEN($B14)=18,RIGHT($B14,8),RIGHT($B14,10)),'DATA '!$B$5:$J$31,O$4,FALSE),"")</f>
        <v/>
      </c>
      <c r="P14" s="134" t="str">
        <f>IFERROR(VLOOKUP(IF(LEN($B14)=18,RIGHT($B14,8),RIGHT($B14,10)),'DATA '!$B$5:$J$31,P$4,FALSE),"")</f>
        <v/>
      </c>
      <c r="Q14" s="135" t="str">
        <f>IFERROR(VLOOKUP(IF(LEN($B14)=18,RIGHT($B14,8),RIGHT($B14,10)),'DATA '!$B$5:$K$31,Q$4,FALSE),"")</f>
        <v/>
      </c>
      <c r="R14" s="134"/>
      <c r="U14" s="91"/>
      <c r="V14" s="91"/>
      <c r="W14" s="91" t="str">
        <f>Commodities!$AC$9&amp;"_"&amp;LEFT(RIGHT(Commodities!$D$165,6),3)&amp;"_"&amp;$W$3&amp;"_AD02"</f>
        <v>TER_TP_SH_GAS_N_AD02</v>
      </c>
      <c r="X14" s="91" t="s">
        <v>1024</v>
      </c>
      <c r="Y14" s="92" t="str">
        <f>General!$B$2</f>
        <v>PJ</v>
      </c>
      <c r="Z14" s="92" t="str">
        <f>General!$B$5</f>
        <v>GW</v>
      </c>
      <c r="AA14" s="92" t="s">
        <v>44</v>
      </c>
      <c r="AB14" s="92"/>
      <c r="AC14" s="91"/>
      <c r="AE14" s="78"/>
      <c r="AG14" s="91"/>
      <c r="AH14" s="91"/>
      <c r="AI14" s="92"/>
      <c r="AJ14" s="92"/>
      <c r="AK14" s="92"/>
    </row>
    <row r="15" spans="1:37" ht="16.5" customHeight="1" x14ac:dyDescent="0.25">
      <c r="A15" s="78"/>
      <c r="B15" s="86" t="str">
        <f>W13</f>
        <v>TER_TP_SH_GAS_N_AD01</v>
      </c>
      <c r="C15" s="86" t="str">
        <f>X13</f>
        <v>Private (Commercial) SpHeat Gas Boiler Condensing Advanced (N)</v>
      </c>
      <c r="D15" s="86" t="str">
        <f>Commodities!$D$197</f>
        <v>TERGASNAT</v>
      </c>
      <c r="E15" s="86" t="str">
        <f>Commodities!$AC$9</f>
        <v>TER_TP_SH</v>
      </c>
      <c r="F15" s="133">
        <f>G15</f>
        <v>2030</v>
      </c>
      <c r="G15" s="87">
        <v>2030</v>
      </c>
      <c r="H15" s="134">
        <f>IFERROR(VLOOKUP(IF(LEN($B15)=18,RIGHT($B15,8),RIGHT($B15,10)),'DATA '!$B$5:$J$31,H$4,FALSE),"")</f>
        <v>0.94500000000000006</v>
      </c>
      <c r="I15" s="134"/>
      <c r="J15" s="134"/>
      <c r="K15" s="134" t="str">
        <f>IFERROR(VLOOKUP(IF(LEN($B15)=18,RIGHT($B15,8),RIGHT($B15,10)),'DATA '!$B$5:$J$31,K$4,FALSE),"")</f>
        <v/>
      </c>
      <c r="L15" s="134" t="str">
        <f>IFERROR(VLOOKUP(IF(LEN($B15)=18,RIGHT($B15,8),RIGHT($B15,10)),'DATA '!$B$5:$J$31,L$4,FALSE),"")</f>
        <v/>
      </c>
      <c r="M15" s="134" t="str">
        <f>IFERROR(VLOOKUP(IF(LEN($B15)=18,RIGHT($B15,8),RIGHT($B15,10)),'DATA '!$B$5:$J$31,M$4,FALSE),"")</f>
        <v/>
      </c>
      <c r="N15" s="134">
        <f>IFERROR(VLOOKUP(IF(LEN($B15)=18,RIGHT($B15,8),RIGHT($B15,10)),'DATA '!$B$5:$J$31,N$4,FALSE),"")</f>
        <v>136.6573401167561</v>
      </c>
      <c r="O15" s="134">
        <f>IFERROR(VLOOKUP(IF(LEN($B15)=18,RIGHT($B15,8),RIGHT($B15,10)),'DATA '!$B$5:$J$31,O$4,FALSE),"")</f>
        <v>4.6400455218716576</v>
      </c>
      <c r="P15" s="134">
        <f>IFERROR(VLOOKUP(IF(LEN($B15)=18,RIGHT($B15,8),RIGHT($B15,10)),'DATA '!$B$5:$J$31,P$4,FALSE),"")</f>
        <v>0</v>
      </c>
      <c r="Q15" s="135">
        <f>IFERROR(VLOOKUP(IF(LEN($B15)=18,RIGHT($B15,8),RIGHT($B15,10)),'DATA '!$B$5:$K$31,Q$4,FALSE),"")</f>
        <v>20</v>
      </c>
      <c r="R15" s="134">
        <v>31.536000000000001</v>
      </c>
      <c r="U15" s="91"/>
      <c r="V15" s="91"/>
      <c r="W15" s="91" t="str">
        <f>Commodities!$AC$9&amp;"_"&amp;RIGHT(Commodities!$D$346,3)&amp;"_"&amp;$W$3&amp;"_ST01"</f>
        <v>TER_TP_SH_LTH_N_ST01</v>
      </c>
      <c r="X15" s="91" t="s">
        <v>1025</v>
      </c>
      <c r="Y15" s="92" t="str">
        <f>General!$B$2</f>
        <v>PJ</v>
      </c>
      <c r="Z15" s="92" t="str">
        <f>General!$B$5</f>
        <v>GW</v>
      </c>
      <c r="AA15" s="92" t="s">
        <v>44</v>
      </c>
      <c r="AB15" s="92"/>
      <c r="AC15" s="91"/>
      <c r="AE15" s="78"/>
      <c r="AG15" s="91"/>
      <c r="AH15" s="91"/>
      <c r="AI15" s="92"/>
      <c r="AJ15" s="92"/>
      <c r="AK15" s="92"/>
    </row>
    <row r="16" spans="1:37" ht="16.5" customHeight="1" x14ac:dyDescent="0.25">
      <c r="A16" s="78"/>
      <c r="B16" s="89" t="str">
        <f>W14</f>
        <v>TER_TP_SH_GAS_N_AD02</v>
      </c>
      <c r="C16" s="89" t="str">
        <f>X14</f>
        <v>Private (Commercial) Combi Gas Boiler Condensing Advanced (N)</v>
      </c>
      <c r="D16" s="89" t="str">
        <f>Commodities!$D$197</f>
        <v>TERGASNAT</v>
      </c>
      <c r="E16" s="89" t="str">
        <f>Commodities!$AC$9</f>
        <v>TER_TP_SH</v>
      </c>
      <c r="F16" s="136">
        <f>G16</f>
        <v>2030</v>
      </c>
      <c r="G16" s="90">
        <v>2030</v>
      </c>
      <c r="H16" s="131">
        <f>IFERROR(VLOOKUP(IF(LEN($B16)=18,RIGHT($B16,8),RIGHT($B16,10)),'DATA '!$B$5:$J$31,H$4,FALSE),"")</f>
        <v>0.94500000000000006</v>
      </c>
      <c r="I16" s="131"/>
      <c r="J16" s="131"/>
      <c r="K16" s="131" t="str">
        <f>IFERROR(VLOOKUP(IF(LEN($B16)=18,RIGHT($B16,8),RIGHT($B16,10)),'DATA '!$B$5:$J$31,K$4,FALSE),"")</f>
        <v/>
      </c>
      <c r="L16" s="131" t="str">
        <f>IFERROR(VLOOKUP(IF(LEN($B16)=18,RIGHT($B16,8),RIGHT($B16,10)),'DATA '!$B$5:$J$31,L$4,FALSE),"")</f>
        <v/>
      </c>
      <c r="M16" s="131" t="str">
        <f>IFERROR(VLOOKUP(IF(LEN($B16)=18,RIGHT($B16,8),RIGHT($B16,10)),'DATA '!$B$5:$J$31,M$4,FALSE),"")</f>
        <v/>
      </c>
      <c r="N16" s="131">
        <f>IFERROR(VLOOKUP(IF(LEN($B16)=18,RIGHT($B16,8),RIGHT($B16,10)),'DATA '!$B$5:$J$31,N$4,FALSE),"")</f>
        <v>167.02563792047971</v>
      </c>
      <c r="O16" s="131">
        <f>IFERROR(VLOOKUP(IF(LEN($B16)=18,RIGHT($B16,8),RIGHT($B16,10)),'DATA '!$B$5:$J$31,O$4,FALSE),"")</f>
        <v>4.6400455218716576</v>
      </c>
      <c r="P16" s="131">
        <f>IFERROR(VLOOKUP(IF(LEN($B16)=18,RIGHT($B16,8),RIGHT($B16,10)),'DATA '!$B$5:$J$31,P$4,FALSE),"")</f>
        <v>0</v>
      </c>
      <c r="Q16" s="132">
        <f>IFERROR(VLOOKUP(IF(LEN($B16)=18,RIGHT($B16,8),RIGHT($B16,10)),'DATA '!$B$5:$K$31,Q$4,FALSE),"")</f>
        <v>20</v>
      </c>
      <c r="R16" s="131">
        <v>31.536000000000001</v>
      </c>
      <c r="U16" s="91"/>
      <c r="V16" s="91"/>
      <c r="W16" s="91" t="str">
        <f>Commodities!$AC$9&amp;"_"&amp;RIGHT(Commodities!$D$346,3)&amp;"_"&amp;$W$3&amp;"_IM01"</f>
        <v>TER_TP_SH_LTH_N_IM01</v>
      </c>
      <c r="X16" s="91" t="s">
        <v>1026</v>
      </c>
      <c r="Y16" s="92" t="str">
        <f>General!$B$2</f>
        <v>PJ</v>
      </c>
      <c r="Z16" s="92" t="str">
        <f>General!$B$5</f>
        <v>GW</v>
      </c>
      <c r="AA16" s="92" t="s">
        <v>44</v>
      </c>
      <c r="AB16" s="92"/>
      <c r="AC16" s="91"/>
      <c r="AE16" s="78"/>
      <c r="AG16" s="91"/>
      <c r="AH16" s="91"/>
      <c r="AI16" s="92"/>
      <c r="AJ16" s="92"/>
      <c r="AK16" s="92"/>
    </row>
    <row r="17" spans="1:37" ht="16.5" customHeight="1" x14ac:dyDescent="0.25">
      <c r="A17" s="78"/>
      <c r="B17" s="86"/>
      <c r="C17" s="86"/>
      <c r="D17" s="86"/>
      <c r="E17" s="86" t="str">
        <f>Commodities!$AC$11</f>
        <v>TER_TP_WH</v>
      </c>
      <c r="F17" s="133">
        <f>F16</f>
        <v>2030</v>
      </c>
      <c r="G17" s="87"/>
      <c r="H17" s="134" t="str">
        <f>IFERROR(VLOOKUP(IF(LEN($B17)=18,RIGHT($B17,8),RIGHT($B17,10)),'DATA '!$B$5:$J$31,H$4,FALSE),"")</f>
        <v/>
      </c>
      <c r="I17" s="134"/>
      <c r="J17" s="134"/>
      <c r="K17" s="134" t="str">
        <f>IFERROR(VLOOKUP(IF(LEN($B17)=18,RIGHT($B17,8),RIGHT($B17,10)),'DATA '!$B$5:$J$31,K$4,FALSE),"")</f>
        <v/>
      </c>
      <c r="L17" s="134" t="str">
        <f>IFERROR(VLOOKUP(IF(LEN($B17)=18,RIGHT($B17,8),RIGHT($B17,10)),'DATA '!$B$5:$J$31,L$4,FALSE),"")</f>
        <v/>
      </c>
      <c r="M17" s="134">
        <v>0.4</v>
      </c>
      <c r="N17" s="134" t="str">
        <f>IFERROR(VLOOKUP(IF(LEN($B17)=18,RIGHT($B17,8),RIGHT($B17,10)),'DATA '!$B$5:$J$31,N$4,FALSE),"")</f>
        <v/>
      </c>
      <c r="O17" s="134" t="str">
        <f>IFERROR(VLOOKUP(IF(LEN($B17)=18,RIGHT($B17,8),RIGHT($B17,10)),'DATA '!$B$5:$J$31,O$4,FALSE),"")</f>
        <v/>
      </c>
      <c r="P17" s="134" t="str">
        <f>IFERROR(VLOOKUP(IF(LEN($B17)=18,RIGHT($B17,8),RIGHT($B17,10)),'DATA '!$B$5:$J$31,P$4,FALSE),"")</f>
        <v/>
      </c>
      <c r="Q17" s="135" t="str">
        <f>IFERROR(VLOOKUP(IF(LEN($B17)=18,RIGHT($B17,8),RIGHT($B17,10)),'DATA '!$B$5:$K$31,Q$4,FALSE),"")</f>
        <v/>
      </c>
      <c r="R17" s="134"/>
      <c r="U17" s="91"/>
      <c r="V17" s="91"/>
      <c r="W17" s="91" t="str">
        <f>Commodities!$AC$9&amp;"_"&amp;RIGHT(Commodities!$D$346,3)&amp;"_"&amp;$W$3&amp;"_AD01"</f>
        <v>TER_TP_SH_LTH_N_AD01</v>
      </c>
      <c r="X17" s="91" t="s">
        <v>1027</v>
      </c>
      <c r="Y17" s="92" t="str">
        <f>General!$B$2</f>
        <v>PJ</v>
      </c>
      <c r="Z17" s="92" t="str">
        <f>General!$B$5</f>
        <v>GW</v>
      </c>
      <c r="AA17" s="92" t="s">
        <v>44</v>
      </c>
      <c r="AB17" s="92"/>
      <c r="AC17" s="91"/>
      <c r="AE17" s="78"/>
      <c r="AG17" s="91"/>
      <c r="AH17" s="91"/>
      <c r="AI17" s="92"/>
      <c r="AJ17" s="92"/>
      <c r="AK17" s="92"/>
    </row>
    <row r="18" spans="1:37" ht="16.5" customHeight="1" x14ac:dyDescent="0.25">
      <c r="A18" s="78"/>
      <c r="B18" s="91" t="str">
        <f t="shared" ref="B18:C18" si="3">W15</f>
        <v>TER_TP_SH_LTH_N_ST01</v>
      </c>
      <c r="C18" s="91" t="str">
        <f t="shared" si="3"/>
        <v>Private (Commercial) SpHeat Dist. Heat Standard (N)</v>
      </c>
      <c r="D18" s="91" t="str">
        <f>Commodities!$D$346</f>
        <v>TERLTH</v>
      </c>
      <c r="E18" s="91" t="str">
        <f>Commodities!$AC$9</f>
        <v>TER_TP_SH</v>
      </c>
      <c r="F18" s="130">
        <f t="shared" si="1"/>
        <v>2018</v>
      </c>
      <c r="G18" s="92">
        <f>BASE_YEAR+1</f>
        <v>2018</v>
      </c>
      <c r="H18" s="131">
        <f>IFERROR(VLOOKUP(IF(LEN($B18)=18,RIGHT($B18,8),RIGHT($B18,10)),'DATA '!$B$5:$J$31,H$4,FALSE),"")</f>
        <v>0.9</v>
      </c>
      <c r="I18" s="131"/>
      <c r="J18" s="131"/>
      <c r="K18" s="131" t="str">
        <f>IFERROR(VLOOKUP(IF(LEN($B18)=18,RIGHT($B18,8),RIGHT($B18,10)),'DATA '!$B$5:$J$31,K$4,FALSE),"")</f>
        <v/>
      </c>
      <c r="L18" s="131" t="str">
        <f>IFERROR(VLOOKUP(IF(LEN($B18)=18,RIGHT($B18,8),RIGHT($B18,10)),'DATA '!$B$5:$J$31,L$4,FALSE),"")</f>
        <v/>
      </c>
      <c r="M18" s="131" t="str">
        <f>IFERROR(VLOOKUP(IF(LEN($B18)=18,RIGHT($B18,8),RIGHT($B18,10)),'DATA '!$B$5:$J$31,M$4,FALSE),"")</f>
        <v/>
      </c>
      <c r="N18" s="131">
        <f>IFERROR(VLOOKUP(IF(LEN($B18)=18,RIGHT($B18,8),RIGHT($B18,10)),'DATA '!$B$5:$J$31,N$4,FALSE),"")</f>
        <v>100.33333333333333</v>
      </c>
      <c r="O18" s="131">
        <f>IFERROR(VLOOKUP(IF(LEN($B18)=18,RIGHT($B18,8),RIGHT($B18,10)),'DATA '!$B$5:$J$31,O$4,FALSE),"")</f>
        <v>10.8</v>
      </c>
      <c r="P18" s="131">
        <f>IFERROR(VLOOKUP(IF(LEN($B18)=18,RIGHT($B18,8),RIGHT($B18,10)),'DATA '!$B$5:$J$31,P$4,FALSE),"")</f>
        <v>0</v>
      </c>
      <c r="Q18" s="132">
        <f>IFERROR(VLOOKUP(IF(LEN($B18)=18,RIGHT($B18,8),RIGHT($B18,10)),'DATA '!$B$5:$K$31,Q$4,FALSE),"")</f>
        <v>20</v>
      </c>
      <c r="R18" s="131">
        <v>31.536000000000001</v>
      </c>
      <c r="U18" s="91"/>
      <c r="V18" s="91"/>
      <c r="W18" s="91" t="str">
        <f>Commodities!$AC$9&amp;"_"&amp;RIGHT(Commodities!$D$340,3)&amp;"_"&amp;$W$3&amp;"_ST01"</f>
        <v>TER_TP_SH_ELC_N_ST01</v>
      </c>
      <c r="X18" s="91" t="s">
        <v>1028</v>
      </c>
      <c r="Y18" s="92" t="str">
        <f>General!$B$2</f>
        <v>PJ</v>
      </c>
      <c r="Z18" s="92" t="str">
        <f>General!$B$5</f>
        <v>GW</v>
      </c>
      <c r="AA18" s="92" t="s">
        <v>44</v>
      </c>
      <c r="AB18" s="92"/>
      <c r="AC18" s="91"/>
      <c r="AE18" s="78"/>
      <c r="AG18" s="91"/>
      <c r="AH18" s="91"/>
      <c r="AI18" s="92"/>
      <c r="AJ18" s="92"/>
      <c r="AK18" s="92"/>
    </row>
    <row r="19" spans="1:37" ht="16.5" customHeight="1" x14ac:dyDescent="0.25">
      <c r="A19" s="78"/>
      <c r="B19" s="91" t="str">
        <f t="shared" ref="B19:C23" si="4">W16</f>
        <v>TER_TP_SH_LTH_N_IM01</v>
      </c>
      <c r="C19" s="91" t="str">
        <f t="shared" si="4"/>
        <v>Private (Commercial) SpHeat Dist. Heat Improved (N)</v>
      </c>
      <c r="D19" s="91" t="str">
        <f>Commodities!$D$346</f>
        <v>TERLTH</v>
      </c>
      <c r="E19" s="91" t="str">
        <f>Commodities!$AC$9</f>
        <v>TER_TP_SH</v>
      </c>
      <c r="F19" s="130">
        <f t="shared" si="1"/>
        <v>2025</v>
      </c>
      <c r="G19" s="92">
        <v>2025</v>
      </c>
      <c r="H19" s="131">
        <f>IFERROR(VLOOKUP(IF(LEN($B19)=18,RIGHT($B19,8),RIGHT($B19,10)),'DATA '!$B$5:$J$31,H$4,FALSE),"")</f>
        <v>0.92</v>
      </c>
      <c r="I19" s="131"/>
      <c r="J19" s="131"/>
      <c r="K19" s="131" t="str">
        <f>IFERROR(VLOOKUP(IF(LEN($B19)=18,RIGHT($B19,8),RIGHT($B19,10)),'DATA '!$B$5:$J$31,K$4,FALSE),"")</f>
        <v/>
      </c>
      <c r="L19" s="131" t="str">
        <f>IFERROR(VLOOKUP(IF(LEN($B19)=18,RIGHT($B19,8),RIGHT($B19,10)),'DATA '!$B$5:$J$31,L$4,FALSE),"")</f>
        <v/>
      </c>
      <c r="M19" s="131" t="str">
        <f>IFERROR(VLOOKUP(IF(LEN($B19)=18,RIGHT($B19,8),RIGHT($B19,10)),'DATA '!$B$5:$J$31,M$4,FALSE),"")</f>
        <v/>
      </c>
      <c r="N19" s="131">
        <f>IFERROR(VLOOKUP(IF(LEN($B19)=18,RIGHT($B19,8),RIGHT($B19,10)),'DATA '!$B$5:$J$31,N$4,FALSE),"")</f>
        <v>105.35000000000001</v>
      </c>
      <c r="O19" s="131">
        <f>IFERROR(VLOOKUP(IF(LEN($B19)=18,RIGHT($B19,8),RIGHT($B19,10)),'DATA '!$B$5:$J$31,O$4,FALSE),"")</f>
        <v>10.26</v>
      </c>
      <c r="P19" s="131">
        <f>IFERROR(VLOOKUP(IF(LEN($B19)=18,RIGHT($B19,8),RIGHT($B19,10)),'DATA '!$B$5:$J$31,P$4,FALSE),"")</f>
        <v>0</v>
      </c>
      <c r="Q19" s="132">
        <f>IFERROR(VLOOKUP(IF(LEN($B19)=18,RIGHT($B19,8),RIGHT($B19,10)),'DATA '!$B$5:$K$31,Q$4,FALSE),"")</f>
        <v>20</v>
      </c>
      <c r="R19" s="131">
        <v>31.536000000000001</v>
      </c>
      <c r="U19" s="91"/>
      <c r="V19" s="91"/>
      <c r="W19" s="91" t="str">
        <f>Commodities!$AC$9&amp;"_"&amp;RIGHT(Commodities!$D$340,3)&amp;"_"&amp;$W$3&amp;"_ST02"</f>
        <v>TER_TP_SH_ELC_N_ST02</v>
      </c>
      <c r="X19" s="91" t="s">
        <v>1029</v>
      </c>
      <c r="Y19" s="92" t="str">
        <f>General!$B$2</f>
        <v>PJ</v>
      </c>
      <c r="Z19" s="92" t="str">
        <f>General!$B$5</f>
        <v>GW</v>
      </c>
      <c r="AA19" s="92" t="s">
        <v>44</v>
      </c>
      <c r="AB19" s="92"/>
      <c r="AC19" s="91"/>
      <c r="AE19" s="78"/>
      <c r="AG19" s="91"/>
      <c r="AH19" s="91"/>
      <c r="AI19" s="92"/>
      <c r="AJ19" s="92"/>
      <c r="AK19" s="92"/>
    </row>
    <row r="20" spans="1:37" ht="16.5" customHeight="1" x14ac:dyDescent="0.25">
      <c r="A20" s="78"/>
      <c r="B20" s="91" t="str">
        <f t="shared" si="4"/>
        <v>TER_TP_SH_LTH_N_AD01</v>
      </c>
      <c r="C20" s="91" t="str">
        <f t="shared" si="4"/>
        <v>Private (Commercial) SpHeat Dist. Heat Advanced (N)</v>
      </c>
      <c r="D20" s="91" t="str">
        <f>Commodities!$D$346</f>
        <v>TERLTH</v>
      </c>
      <c r="E20" s="91" t="str">
        <f>Commodities!$AC$9</f>
        <v>TER_TP_SH</v>
      </c>
      <c r="F20" s="130">
        <f>F19</f>
        <v>2025</v>
      </c>
      <c r="G20" s="92">
        <v>2030</v>
      </c>
      <c r="H20" s="131">
        <f>IFERROR(VLOOKUP(IF(LEN($B20)=18,RIGHT($B20,8),RIGHT($B20,10)),'DATA '!$B$5:$J$31,H$4,FALSE),"")</f>
        <v>0.95</v>
      </c>
      <c r="I20" s="131"/>
      <c r="J20" s="131"/>
      <c r="K20" s="131" t="str">
        <f>IFERROR(VLOOKUP(IF(LEN($B20)=18,RIGHT($B20,8),RIGHT($B20,10)),'DATA '!$B$5:$J$31,K$4,FALSE),"")</f>
        <v/>
      </c>
      <c r="L20" s="131" t="str">
        <f>IFERROR(VLOOKUP(IF(LEN($B20)=18,RIGHT($B20,8),RIGHT($B20,10)),'DATA '!$B$5:$J$31,L$4,FALSE),"")</f>
        <v/>
      </c>
      <c r="M20" s="131" t="str">
        <f>IFERROR(VLOOKUP(IF(LEN($B20)=18,RIGHT($B20,8),RIGHT($B20,10)),'DATA '!$B$5:$J$31,M$4,FALSE),"")</f>
        <v/>
      </c>
      <c r="N20" s="131">
        <f>IFERROR(VLOOKUP(IF(LEN($B20)=18,RIGHT($B20,8),RIGHT($B20,10)),'DATA '!$B$5:$J$31,N$4,FALSE),"")</f>
        <v>110.61750000000001</v>
      </c>
      <c r="O20" s="131">
        <f>IFERROR(VLOOKUP(IF(LEN($B20)=18,RIGHT($B20,8),RIGHT($B20,10)),'DATA '!$B$5:$J$31,O$4,FALSE),"")</f>
        <v>9.7469999999999999</v>
      </c>
      <c r="P20" s="131">
        <f>IFERROR(VLOOKUP(IF(LEN($B20)=18,RIGHT($B20,8),RIGHT($B20,10)),'DATA '!$B$5:$J$31,P$4,FALSE),"")</f>
        <v>0</v>
      </c>
      <c r="Q20" s="132">
        <f>IFERROR(VLOOKUP(IF(LEN($B20)=18,RIGHT($B20,8),RIGHT($B20,10)),'DATA '!$B$5:$K$31,Q$4,FALSE),"")</f>
        <v>20</v>
      </c>
      <c r="R20" s="131">
        <v>31.536000000000001</v>
      </c>
      <c r="U20" s="91"/>
      <c r="V20" s="91"/>
      <c r="W20" s="91" t="str">
        <f>Commodities!$AC$9&amp;"_"&amp;RIGHT(Commodities!$D$340,3)&amp;"_"&amp;$W$3&amp;"_ST03"</f>
        <v>TER_TP_SH_ELC_N_ST03</v>
      </c>
      <c r="X20" s="91" t="s">
        <v>1030</v>
      </c>
      <c r="Y20" s="92" t="str">
        <f>General!$B$2</f>
        <v>PJ</v>
      </c>
      <c r="Z20" s="92" t="str">
        <f>General!$B$5</f>
        <v>GW</v>
      </c>
      <c r="AA20" s="92" t="s">
        <v>44</v>
      </c>
      <c r="AB20" s="92"/>
      <c r="AC20" s="91"/>
      <c r="AE20" s="78"/>
      <c r="AG20" s="91"/>
      <c r="AH20" s="91"/>
      <c r="AI20" s="92"/>
      <c r="AJ20" s="92"/>
      <c r="AK20" s="92"/>
    </row>
    <row r="21" spans="1:37" ht="16.5" customHeight="1" x14ac:dyDescent="0.25">
      <c r="A21" s="78"/>
      <c r="B21" s="91" t="str">
        <f t="shared" si="4"/>
        <v>TER_TP_SH_ELC_N_ST01</v>
      </c>
      <c r="C21" s="91" t="str">
        <f t="shared" si="4"/>
        <v>Private (Commercial) SpHeat Electric Heater Standard (N)</v>
      </c>
      <c r="D21" s="91" t="str">
        <f>Commodities!$D$340</f>
        <v>TERELC</v>
      </c>
      <c r="E21" s="91" t="str">
        <f>Commodities!$AC$9</f>
        <v>TER_TP_SH</v>
      </c>
      <c r="F21" s="130">
        <f t="shared" si="1"/>
        <v>2018</v>
      </c>
      <c r="G21" s="92">
        <f>BASE_YEAR+1</f>
        <v>2018</v>
      </c>
      <c r="H21" s="131">
        <f>IFERROR(VLOOKUP(IF(LEN($B21)=18,RIGHT($B21,8),RIGHT($B21,10)),'DATA '!$B$5:$J$31,H$4,FALSE),"")</f>
        <v>0.95</v>
      </c>
      <c r="I21" s="131"/>
      <c r="J21" s="131"/>
      <c r="K21" s="131" t="str">
        <f>IFERROR(VLOOKUP(IF(LEN($B21)=18,RIGHT($B21,8),RIGHT($B21,10)),'DATA '!$B$5:$J$31,K$4,FALSE),"")</f>
        <v/>
      </c>
      <c r="L21" s="131" t="str">
        <f>IFERROR(VLOOKUP(IF(LEN($B21)=18,RIGHT($B21,8),RIGHT($B21,10)),'DATA '!$B$5:$J$31,L$4,FALSE),"")</f>
        <v/>
      </c>
      <c r="M21" s="131" t="str">
        <f>IFERROR(VLOOKUP(IF(LEN($B21)=18,RIGHT($B21,8),RIGHT($B21,10)),'DATA '!$B$5:$J$31,M$4,FALSE),"")</f>
        <v/>
      </c>
      <c r="N21" s="131">
        <f>IFERROR(VLOOKUP(IF(LEN($B21)=18,RIGHT($B21,8),RIGHT($B21,10)),'DATA '!$B$5:$J$31,N$4,FALSE),"")</f>
        <v>356.50000000000006</v>
      </c>
      <c r="O21" s="131">
        <f>IFERROR(VLOOKUP(IF(LEN($B21)=18,RIGHT($B21,8),RIGHT($B21,10)),'DATA '!$B$5:$J$31,O$4,FALSE),"")</f>
        <v>0.15381501720299534</v>
      </c>
      <c r="P21" s="131">
        <f>IFERROR(VLOOKUP(IF(LEN($B21)=18,RIGHT($B21,8),RIGHT($B21,10)),'DATA '!$B$5:$J$31,P$4,FALSE),"")</f>
        <v>0</v>
      </c>
      <c r="Q21" s="132">
        <f>IFERROR(VLOOKUP(IF(LEN($B21)=18,RIGHT($B21,8),RIGHT($B21,10)),'DATA '!$B$5:$K$31,Q$4,FALSE),"")</f>
        <v>15</v>
      </c>
      <c r="R21" s="131">
        <f>31.536/5</f>
        <v>6.3071999999999999</v>
      </c>
      <c r="U21" s="91"/>
      <c r="V21" s="91"/>
      <c r="W21" s="91" t="str">
        <f>Commodities!$AC$9&amp;"_"&amp;RIGHT(Commodities!$D$340,3)&amp;"_"&amp;$W$3&amp;"_IM01"</f>
        <v>TER_TP_SH_ELC_N_IM01</v>
      </c>
      <c r="X21" s="91" t="s">
        <v>1031</v>
      </c>
      <c r="Y21" s="92" t="str">
        <f>General!$B$2</f>
        <v>PJ</v>
      </c>
      <c r="Z21" s="92" t="str">
        <f>General!$B$5</f>
        <v>GW</v>
      </c>
      <c r="AA21" s="92" t="s">
        <v>44</v>
      </c>
      <c r="AB21" s="92"/>
      <c r="AC21" s="91"/>
      <c r="AE21" s="78"/>
      <c r="AG21" s="91"/>
      <c r="AH21" s="91"/>
      <c r="AI21" s="92"/>
      <c r="AJ21" s="92"/>
      <c r="AK21" s="92"/>
    </row>
    <row r="22" spans="1:37" ht="16.5" customHeight="1" x14ac:dyDescent="0.25">
      <c r="A22" s="78"/>
      <c r="B22" s="86" t="str">
        <f t="shared" si="4"/>
        <v>TER_TP_SH_ELC_N_ST02</v>
      </c>
      <c r="C22" s="86" t="str">
        <f t="shared" si="4"/>
        <v>Private (Commercial) SpHeat ASHP Standard (N)</v>
      </c>
      <c r="D22" s="86" t="str">
        <f>Commodities!$D$340</f>
        <v>TERELC</v>
      </c>
      <c r="E22" s="86" t="str">
        <f>Commodities!$AC$9</f>
        <v>TER_TP_SH</v>
      </c>
      <c r="F22" s="133">
        <f t="shared" si="1"/>
        <v>2018</v>
      </c>
      <c r="G22" s="87">
        <f>BASE_YEAR+1</f>
        <v>2018</v>
      </c>
      <c r="H22" s="134">
        <f>IFERROR(VLOOKUP(IF(LEN($B22)=18,RIGHT($B22,8),RIGHT($B22,10)),'DATA '!$B$5:$J$31,H$4,FALSE),"")</f>
        <v>3</v>
      </c>
      <c r="I22" s="134"/>
      <c r="J22" s="134"/>
      <c r="K22" s="134" t="str">
        <f>IFERROR(VLOOKUP(IF(LEN($B22)=18,RIGHT($B22,8),RIGHT($B22,10)),'DATA '!$B$5:$J$31,K$4,FALSE),"")</f>
        <v/>
      </c>
      <c r="L22" s="134" t="str">
        <f>IFERROR(VLOOKUP(IF(LEN($B22)=18,RIGHT($B22,8),RIGHT($B22,10)),'DATA '!$B$5:$J$31,L$4,FALSE),"")</f>
        <v/>
      </c>
      <c r="M22" s="134" t="str">
        <f>IFERROR(VLOOKUP(IF(LEN($B22)=18,RIGHT($B22,8),RIGHT($B22,10)),'DATA '!$B$5:$J$31,M$4,FALSE),"")</f>
        <v/>
      </c>
      <c r="N22" s="134">
        <f>IFERROR(VLOOKUP(IF(LEN($B22)=18,RIGHT($B22,8),RIGHT($B22,10)),'DATA '!$B$5:$J$31,N$4,FALSE),"")</f>
        <v>680.65943043884226</v>
      </c>
      <c r="O22" s="134">
        <f>IFERROR(VLOOKUP(IF(LEN($B22)=18,RIGHT($B22,8),RIGHT($B22,10)),'DATA '!$B$5:$J$31,O$4,FALSE),"")</f>
        <v>1.1400381590845607</v>
      </c>
      <c r="P22" s="134">
        <f>IFERROR(VLOOKUP(IF(LEN($B22)=18,RIGHT($B22,8),RIGHT($B22,10)),'DATA '!$B$5:$J$31,P$4,FALSE),"")</f>
        <v>0</v>
      </c>
      <c r="Q22" s="135">
        <f>IFERROR(VLOOKUP(IF(LEN($B22)=18,RIGHT($B22,8),RIGHT($B22,10)),'DATA '!$B$5:$K$31,Q$4,FALSE),"")</f>
        <v>15</v>
      </c>
      <c r="R22" s="134">
        <v>31.536000000000001</v>
      </c>
      <c r="U22" s="91"/>
      <c r="V22" s="91"/>
      <c r="W22" s="91" t="str">
        <f>Commodities!$AC$9&amp;"_"&amp;RIGHT(Commodities!$D$340,3)&amp;"_"&amp;$W$3&amp;"_IM02"</f>
        <v>TER_TP_SH_ELC_N_IM02</v>
      </c>
      <c r="X22" s="91" t="s">
        <v>1032</v>
      </c>
      <c r="Y22" s="92" t="str">
        <f>General!$B$2</f>
        <v>PJ</v>
      </c>
      <c r="Z22" s="92" t="str">
        <f>General!$B$5</f>
        <v>GW</v>
      </c>
      <c r="AA22" s="92" t="s">
        <v>44</v>
      </c>
      <c r="AB22" s="92"/>
      <c r="AC22" s="91"/>
      <c r="AE22" s="78"/>
      <c r="AG22" s="91"/>
      <c r="AH22" s="91"/>
      <c r="AI22" s="92"/>
      <c r="AJ22" s="92"/>
      <c r="AK22" s="92"/>
    </row>
    <row r="23" spans="1:37" ht="16.5" customHeight="1" x14ac:dyDescent="0.25">
      <c r="A23" s="78"/>
      <c r="B23" s="89" t="str">
        <f t="shared" si="4"/>
        <v>TER_TP_SH_ELC_N_ST03</v>
      </c>
      <c r="C23" s="89" t="str">
        <f t="shared" si="4"/>
        <v>Private (Commercial) SpHeat &amp; SpCooling ASHP Standard (N)</v>
      </c>
      <c r="D23" s="89" t="str">
        <f>Commodities!$D$340</f>
        <v>TERELC</v>
      </c>
      <c r="E23" s="89" t="str">
        <f>Commodities!$AC$9</f>
        <v>TER_TP_SH</v>
      </c>
      <c r="F23" s="136">
        <f t="shared" si="1"/>
        <v>2018</v>
      </c>
      <c r="G23" s="92">
        <f>BASE_YEAR+1</f>
        <v>2018</v>
      </c>
      <c r="H23" s="131">
        <f>IFERROR(VLOOKUP(IF(LEN($B23)=18,RIGHT($B23,8),RIGHT($B23,10)),'DATA '!$B$5:$J$31,H$4,FALSE),"")</f>
        <v>3</v>
      </c>
      <c r="I23" s="131"/>
      <c r="J23" s="131"/>
      <c r="K23" s="131" t="str">
        <f>IFERROR(VLOOKUP(IF(LEN($B23)=18,RIGHT($B23,8),RIGHT($B23,10)),'DATA '!$B$5:$J$31,K$4,FALSE),"")</f>
        <v/>
      </c>
      <c r="L23" s="131" t="str">
        <f>IFERROR(VLOOKUP(IF(LEN($B23)=18,RIGHT($B23,8),RIGHT($B23,10)),'DATA '!$B$5:$J$31,L$4,FALSE),"")</f>
        <v/>
      </c>
      <c r="M23" s="131" t="str">
        <f>IFERROR(VLOOKUP(IF(LEN($B23)=18,RIGHT($B23,8),RIGHT($B23,10)),'DATA '!$B$5:$J$31,M$4,FALSE),"")</f>
        <v/>
      </c>
      <c r="N23" s="131">
        <f>IFERROR(VLOOKUP(IF(LEN($B23)=18,RIGHT($B23,8),RIGHT($B23,10)),'DATA '!$B$5:$J$31,N$4,FALSE),"")</f>
        <v>907.54590725178969</v>
      </c>
      <c r="O23" s="131">
        <f>IFERROR(VLOOKUP(IF(LEN($B23)=18,RIGHT($B23,8),RIGHT($B23,10)),'DATA '!$B$5:$J$31,O$4,FALSE),"")</f>
        <v>1.1400381590845607</v>
      </c>
      <c r="P23" s="131">
        <f>IFERROR(VLOOKUP(IF(LEN($B23)=18,RIGHT($B23,8),RIGHT($B23,10)),'DATA '!$B$5:$J$31,P$4,FALSE),"")</f>
        <v>0</v>
      </c>
      <c r="Q23" s="132">
        <f>IFERROR(VLOOKUP(IF(LEN($B23)=18,RIGHT($B23,8),RIGHT($B23,10)),'DATA '!$B$5:$K$31,Q$4,FALSE),"")</f>
        <v>15</v>
      </c>
      <c r="R23" s="131">
        <v>31.536000000000001</v>
      </c>
      <c r="U23" s="91"/>
      <c r="V23" s="91"/>
      <c r="W23" s="91" t="str">
        <f>Commodities!$AC$9&amp;"_"&amp;RIGHT(Commodities!$D$340,3)&amp;"_"&amp;$W$3&amp;"_AD01"</f>
        <v>TER_TP_SH_ELC_N_AD01</v>
      </c>
      <c r="X23" s="91" t="s">
        <v>1033</v>
      </c>
      <c r="Y23" s="92" t="str">
        <f>General!$B$2</f>
        <v>PJ</v>
      </c>
      <c r="Z23" s="92" t="str">
        <f>General!$B$5</f>
        <v>GW</v>
      </c>
      <c r="AA23" s="92" t="s">
        <v>44</v>
      </c>
      <c r="AB23" s="92"/>
      <c r="AC23" s="91"/>
      <c r="AE23" s="78"/>
      <c r="AG23" s="91"/>
      <c r="AH23" s="91"/>
      <c r="AI23" s="92"/>
      <c r="AJ23" s="92"/>
      <c r="AK23" s="92"/>
    </row>
    <row r="24" spans="1:37" ht="16.5" customHeight="1" x14ac:dyDescent="0.25">
      <c r="A24" s="78"/>
      <c r="B24" s="86"/>
      <c r="C24" s="86"/>
      <c r="D24" s="86"/>
      <c r="E24" s="86" t="str">
        <f>Commodities!$AC$13</f>
        <v>TER_TP_SC</v>
      </c>
      <c r="F24" s="133">
        <f>F23</f>
        <v>2018</v>
      </c>
      <c r="G24" s="87"/>
      <c r="H24" s="134" t="str">
        <f>IFERROR(VLOOKUP(IF(LEN($B24)=18,RIGHT($B24,8),RIGHT($B24,10)),'DATA '!$B$5:$J$31,H$4,FALSE),"")</f>
        <v/>
      </c>
      <c r="I24" s="134" t="str">
        <f>IFERROR(VLOOKUP(IF(LEN($B24)=18,RIGHT($B24,8),RIGHT($B24,10)),'DATA '!$B$5:$J$31,I$4,FALSE),"")</f>
        <v/>
      </c>
      <c r="J24" s="134"/>
      <c r="K24" s="134" t="str">
        <f>IFERROR(VLOOKUP(IF(LEN($B24)=18,RIGHT($B24,8),RIGHT($B24,10)),'DATA '!$B$5:$J$31,K$4,FALSE),"")</f>
        <v/>
      </c>
      <c r="L24" s="134" t="str">
        <f>IFERROR(VLOOKUP(IF(LEN($B24)=18,RIGHT($B24,8),RIGHT($B24,10)),'DATA '!$B$5:$J$31,L$4,FALSE),"")</f>
        <v/>
      </c>
      <c r="M24" s="134" t="str">
        <f>IFERROR(VLOOKUP(IF(LEN($B24)=18,RIGHT($B24,8),RIGHT($B24,10)),'DATA '!$B$5:$J$31,M$4,FALSE),"")</f>
        <v/>
      </c>
      <c r="N24" s="134" t="str">
        <f>IFERROR(VLOOKUP(IF(LEN($B24)=18,RIGHT($B24,8),RIGHT($B24,10)),'DATA '!$B$5:$J$31,N$4,FALSE),"")</f>
        <v/>
      </c>
      <c r="O24" s="134" t="str">
        <f>IFERROR(VLOOKUP(IF(LEN($B24)=18,RIGHT($B24,8),RIGHT($B24,10)),'DATA '!$B$5:$J$31,O$4,FALSE),"")</f>
        <v/>
      </c>
      <c r="P24" s="134" t="str">
        <f>IFERROR(VLOOKUP(IF(LEN($B24)=18,RIGHT($B24,8),RIGHT($B24,10)),'DATA '!$B$5:$J$31,P$4,FALSE),"")</f>
        <v/>
      </c>
      <c r="Q24" s="135" t="str">
        <f>IFERROR(VLOOKUP(IF(LEN($B24)=18,RIGHT($B24,8),RIGHT($B24,10)),'DATA '!$B$5:$K$31,Q$4,FALSE),"")</f>
        <v/>
      </c>
      <c r="R24" s="134"/>
      <c r="U24" s="91"/>
      <c r="V24" s="91"/>
      <c r="W24" s="91" t="str">
        <f>Commodities!$AC$9&amp;"_"&amp;RIGHT(Commodities!$D$340,3)&amp;"_"&amp;$W$3&amp;"_AD02"</f>
        <v>TER_TP_SH_ELC_N_AD02</v>
      </c>
      <c r="X24" s="91" t="s">
        <v>1034</v>
      </c>
      <c r="Y24" s="92" t="str">
        <f>General!$B$2</f>
        <v>PJ</v>
      </c>
      <c r="Z24" s="92" t="str">
        <f>General!$B$5</f>
        <v>GW</v>
      </c>
      <c r="AA24" s="92" t="s">
        <v>44</v>
      </c>
      <c r="AB24" s="92"/>
      <c r="AC24" s="91"/>
      <c r="AE24" s="78"/>
      <c r="AG24" s="91"/>
      <c r="AH24" s="91"/>
      <c r="AI24" s="92"/>
      <c r="AJ24" s="92"/>
      <c r="AK24" s="92"/>
    </row>
    <row r="25" spans="1:37" ht="16.5" customHeight="1" x14ac:dyDescent="0.25">
      <c r="A25" s="78"/>
      <c r="B25" s="86" t="str">
        <f>W21</f>
        <v>TER_TP_SH_ELC_N_IM01</v>
      </c>
      <c r="C25" s="86" t="str">
        <f>X21</f>
        <v>Private (Commercial) SpHeat ASHP Improved (N)</v>
      </c>
      <c r="D25" s="86" t="str">
        <f>Commodities!$D$340</f>
        <v>TERELC</v>
      </c>
      <c r="E25" s="86" t="str">
        <f>Commodities!$AC$9</f>
        <v>TER_TP_SH</v>
      </c>
      <c r="F25" s="133">
        <f t="shared" si="1"/>
        <v>2025</v>
      </c>
      <c r="G25" s="87">
        <v>2025</v>
      </c>
      <c r="H25" s="134">
        <f>IFERROR(VLOOKUP(IF(LEN($B25)=18,RIGHT($B25,8),RIGHT($B25,10)),'DATA '!$B$5:$J$31,H$4,FALSE),"")</f>
        <v>4.5999999999999996</v>
      </c>
      <c r="I25" s="134"/>
      <c r="J25" s="134"/>
      <c r="K25" s="134" t="str">
        <f>IFERROR(VLOOKUP(IF(LEN($B25)=18,RIGHT($B25,8),RIGHT($B25,10)),'DATA '!$B$5:$J$31,K$4,FALSE),"")</f>
        <v/>
      </c>
      <c r="L25" s="134" t="str">
        <f>IFERROR(VLOOKUP(IF(LEN($B25)=18,RIGHT($B25,8),RIGHT($B25,10)),'DATA '!$B$5:$J$31,L$4,FALSE),"")</f>
        <v/>
      </c>
      <c r="M25" s="134" t="str">
        <f>IFERROR(VLOOKUP(IF(LEN($B25)=18,RIGHT($B25,8),RIGHT($B25,10)),'DATA '!$B$5:$J$31,M$4,FALSE),"")</f>
        <v/>
      </c>
      <c r="N25" s="134">
        <f>IFERROR(VLOOKUP(IF(LEN($B25)=18,RIGHT($B25,8),RIGHT($B25,10)),'DATA '!$B$5:$J$31,N$4,FALSE),"")</f>
        <v>728.30559056956133</v>
      </c>
      <c r="O25" s="134">
        <f>IFERROR(VLOOKUP(IF(LEN($B25)=18,RIGHT($B25,8),RIGHT($B25,10)),'DATA '!$B$5:$J$31,O$4,FALSE),"")</f>
        <v>1.0602354879486413</v>
      </c>
      <c r="P25" s="134">
        <f>IFERROR(VLOOKUP(IF(LEN($B25)=18,RIGHT($B25,8),RIGHT($B25,10)),'DATA '!$B$5:$J$31,P$4,FALSE),"")</f>
        <v>0</v>
      </c>
      <c r="Q25" s="135">
        <f>IFERROR(VLOOKUP(IF(LEN($B25)=18,RIGHT($B25,8),RIGHT($B25,10)),'DATA '!$B$5:$K$31,Q$4,FALSE),"")</f>
        <v>15</v>
      </c>
      <c r="R25" s="134">
        <v>31.536000000000001</v>
      </c>
      <c r="U25" s="91"/>
      <c r="V25" s="91"/>
      <c r="W25" s="91" t="str">
        <f>Commodities!$AC$9&amp;"_"&amp;RIGHT(Commodities!$D$181,3)&amp;"_"&amp;$W$3&amp;"_ST01"</f>
        <v>TER_TP_SH_GEO_N_ST01</v>
      </c>
      <c r="X25" s="91" t="s">
        <v>1035</v>
      </c>
      <c r="Y25" s="92" t="str">
        <f>General!$B$2</f>
        <v>PJ</v>
      </c>
      <c r="Z25" s="92" t="str">
        <f>General!$B$5</f>
        <v>GW</v>
      </c>
      <c r="AA25" s="92" t="s">
        <v>44</v>
      </c>
      <c r="AB25" s="92"/>
      <c r="AC25" s="91"/>
      <c r="AE25" s="78"/>
      <c r="AG25" s="91"/>
      <c r="AH25" s="91"/>
      <c r="AI25" s="92"/>
      <c r="AJ25" s="92"/>
      <c r="AK25" s="92"/>
    </row>
    <row r="26" spans="1:37" ht="16.5" customHeight="1" x14ac:dyDescent="0.25">
      <c r="A26" s="78"/>
      <c r="B26" s="89" t="str">
        <f>W22</f>
        <v>TER_TP_SH_ELC_N_IM02</v>
      </c>
      <c r="C26" s="89" t="str">
        <f>X22</f>
        <v>Private (Commercial) SpHeat &amp; SpCooling  ASHP Improved (N)</v>
      </c>
      <c r="D26" s="89" t="str">
        <f>Commodities!$D$340</f>
        <v>TERELC</v>
      </c>
      <c r="E26" s="89" t="str">
        <f>Commodities!$AC$9</f>
        <v>TER_TP_SH</v>
      </c>
      <c r="F26" s="136">
        <f t="shared" ref="F26" si="5">G26</f>
        <v>2025</v>
      </c>
      <c r="G26" s="90">
        <v>2025</v>
      </c>
      <c r="H26" s="131">
        <f>IFERROR(VLOOKUP(IF(LEN($B26)=18,RIGHT($B26,8),RIGHT($B26,10)),'DATA '!$B$5:$J$31,H$4,FALSE),"")</f>
        <v>4.5999999999999996</v>
      </c>
      <c r="I26" s="131"/>
      <c r="J26" s="131"/>
      <c r="K26" s="131" t="str">
        <f>IFERROR(VLOOKUP(IF(LEN($B26)=18,RIGHT($B26,8),RIGHT($B26,10)),'DATA '!$B$5:$J$31,K$4,FALSE),"")</f>
        <v/>
      </c>
      <c r="L26" s="131" t="str">
        <f>IFERROR(VLOOKUP(IF(LEN($B26)=18,RIGHT($B26,8),RIGHT($B26,10)),'DATA '!$B$5:$J$31,L$4,FALSE),"")</f>
        <v/>
      </c>
      <c r="M26" s="131" t="str">
        <f>IFERROR(VLOOKUP(IF(LEN($B26)=18,RIGHT($B26,8),RIGHT($B26,10)),'DATA '!$B$5:$J$31,M$4,FALSE),"")</f>
        <v/>
      </c>
      <c r="N26" s="131">
        <f>IFERROR(VLOOKUP(IF(LEN($B26)=18,RIGHT($B26,8),RIGHT($B26,10)),'DATA '!$B$5:$J$31,N$4,FALSE),"")</f>
        <v>971.07412075941511</v>
      </c>
      <c r="O26" s="131">
        <f>IFERROR(VLOOKUP(IF(LEN($B26)=18,RIGHT($B26,8),RIGHT($B26,10)),'DATA '!$B$5:$J$31,O$4,FALSE),"")</f>
        <v>1.0602354879486413</v>
      </c>
      <c r="P26" s="131">
        <f>IFERROR(VLOOKUP(IF(LEN($B26)=18,RIGHT($B26,8),RIGHT($B26,10)),'DATA '!$B$5:$J$31,P$4,FALSE),"")</f>
        <v>0</v>
      </c>
      <c r="Q26" s="132">
        <f>IFERROR(VLOOKUP(IF(LEN($B26)=18,RIGHT($B26,8),RIGHT($B26,10)),'DATA '!$B$5:$K$31,Q$4,FALSE),"")</f>
        <v>15</v>
      </c>
      <c r="R26" s="131">
        <v>31.536000000000001</v>
      </c>
      <c r="U26" s="91"/>
      <c r="V26" s="91"/>
      <c r="W26" s="91" t="str">
        <f>Commodities!$AC$9&amp;"_"&amp;RIGHT(Commodities!$D$181,3)&amp;"_"&amp;$W$3&amp;"_ST02"</f>
        <v>TER_TP_SH_GEO_N_ST02</v>
      </c>
      <c r="X26" s="91" t="s">
        <v>1036</v>
      </c>
      <c r="Y26" s="92" t="str">
        <f>General!$B$2</f>
        <v>PJ</v>
      </c>
      <c r="Z26" s="92" t="str">
        <f>General!$B$5</f>
        <v>GW</v>
      </c>
      <c r="AA26" s="92" t="s">
        <v>44</v>
      </c>
      <c r="AB26" s="92"/>
      <c r="AC26" s="91"/>
      <c r="AE26" s="78"/>
      <c r="AG26" s="91"/>
      <c r="AH26" s="91"/>
      <c r="AI26" s="92"/>
      <c r="AJ26" s="92"/>
      <c r="AK26" s="92"/>
    </row>
    <row r="27" spans="1:37" ht="16.5" customHeight="1" x14ac:dyDescent="0.25">
      <c r="A27" s="78"/>
      <c r="B27" s="86"/>
      <c r="C27" s="86"/>
      <c r="D27" s="86"/>
      <c r="E27" s="86" t="str">
        <f>Commodities!$AC$13</f>
        <v>TER_TP_SC</v>
      </c>
      <c r="F27" s="133">
        <f>F26</f>
        <v>2025</v>
      </c>
      <c r="G27" s="87"/>
      <c r="H27" s="134" t="str">
        <f>IFERROR(VLOOKUP(IF(LEN($B27)=18,RIGHT($B27,8),RIGHT($B27,10)),'DATA '!$B$5:$J$31,H$4,FALSE),"")</f>
        <v/>
      </c>
      <c r="I27" s="134"/>
      <c r="J27" s="134"/>
      <c r="K27" s="134" t="str">
        <f>IFERROR(VLOOKUP(IF(LEN($B27)=18,RIGHT($B27,8),RIGHT($B27,10)),'DATA '!$B$5:$J$31,K$4,FALSE),"")</f>
        <v/>
      </c>
      <c r="L27" s="134" t="str">
        <f>IFERROR(VLOOKUP(IF(LEN($B27)=18,RIGHT($B27,8),RIGHT($B27,10)),'DATA '!$B$5:$J$31,L$4,FALSE),"")</f>
        <v/>
      </c>
      <c r="M27" s="134" t="str">
        <f>IFERROR(VLOOKUP(IF(LEN($B27)=18,RIGHT($B27,8),RIGHT($B27,10)),'DATA '!$B$5:$J$31,M$4,FALSE),"")</f>
        <v/>
      </c>
      <c r="N27" s="134" t="str">
        <f>IFERROR(VLOOKUP(IF(LEN($B27)=18,RIGHT($B27,8),RIGHT($B27,10)),'DATA '!$B$5:$J$31,N$4,FALSE),"")</f>
        <v/>
      </c>
      <c r="O27" s="134" t="str">
        <f>IFERROR(VLOOKUP(IF(LEN($B27)=18,RIGHT($B27,8),RIGHT($B27,10)),'DATA '!$B$5:$J$31,O$4,FALSE),"")</f>
        <v/>
      </c>
      <c r="P27" s="134" t="str">
        <f>IFERROR(VLOOKUP(IF(LEN($B27)=18,RIGHT($B27,8),RIGHT($B27,10)),'DATA '!$B$5:$J$31,P$4,FALSE),"")</f>
        <v/>
      </c>
      <c r="Q27" s="135" t="str">
        <f>IFERROR(VLOOKUP(IF(LEN($B27)=18,RIGHT($B27,8),RIGHT($B27,10)),'DATA '!$B$5:$K$31,Q$4,FALSE),"")</f>
        <v/>
      </c>
      <c r="R27" s="134"/>
      <c r="U27" s="91"/>
      <c r="V27" s="91"/>
      <c r="W27" s="91" t="str">
        <f>Commodities!$AC$9&amp;"_"&amp;RIGHT(Commodities!$D$181,3)&amp;"_"&amp;$W$3&amp;"_IM01"</f>
        <v>TER_TP_SH_GEO_N_IM01</v>
      </c>
      <c r="X27" s="91" t="s">
        <v>1037</v>
      </c>
      <c r="Y27" s="92" t="str">
        <f>General!$B$2</f>
        <v>PJ</v>
      </c>
      <c r="Z27" s="92" t="str">
        <f>General!$B$5</f>
        <v>GW</v>
      </c>
      <c r="AA27" s="92" t="s">
        <v>44</v>
      </c>
      <c r="AB27" s="92"/>
      <c r="AC27" s="91"/>
      <c r="AE27" s="78"/>
      <c r="AG27" s="91"/>
      <c r="AH27" s="91"/>
      <c r="AI27" s="92"/>
      <c r="AJ27" s="92"/>
      <c r="AK27" s="92"/>
    </row>
    <row r="28" spans="1:37" ht="16.5" customHeight="1" x14ac:dyDescent="0.25">
      <c r="A28" s="78"/>
      <c r="B28" s="86" t="str">
        <f>W23</f>
        <v>TER_TP_SH_ELC_N_AD01</v>
      </c>
      <c r="C28" s="86" t="str">
        <f>X23</f>
        <v>Private (Commercial) SpHeat ASHP Advanced (N)</v>
      </c>
      <c r="D28" s="86" t="str">
        <f>Commodities!$D$340</f>
        <v>TERELC</v>
      </c>
      <c r="E28" s="86" t="str">
        <f>Commodities!$AC$9</f>
        <v>TER_TP_SH</v>
      </c>
      <c r="F28" s="133">
        <f t="shared" si="1"/>
        <v>2035</v>
      </c>
      <c r="G28" s="87">
        <v>2035</v>
      </c>
      <c r="H28" s="134">
        <f>IFERROR(VLOOKUP(IF(LEN($B28)=18,RIGHT($B28,8),RIGHT($B28,10)),'DATA '!$B$5:$J$31,H$4,FALSE),"")</f>
        <v>5</v>
      </c>
      <c r="I28" s="134"/>
      <c r="J28" s="134"/>
      <c r="K28" s="134" t="str">
        <f>IFERROR(VLOOKUP(IF(LEN($B28)=18,RIGHT($B28,8),RIGHT($B28,10)),'DATA '!$B$5:$J$31,K$4,FALSE),"")</f>
        <v/>
      </c>
      <c r="L28" s="134" t="str">
        <f>IFERROR(VLOOKUP(IF(LEN($B28)=18,RIGHT($B28,8),RIGHT($B28,10)),'DATA '!$B$5:$J$31,L$4,FALSE),"")</f>
        <v/>
      </c>
      <c r="M28" s="134" t="str">
        <f>IFERROR(VLOOKUP(IF(LEN($B28)=18,RIGHT($B28,8),RIGHT($B28,10)),'DATA '!$B$5:$J$31,M$4,FALSE),"")</f>
        <v/>
      </c>
      <c r="N28" s="134">
        <f>IFERROR(VLOOKUP(IF(LEN($B28)=18,RIGHT($B28,8),RIGHT($B28,10)),'DATA '!$B$5:$J$31,N$4,FALSE),"")</f>
        <v>764.72087009803943</v>
      </c>
      <c r="O28" s="134">
        <f>IFERROR(VLOOKUP(IF(LEN($B28)=18,RIGHT($B28,8),RIGHT($B28,10)),'DATA '!$B$5:$J$31,O$4,FALSE),"")</f>
        <v>1.0072237135512092</v>
      </c>
      <c r="P28" s="134">
        <f>IFERROR(VLOOKUP(IF(LEN($B28)=18,RIGHT($B28,8),RIGHT($B28,10)),'DATA '!$B$5:$J$31,P$4,FALSE),"")</f>
        <v>0</v>
      </c>
      <c r="Q28" s="135">
        <f>IFERROR(VLOOKUP(IF(LEN($B28)=18,RIGHT($B28,8),RIGHT($B28,10)),'DATA '!$B$5:$K$31,Q$4,FALSE),"")</f>
        <v>15</v>
      </c>
      <c r="R28" s="134">
        <v>31.536000000000001</v>
      </c>
      <c r="U28" s="91"/>
      <c r="V28" s="91"/>
      <c r="W28" s="91" t="str">
        <f>Commodities!$AC$9&amp;"_"&amp;RIGHT(Commodities!$D$181,3)&amp;"_"&amp;$W$3&amp;"_IM02"</f>
        <v>TER_TP_SH_GEO_N_IM02</v>
      </c>
      <c r="X28" s="91" t="s">
        <v>1038</v>
      </c>
      <c r="Y28" s="92" t="str">
        <f>General!$B$2</f>
        <v>PJ</v>
      </c>
      <c r="Z28" s="92" t="str">
        <f>General!$B$5</f>
        <v>GW</v>
      </c>
      <c r="AA28" s="92" t="s">
        <v>44</v>
      </c>
      <c r="AB28" s="92"/>
      <c r="AC28" s="91"/>
      <c r="AE28" s="78"/>
      <c r="AG28" s="91"/>
      <c r="AH28" s="91"/>
      <c r="AI28" s="92"/>
      <c r="AJ28" s="92"/>
      <c r="AK28" s="92"/>
    </row>
    <row r="29" spans="1:37" ht="16.5" customHeight="1" x14ac:dyDescent="0.25">
      <c r="A29" s="78"/>
      <c r="B29" s="89" t="str">
        <f>W24</f>
        <v>TER_TP_SH_ELC_N_AD02</v>
      </c>
      <c r="C29" s="89" t="str">
        <f>X24</f>
        <v>Private (Commercial) SpHeat &amp; SpCooling ASHP Advanced (N)</v>
      </c>
      <c r="D29" s="89" t="str">
        <f>Commodities!$D$340</f>
        <v>TERELC</v>
      </c>
      <c r="E29" s="89" t="str">
        <f>Commodities!$AC$9</f>
        <v>TER_TP_SH</v>
      </c>
      <c r="F29" s="136">
        <f>G29</f>
        <v>2035</v>
      </c>
      <c r="G29" s="90">
        <v>2035</v>
      </c>
      <c r="H29" s="131">
        <f>IFERROR(VLOOKUP(IF(LEN($B29)=18,RIGHT($B29,8),RIGHT($B29,10)),'DATA '!$B$5:$J$31,H$4,FALSE),"")</f>
        <v>5</v>
      </c>
      <c r="I29" s="131"/>
      <c r="J29" s="131"/>
      <c r="K29" s="131" t="str">
        <f>IFERROR(VLOOKUP(IF(LEN($B29)=18,RIGHT($B29,8),RIGHT($B29,10)),'DATA '!$B$5:$J$31,K$4,FALSE),"")</f>
        <v/>
      </c>
      <c r="L29" s="131" t="str">
        <f>IFERROR(VLOOKUP(IF(LEN($B29)=18,RIGHT($B29,8),RIGHT($B29,10)),'DATA '!$B$5:$J$31,L$4,FALSE),"")</f>
        <v/>
      </c>
      <c r="M29" s="131" t="str">
        <f>IFERROR(VLOOKUP(IF(LEN($B29)=18,RIGHT($B29,8),RIGHT($B29,10)),'DATA '!$B$5:$J$31,M$4,FALSE),"")</f>
        <v/>
      </c>
      <c r="N29" s="131">
        <f>IFERROR(VLOOKUP(IF(LEN($B29)=18,RIGHT($B29,8),RIGHT($B29,10)),'DATA '!$B$5:$J$31,N$4,FALSE),"")</f>
        <v>1019.627826797386</v>
      </c>
      <c r="O29" s="131">
        <f>IFERROR(VLOOKUP(IF(LEN($B29)=18,RIGHT($B29,8),RIGHT($B29,10)),'DATA '!$B$5:$J$31,O$4,FALSE),"")</f>
        <v>1.0072237135512092</v>
      </c>
      <c r="P29" s="131">
        <f>IFERROR(VLOOKUP(IF(LEN($B29)=18,RIGHT($B29,8),RIGHT($B29,10)),'DATA '!$B$5:$J$31,P$4,FALSE),"")</f>
        <v>0</v>
      </c>
      <c r="Q29" s="132">
        <f>IFERROR(VLOOKUP(IF(LEN($B29)=18,RIGHT($B29,8),RIGHT($B29,10)),'DATA '!$B$5:$K$31,Q$4,FALSE),"")</f>
        <v>15</v>
      </c>
      <c r="R29" s="131">
        <v>31.536000000000001</v>
      </c>
      <c r="U29" s="91"/>
      <c r="V29" s="91"/>
      <c r="W29" s="91" t="str">
        <f>Commodities!$AC$9&amp;"_"&amp;RIGHT(Commodities!$D$158,3)&amp;"_"&amp;$W$3&amp;"_ST01"</f>
        <v>TER_TP_SH_DSL_N_ST01</v>
      </c>
      <c r="X29" s="91" t="s">
        <v>1039</v>
      </c>
      <c r="Y29" s="92" t="str">
        <f>General!$B$2</f>
        <v>PJ</v>
      </c>
      <c r="Z29" s="92" t="str">
        <f>General!$B$5</f>
        <v>GW</v>
      </c>
      <c r="AA29" s="92" t="s">
        <v>44</v>
      </c>
      <c r="AB29" s="92"/>
      <c r="AC29" s="91"/>
      <c r="AE29" s="78"/>
      <c r="AG29" s="91"/>
      <c r="AH29" s="91"/>
      <c r="AI29" s="92"/>
      <c r="AJ29" s="92"/>
      <c r="AK29" s="92"/>
    </row>
    <row r="30" spans="1:37" ht="16.5" customHeight="1" x14ac:dyDescent="0.25">
      <c r="A30" s="78"/>
      <c r="B30" s="86"/>
      <c r="C30" s="86"/>
      <c r="D30" s="86"/>
      <c r="E30" s="86" t="str">
        <f>Commodities!$AC$13</f>
        <v>TER_TP_SC</v>
      </c>
      <c r="F30" s="133">
        <f>F29</f>
        <v>2035</v>
      </c>
      <c r="G30" s="87"/>
      <c r="H30" s="134" t="str">
        <f>IFERROR(VLOOKUP(IF(LEN($B30)=18,RIGHT($B30,8),RIGHT($B30,10)),'DATA '!$B$5:$J$31,H$4,FALSE),"")</f>
        <v/>
      </c>
      <c r="I30" s="134"/>
      <c r="J30" s="134"/>
      <c r="K30" s="134" t="str">
        <f>IFERROR(VLOOKUP(IF(LEN($B30)=18,RIGHT($B30,8),RIGHT($B30,10)),'DATA '!$B$5:$J$31,K$4,FALSE),"")</f>
        <v/>
      </c>
      <c r="L30" s="134" t="str">
        <f>IFERROR(VLOOKUP(IF(LEN($B30)=18,RIGHT($B30,8),RIGHT($B30,10)),'DATA '!$B$5:$J$31,L$4,FALSE),"")</f>
        <v/>
      </c>
      <c r="M30" s="134" t="str">
        <f>IFERROR(VLOOKUP(IF(LEN($B30)=18,RIGHT($B30,8),RIGHT($B30,10)),'DATA '!$B$5:$J$31,M$4,FALSE),"")</f>
        <v/>
      </c>
      <c r="N30" s="134" t="str">
        <f>IFERROR(VLOOKUP(IF(LEN($B30)=18,RIGHT($B30,8),RIGHT($B30,10)),'DATA '!$B$5:$J$31,N$4,FALSE),"")</f>
        <v/>
      </c>
      <c r="O30" s="134" t="str">
        <f>IFERROR(VLOOKUP(IF(LEN($B30)=18,RIGHT($B30,8),RIGHT($B30,10)),'DATA '!$B$5:$J$31,O$4,FALSE),"")</f>
        <v/>
      </c>
      <c r="P30" s="134" t="str">
        <f>IFERROR(VLOOKUP(IF(LEN($B30)=18,RIGHT($B30,8),RIGHT($B30,10)),'DATA '!$B$5:$J$31,P$4,FALSE),"")</f>
        <v/>
      </c>
      <c r="Q30" s="135" t="str">
        <f>IFERROR(VLOOKUP(IF(LEN($B30)=18,RIGHT($B30,8),RIGHT($B30,10)),'DATA '!$B$5:$K$31,Q$4,FALSE),"")</f>
        <v/>
      </c>
      <c r="R30" s="134"/>
      <c r="U30" s="91"/>
      <c r="V30" s="91"/>
      <c r="W30" s="91" t="str">
        <f>Commodities!$AC$9&amp;"_"&amp;RIGHT(Commodities!$D$158,3)&amp;"_"&amp;$W$3&amp;"_ST02"</f>
        <v>TER_TP_SH_DSL_N_ST02</v>
      </c>
      <c r="X30" s="91" t="s">
        <v>1040</v>
      </c>
      <c r="Y30" s="92" t="str">
        <f>General!$B$2</f>
        <v>PJ</v>
      </c>
      <c r="Z30" s="92" t="str">
        <f>General!$B$5</f>
        <v>GW</v>
      </c>
      <c r="AA30" s="92" t="s">
        <v>44</v>
      </c>
      <c r="AB30" s="92"/>
      <c r="AC30" s="91"/>
      <c r="AE30" s="78"/>
      <c r="AG30" s="91"/>
      <c r="AH30" s="91"/>
      <c r="AI30" s="92"/>
      <c r="AJ30" s="92"/>
      <c r="AK30" s="92"/>
    </row>
    <row r="31" spans="1:37" ht="16.5" customHeight="1" x14ac:dyDescent="0.25">
      <c r="A31" s="78"/>
      <c r="B31" s="89" t="str">
        <f>W25</f>
        <v>TER_TP_SH_GEO_N_ST01</v>
      </c>
      <c r="C31" s="89" t="str">
        <f>X25</f>
        <v>Private (Commercial) SpHeat GSHP Standard (N)</v>
      </c>
      <c r="D31" s="89" t="str">
        <f>Commodities!$D$340</f>
        <v>TERELC</v>
      </c>
      <c r="E31" s="89" t="str">
        <f>Commodities!$AC$9</f>
        <v>TER_TP_SH</v>
      </c>
      <c r="F31" s="136">
        <f t="shared" si="1"/>
        <v>2018</v>
      </c>
      <c r="G31" s="92">
        <f>BASE_YEAR+1</f>
        <v>2018</v>
      </c>
      <c r="H31" s="131">
        <f>IFERROR(VLOOKUP(IF(LEN($B31)=18,RIGHT($B31,8),RIGHT($B31,10)),'DATA '!$B$5:$J$31,H$4,FALSE),"")</f>
        <v>4.5999999999999996</v>
      </c>
      <c r="I31" s="131"/>
      <c r="J31" s="131"/>
      <c r="K31" s="131" t="str">
        <f>IFERROR(VLOOKUP(IF(LEN($B31)=18,RIGHT($B31,8),RIGHT($B31,10)),'DATA '!$B$5:$J$31,K$4,FALSE),"")</f>
        <v/>
      </c>
      <c r="L31" s="131" t="str">
        <f>IFERROR(VLOOKUP(IF(LEN($B31)=18,RIGHT($B31,8),RIGHT($B31,10)),'DATA '!$B$5:$J$31,L$4,FALSE),"")</f>
        <v/>
      </c>
      <c r="M31" s="131" t="str">
        <f>IFERROR(VLOOKUP(IF(LEN($B31)=18,RIGHT($B31,8),RIGHT($B31,10)),'DATA '!$B$5:$J$31,M$4,FALSE),"")</f>
        <v/>
      </c>
      <c r="N31" s="131">
        <f>IFERROR(VLOOKUP(IF(LEN($B31)=18,RIGHT($B31,8),RIGHT($B31,10)),'DATA '!$B$5:$J$31,N$4,FALSE),"")</f>
        <v>954.69367588932812</v>
      </c>
      <c r="O31" s="131">
        <f>IFERROR(VLOOKUP(IF(LEN($B31)=18,RIGHT($B31,8),RIGHT($B31,10)),'DATA '!$B$5:$J$31,O$4,FALSE),"")</f>
        <v>1.8983807928531549</v>
      </c>
      <c r="P31" s="131">
        <f>IFERROR(VLOOKUP(IF(LEN($B31)=18,RIGHT($B31,8),RIGHT($B31,10)),'DATA '!$B$5:$J$31,P$4,FALSE),"")</f>
        <v>0</v>
      </c>
      <c r="Q31" s="132">
        <f>IFERROR(VLOOKUP(IF(LEN($B31)=18,RIGHT($B31,8),RIGHT($B31,10)),'DATA '!$B$5:$K$31,Q$4,FALSE),"")</f>
        <v>15</v>
      </c>
      <c r="R31" s="131">
        <v>31.536000000000001</v>
      </c>
      <c r="U31" s="91"/>
      <c r="V31" s="91"/>
      <c r="W31" s="91" t="str">
        <f>Commodities!$AC$9&amp;"_"&amp;RIGHT(Commodities!$D$158,3)&amp;"_"&amp;$W$3&amp;"_IM01"</f>
        <v>TER_TP_SH_DSL_N_IM01</v>
      </c>
      <c r="X31" s="91" t="s">
        <v>1041</v>
      </c>
      <c r="Y31" s="92" t="str">
        <f>General!$B$2</f>
        <v>PJ</v>
      </c>
      <c r="Z31" s="92" t="str">
        <f>General!$B$5</f>
        <v>GW</v>
      </c>
      <c r="AA31" s="92" t="s">
        <v>44</v>
      </c>
      <c r="AB31" s="92"/>
      <c r="AC31" s="91"/>
      <c r="AE31" s="78"/>
      <c r="AG31" s="91"/>
      <c r="AH31" s="91"/>
      <c r="AI31" s="92"/>
      <c r="AJ31" s="92"/>
      <c r="AK31" s="92"/>
    </row>
    <row r="32" spans="1:37" ht="16.5" customHeight="1" x14ac:dyDescent="0.25">
      <c r="A32" s="78"/>
      <c r="B32" s="86"/>
      <c r="C32" s="86"/>
      <c r="D32" s="86" t="str">
        <f>Commodities!$D$213</f>
        <v>TERRESGEO</v>
      </c>
      <c r="E32" s="86"/>
      <c r="F32" s="133">
        <f>F31</f>
        <v>2018</v>
      </c>
      <c r="G32" s="87"/>
      <c r="H32" s="134" t="str">
        <f>IFERROR(VLOOKUP(IF(LEN($B32)=18,RIGHT($B32,8),RIGHT($B32,10)),'DATA '!$B$5:$J$31,H$4,FALSE),"")</f>
        <v/>
      </c>
      <c r="I32" s="134"/>
      <c r="J32" s="134"/>
      <c r="K32" s="134" t="str">
        <f>IFERROR(VLOOKUP(IF(LEN($B32)=18,RIGHT($B32,8),RIGHT($B32,10)),'DATA '!$B$5:$J$31,K$4,FALSE),"")</f>
        <v/>
      </c>
      <c r="L32" s="134">
        <v>0.2</v>
      </c>
      <c r="M32" s="134" t="str">
        <f>IFERROR(VLOOKUP(IF(LEN($B32)=18,RIGHT($B32,8),RIGHT($B32,10)),'DATA '!$B$5:$J$31,M$4,FALSE),"")</f>
        <v/>
      </c>
      <c r="N32" s="134" t="str">
        <f>IFERROR(VLOOKUP(IF(LEN($B32)=18,RIGHT($B32,8),RIGHT($B32,10)),'DATA '!$B$5:$J$31,N$4,FALSE),"")</f>
        <v/>
      </c>
      <c r="O32" s="134" t="str">
        <f>IFERROR(VLOOKUP(IF(LEN($B32)=18,RIGHT($B32,8),RIGHT($B32,10)),'DATA '!$B$5:$J$31,O$4,FALSE),"")</f>
        <v/>
      </c>
      <c r="P32" s="134" t="str">
        <f>IFERROR(VLOOKUP(IF(LEN($B32)=18,RIGHT($B32,8),RIGHT($B32,10)),'DATA '!$B$5:$J$31,P$4,FALSE),"")</f>
        <v/>
      </c>
      <c r="Q32" s="135" t="str">
        <f>IFERROR(VLOOKUP(IF(LEN($B32)=18,RIGHT($B32,8),RIGHT($B32,10)),'DATA '!$B$5:$K$31,Q$4,FALSE),"")</f>
        <v/>
      </c>
      <c r="R32" s="134"/>
      <c r="U32" s="86"/>
      <c r="V32" s="86"/>
      <c r="W32" s="91" t="str">
        <f>Commodities!$AC$9&amp;"_"&amp;RIGHT(Commodities!$D$158,3)&amp;"_"&amp;$W$3&amp;"_IM02"</f>
        <v>TER_TP_SH_DSL_N_IM02</v>
      </c>
      <c r="X32" s="86" t="s">
        <v>1042</v>
      </c>
      <c r="Y32" s="87" t="str">
        <f>General!$B$2</f>
        <v>PJ</v>
      </c>
      <c r="Z32" s="87" t="str">
        <f>General!$B$5</f>
        <v>GW</v>
      </c>
      <c r="AA32" s="87" t="s">
        <v>44</v>
      </c>
      <c r="AB32" s="87"/>
      <c r="AC32" s="86"/>
      <c r="AE32" s="78"/>
      <c r="AG32" s="91"/>
      <c r="AH32" s="91"/>
      <c r="AI32" s="92"/>
      <c r="AJ32" s="92"/>
      <c r="AK32" s="92"/>
    </row>
    <row r="33" spans="1:31" ht="16.5" customHeight="1" x14ac:dyDescent="0.25">
      <c r="A33" s="78"/>
      <c r="B33" s="89" t="str">
        <f>W26</f>
        <v>TER_TP_SH_GEO_N_ST02</v>
      </c>
      <c r="C33" s="89" t="str">
        <f>X26</f>
        <v>Private (Commercial) SpHeat &amp; SpCooling GSHP Standard (N)</v>
      </c>
      <c r="D33" s="89" t="str">
        <f>Commodities!$D$340</f>
        <v>TERELC</v>
      </c>
      <c r="E33" s="89" t="str">
        <f>Commodities!$AC$9</f>
        <v>TER_TP_SH</v>
      </c>
      <c r="F33" s="136">
        <f t="shared" ref="F33" si="6">G33</f>
        <v>2018</v>
      </c>
      <c r="G33" s="92">
        <f>BASE_YEAR+1</f>
        <v>2018</v>
      </c>
      <c r="H33" s="131">
        <f>IFERROR(VLOOKUP(IF(LEN($B33)=18,RIGHT($B33,8),RIGHT($B33,10)),'DATA '!$B$5:$J$31,H$4,FALSE),"")</f>
        <v>4.5999999999999996</v>
      </c>
      <c r="I33" s="131"/>
      <c r="J33" s="131"/>
      <c r="K33" s="131" t="str">
        <f>IFERROR(VLOOKUP(IF(LEN($B33)=18,RIGHT($B33,8),RIGHT($B33,10)),'DATA '!$B$5:$J$31,K$4,FALSE),"")</f>
        <v/>
      </c>
      <c r="L33" s="131" t="str">
        <f>IFERROR(VLOOKUP(IF(LEN($B33)=18,RIGHT($B33,8),RIGHT($B33,10)),'DATA '!$B$5:$J$31,L$4,FALSE),"")</f>
        <v/>
      </c>
      <c r="M33" s="131" t="str">
        <f>IFERROR(VLOOKUP(IF(LEN($B33)=18,RIGHT($B33,8),RIGHT($B33,10)),'DATA '!$B$5:$J$31,M$4,FALSE),"")</f>
        <v/>
      </c>
      <c r="N33" s="131">
        <f>IFERROR(VLOOKUP(IF(LEN($B33)=18,RIGHT($B33,8),RIGHT($B33,10)),'DATA '!$B$5:$J$31,N$4,FALSE),"")</f>
        <v>1272.924901185771</v>
      </c>
      <c r="O33" s="131">
        <f>IFERROR(VLOOKUP(IF(LEN($B33)=18,RIGHT($B33,8),RIGHT($B33,10)),'DATA '!$B$5:$J$31,O$4,FALSE),"")</f>
        <v>1.8983807928531549</v>
      </c>
      <c r="P33" s="131">
        <f>IFERROR(VLOOKUP(IF(LEN($B33)=18,RIGHT($B33,8),RIGHT($B33,10)),'DATA '!$B$5:$J$31,P$4,FALSE),"")</f>
        <v>0</v>
      </c>
      <c r="Q33" s="132">
        <f>IFERROR(VLOOKUP(IF(LEN($B33)=18,RIGHT($B33,8),RIGHT($B33,10)),'DATA '!$B$5:$K$31,Q$4,FALSE),"")</f>
        <v>15</v>
      </c>
      <c r="R33" s="131">
        <v>31.536000000000001</v>
      </c>
      <c r="U33" s="91"/>
      <c r="V33" s="91"/>
      <c r="W33" s="89" t="str">
        <f>Commodities!$AC$10&amp;"_"&amp;RIGHT(Commodities!$D$156,3)&amp;"_"&amp;$W$3&amp;"_ST"</f>
        <v>TER_TS_SH_BKB_N_ST</v>
      </c>
      <c r="X33" s="91" t="s">
        <v>1043</v>
      </c>
      <c r="Y33" s="92" t="str">
        <f>General!$B$2</f>
        <v>PJ</v>
      </c>
      <c r="Z33" s="92" t="str">
        <f>General!$B$5</f>
        <v>GW</v>
      </c>
      <c r="AA33" s="92" t="s">
        <v>44</v>
      </c>
      <c r="AB33" s="92"/>
      <c r="AC33" s="91"/>
      <c r="AE33" s="78"/>
    </row>
    <row r="34" spans="1:31" ht="16.5" customHeight="1" x14ac:dyDescent="0.25">
      <c r="A34" s="78"/>
      <c r="B34" s="86"/>
      <c r="C34" s="86"/>
      <c r="D34" s="86" t="str">
        <f>Commodities!$D$213</f>
        <v>TERRESGEO</v>
      </c>
      <c r="E34" s="86" t="str">
        <f>Commodities!$AC$13</f>
        <v>TER_TP_SC</v>
      </c>
      <c r="F34" s="133">
        <f>F33</f>
        <v>2018</v>
      </c>
      <c r="G34" s="87"/>
      <c r="H34" s="134" t="str">
        <f>IFERROR(VLOOKUP(IF(LEN($B34)=18,RIGHT($B34,8),RIGHT($B34,10)),'DATA '!$B$5:$J$31,H$4,FALSE),"")</f>
        <v/>
      </c>
      <c r="I34" s="134"/>
      <c r="J34" s="134"/>
      <c r="K34" s="134" t="str">
        <f>IFERROR(VLOOKUP(IF(LEN($B34)=18,RIGHT($B34,8),RIGHT($B34,10)),'DATA '!$B$5:$J$31,K$4,FALSE),"")</f>
        <v/>
      </c>
      <c r="L34" s="134">
        <v>0.2</v>
      </c>
      <c r="M34" s="134" t="str">
        <f>IFERROR(VLOOKUP(IF(LEN($B34)=18,RIGHT($B34,8),RIGHT($B34,10)),'DATA '!$B$5:$J$31,M$4,FALSE),"")</f>
        <v/>
      </c>
      <c r="N34" s="134" t="str">
        <f>IFERROR(VLOOKUP(IF(LEN($B34)=18,RIGHT($B34,8),RIGHT($B34,10)),'DATA '!$B$5:$J$31,N$4,FALSE),"")</f>
        <v/>
      </c>
      <c r="O34" s="134" t="str">
        <f>IFERROR(VLOOKUP(IF(LEN($B34)=18,RIGHT($B34,8),RIGHT($B34,10)),'DATA '!$B$5:$J$31,O$4,FALSE),"")</f>
        <v/>
      </c>
      <c r="P34" s="134" t="str">
        <f>IFERROR(VLOOKUP(IF(LEN($B34)=18,RIGHT($B34,8),RIGHT($B34,10)),'DATA '!$B$5:$J$31,P$4,FALSE),"")</f>
        <v/>
      </c>
      <c r="Q34" s="135" t="str">
        <f>IFERROR(VLOOKUP(IF(LEN($B34)=18,RIGHT($B34,8),RIGHT($B34,10)),'DATA '!$B$5:$K$31,Q$4,FALSE),"")</f>
        <v/>
      </c>
      <c r="R34" s="134"/>
      <c r="U34" s="91"/>
      <c r="V34" s="91"/>
      <c r="W34" s="91" t="str">
        <f>Commodities!$AC$10&amp;"_"&amp;RIGHT(Commodities!$D$166,3)&amp;"_"&amp;$W$3&amp;"_ST01"</f>
        <v>TER_TS_SH_LOG_N_ST01</v>
      </c>
      <c r="X34" s="91" t="s">
        <v>1044</v>
      </c>
      <c r="Y34" s="92" t="str">
        <f>General!$B$2</f>
        <v>PJ</v>
      </c>
      <c r="Z34" s="92" t="str">
        <f>General!$B$5</f>
        <v>GW</v>
      </c>
      <c r="AA34" s="92" t="s">
        <v>44</v>
      </c>
      <c r="AB34" s="92"/>
      <c r="AC34" s="91"/>
      <c r="AE34" s="78"/>
    </row>
    <row r="35" spans="1:31" ht="16.5" customHeight="1" x14ac:dyDescent="0.25">
      <c r="A35" s="78"/>
      <c r="B35" s="89" t="str">
        <f>W27</f>
        <v>TER_TP_SH_GEO_N_IM01</v>
      </c>
      <c r="C35" s="89" t="str">
        <f t="shared" ref="C35" si="7">X27</f>
        <v>Private (Commercial) SpHeat GSHP Improved (N)</v>
      </c>
      <c r="D35" s="89" t="str">
        <f>Commodities!$D$340</f>
        <v>TERELC</v>
      </c>
      <c r="E35" s="89" t="str">
        <f>Commodities!$AC$9</f>
        <v>TER_TP_SH</v>
      </c>
      <c r="F35" s="136">
        <f t="shared" si="1"/>
        <v>2020</v>
      </c>
      <c r="G35" s="90">
        <f>BASE_YEAR+3</f>
        <v>2020</v>
      </c>
      <c r="H35" s="131">
        <f>IFERROR(VLOOKUP(IF(LEN($B35)=18,RIGHT($B35,8),RIGHT($B35,10)),'DATA '!$B$5:$J$31,H$4,FALSE),"")</f>
        <v>4.83</v>
      </c>
      <c r="I35" s="131"/>
      <c r="J35" s="131"/>
      <c r="K35" s="131" t="str">
        <f>IFERROR(VLOOKUP(IF(LEN($B35)=18,RIGHT($B35,8),RIGHT($B35,10)),'DATA '!$B$5:$J$31,K$4,FALSE),"")</f>
        <v/>
      </c>
      <c r="L35" s="131" t="str">
        <f>IFERROR(VLOOKUP(IF(LEN($B35)=18,RIGHT($B35,8),RIGHT($B35,10)),'DATA '!$B$5:$J$31,L$4,FALSE),"")</f>
        <v/>
      </c>
      <c r="M35" s="131" t="str">
        <f>IFERROR(VLOOKUP(IF(LEN($B35)=18,RIGHT($B35,8),RIGHT($B35,10)),'DATA '!$B$5:$J$31,M$4,FALSE),"")</f>
        <v/>
      </c>
      <c r="N35" s="131">
        <f>IFERROR(VLOOKUP(IF(LEN($B35)=18,RIGHT($B35,8),RIGHT($B35,10)),'DATA '!$B$5:$J$31,N$4,FALSE),"")</f>
        <v>1021.5222332015812</v>
      </c>
      <c r="O35" s="131">
        <f>IFERROR(VLOOKUP(IF(LEN($B35)=18,RIGHT($B35,8),RIGHT($B35,10)),'DATA '!$B$5:$J$31,O$4,FALSE),"")</f>
        <v>1.7654941373534339</v>
      </c>
      <c r="P35" s="131">
        <f>IFERROR(VLOOKUP(IF(LEN($B35)=18,RIGHT($B35,8),RIGHT($B35,10)),'DATA '!$B$5:$J$31,P$4,FALSE),"")</f>
        <v>0</v>
      </c>
      <c r="Q35" s="132">
        <f>IFERROR(VLOOKUP(IF(LEN($B35)=18,RIGHT($B35,8),RIGHT($B35,10)),'DATA '!$B$5:$K$31,Q$4,FALSE),"")</f>
        <v>15</v>
      </c>
      <c r="R35" s="131">
        <v>31.536000000000001</v>
      </c>
      <c r="U35" s="91"/>
      <c r="V35" s="91"/>
      <c r="W35" s="91" t="str">
        <f>Commodities!$AC$10&amp;"_"&amp;RIGHT(Commodities!$D$176,3)&amp;"_"&amp;$W$3&amp;"_ST01"</f>
        <v>TER_TS_SH_PLT_N_ST01</v>
      </c>
      <c r="X35" s="91" t="s">
        <v>1045</v>
      </c>
      <c r="Y35" s="92" t="str">
        <f>General!$B$2</f>
        <v>PJ</v>
      </c>
      <c r="Z35" s="92" t="str">
        <f>General!$B$5</f>
        <v>GW</v>
      </c>
      <c r="AA35" s="92" t="s">
        <v>44</v>
      </c>
      <c r="AB35" s="92"/>
      <c r="AC35" s="91"/>
      <c r="AE35" s="78"/>
    </row>
    <row r="36" spans="1:31" ht="16.5" customHeight="1" x14ac:dyDescent="0.25">
      <c r="A36" s="78"/>
      <c r="B36" s="86"/>
      <c r="C36" s="86"/>
      <c r="D36" s="86" t="str">
        <f>Commodities!$D$213</f>
        <v>TERRESGEO</v>
      </c>
      <c r="E36" s="86"/>
      <c r="F36" s="133">
        <f>F35</f>
        <v>2020</v>
      </c>
      <c r="G36" s="87"/>
      <c r="H36" s="134" t="str">
        <f>IFERROR(VLOOKUP(IF(LEN($B36)=18,RIGHT($B36,8),RIGHT($B36,10)),'DATA '!$B$5:$J$31,H$4,FALSE),"")</f>
        <v/>
      </c>
      <c r="I36" s="134"/>
      <c r="J36" s="134" t="str">
        <f>IFERROR(VLOOKUP(IF(LEN($B36)=18,RIGHT($B36,8),RIGHT($B36,10)),'DATA '!$B$5:$J$31,J$4,FALSE),"")</f>
        <v/>
      </c>
      <c r="K36" s="134" t="str">
        <f>IFERROR(VLOOKUP(IF(LEN($B36)=18,RIGHT($B36,8),RIGHT($B36,10)),'DATA '!$B$5:$J$31,K$4,FALSE),"")</f>
        <v/>
      </c>
      <c r="L36" s="134">
        <v>0.2</v>
      </c>
      <c r="M36" s="134" t="str">
        <f>IFERROR(VLOOKUP(IF(LEN($B36)=18,RIGHT($B36,8),RIGHT($B36,10)),'DATA '!$B$5:$J$31,M$4,FALSE),"")</f>
        <v/>
      </c>
      <c r="N36" s="134" t="str">
        <f>IFERROR(VLOOKUP(IF(LEN($B36)=18,RIGHT($B36,8),RIGHT($B36,10)),'DATA '!$B$5:$J$31,N$4,FALSE),"")</f>
        <v/>
      </c>
      <c r="O36" s="134" t="str">
        <f>IFERROR(VLOOKUP(IF(LEN($B36)=18,RIGHT($B36,8),RIGHT($B36,10)),'DATA '!$B$5:$J$31,O$4,FALSE),"")</f>
        <v/>
      </c>
      <c r="P36" s="134" t="str">
        <f>IFERROR(VLOOKUP(IF(LEN($B36)=18,RIGHT($B36,8),RIGHT($B36,10)),'DATA '!$B$5:$J$31,P$4,FALSE),"")</f>
        <v/>
      </c>
      <c r="Q36" s="135" t="str">
        <f>IFERROR(VLOOKUP(IF(LEN($B36)=18,RIGHT($B36,8),RIGHT($B36,10)),'DATA '!$B$5:$K$31,Q$4,FALSE),"")</f>
        <v/>
      </c>
      <c r="R36" s="134"/>
      <c r="U36" s="91"/>
      <c r="V36" s="91"/>
      <c r="W36" s="91" t="str">
        <f>Commodities!$AC$10&amp;"_"&amp;RIGHT(Commodities!$D$176,3)&amp;"_"&amp;$W$3&amp;"_IM01"</f>
        <v>TER_TS_SH_PLT_N_IM01</v>
      </c>
      <c r="X36" s="91" t="s">
        <v>1046</v>
      </c>
      <c r="Y36" s="92" t="str">
        <f>General!$B$2</f>
        <v>PJ</v>
      </c>
      <c r="Z36" s="92" t="str">
        <f>General!$B$5</f>
        <v>GW</v>
      </c>
      <c r="AA36" s="92" t="s">
        <v>44</v>
      </c>
      <c r="AB36" s="92"/>
      <c r="AC36" s="91"/>
      <c r="AE36" s="78"/>
    </row>
    <row r="37" spans="1:31" ht="16.5" customHeight="1" x14ac:dyDescent="0.25">
      <c r="A37" s="78"/>
      <c r="B37" s="89" t="str">
        <f>W28</f>
        <v>TER_TP_SH_GEO_N_IM02</v>
      </c>
      <c r="C37" s="89" t="str">
        <f>X28</f>
        <v>Private (Commercial) SpHeat &amp; SpCooling GSHP Improved (N)</v>
      </c>
      <c r="D37" s="89" t="str">
        <f>Commodities!$D$340</f>
        <v>TERELC</v>
      </c>
      <c r="E37" s="89" t="str">
        <f>Commodities!$AC$9</f>
        <v>TER_TP_SH</v>
      </c>
      <c r="F37" s="136">
        <f t="shared" ref="F37" si="8">G37</f>
        <v>2020</v>
      </c>
      <c r="G37" s="90">
        <f>BASE_YEAR+3</f>
        <v>2020</v>
      </c>
      <c r="H37" s="131">
        <f>IFERROR(VLOOKUP(IF(LEN($B37)=18,RIGHT($B37,8),RIGHT($B37,10)),'DATA '!$B$5:$J$31,H$4,FALSE),"")</f>
        <v>4.83</v>
      </c>
      <c r="I37" s="131"/>
      <c r="J37" s="131"/>
      <c r="K37" s="131" t="str">
        <f>IFERROR(VLOOKUP(IF(LEN($B37)=18,RIGHT($B37,8),RIGHT($B37,10)),'DATA '!$B$5:$J$31,K$4,FALSE),"")</f>
        <v/>
      </c>
      <c r="L37" s="131" t="str">
        <f>IFERROR(VLOOKUP(IF(LEN($B37)=18,RIGHT($B37,8),RIGHT($B37,10)),'DATA '!$B$5:$J$31,L$4,FALSE),"")</f>
        <v/>
      </c>
      <c r="M37" s="131" t="str">
        <f>IFERROR(VLOOKUP(IF(LEN($B37)=18,RIGHT($B37,8),RIGHT($B37,10)),'DATA '!$B$5:$J$31,M$4,FALSE),"")</f>
        <v/>
      </c>
      <c r="N37" s="131">
        <f>IFERROR(VLOOKUP(IF(LEN($B37)=18,RIGHT($B37,8),RIGHT($B37,10)),'DATA '!$B$5:$J$31,N$4,FALSE),"")</f>
        <v>1362.029644268775</v>
      </c>
      <c r="O37" s="131">
        <f>IFERROR(VLOOKUP(IF(LEN($B37)=18,RIGHT($B37,8),RIGHT($B37,10)),'DATA '!$B$5:$J$31,O$4,FALSE),"")</f>
        <v>1.6419095477386934</v>
      </c>
      <c r="P37" s="131">
        <f>IFERROR(VLOOKUP(IF(LEN($B37)=18,RIGHT($B37,8),RIGHT($B37,10)),'DATA '!$B$5:$J$31,P$4,FALSE),"")</f>
        <v>0</v>
      </c>
      <c r="Q37" s="132">
        <f>IFERROR(VLOOKUP(IF(LEN($B37)=18,RIGHT($B37,8),RIGHT($B37,10)),'DATA '!$B$5:$K$31,Q$4,FALSE),"")</f>
        <v>15</v>
      </c>
      <c r="R37" s="131">
        <v>31.536000000000001</v>
      </c>
      <c r="U37" s="91"/>
      <c r="V37" s="91"/>
      <c r="W37" s="91" t="str">
        <f>Commodities!$AC$10&amp;"_"&amp;LEFT(RIGHT(Commodities!$D$165,6),3)&amp;"_"&amp;$W$3&amp;"_ST01"</f>
        <v>TER_TS_SH_GAS_N_ST01</v>
      </c>
      <c r="X37" s="91" t="s">
        <v>1047</v>
      </c>
      <c r="Y37" s="92" t="str">
        <f>General!$B$2</f>
        <v>PJ</v>
      </c>
      <c r="Z37" s="92" t="str">
        <f>General!$B$5</f>
        <v>GW</v>
      </c>
      <c r="AA37" s="92" t="s">
        <v>44</v>
      </c>
      <c r="AB37" s="92"/>
      <c r="AC37" s="91"/>
      <c r="AE37" s="78"/>
    </row>
    <row r="38" spans="1:31" ht="16.5" customHeight="1" x14ac:dyDescent="0.25">
      <c r="A38" s="78"/>
      <c r="B38" s="86"/>
      <c r="C38" s="86"/>
      <c r="D38" s="86" t="str">
        <f>Commodities!$D$213</f>
        <v>TERRESGEO</v>
      </c>
      <c r="E38" s="86" t="str">
        <f>Commodities!$AC$13</f>
        <v>TER_TP_SC</v>
      </c>
      <c r="F38" s="133">
        <f>F37</f>
        <v>2020</v>
      </c>
      <c r="G38" s="87"/>
      <c r="H38" s="134" t="str">
        <f>IFERROR(VLOOKUP(IF(LEN($B38)=18,RIGHT($B38,8),RIGHT($B38,10)),'DATA '!$B$5:$J$31,H$4,FALSE),"")</f>
        <v/>
      </c>
      <c r="I38" s="134"/>
      <c r="J38" s="134"/>
      <c r="K38" s="134" t="str">
        <f>IFERROR(VLOOKUP(IF(LEN($B38)=18,RIGHT($B38,8),RIGHT($B38,10)),'DATA '!$B$5:$J$31,K$4,FALSE),"")</f>
        <v/>
      </c>
      <c r="L38" s="134">
        <v>0.2</v>
      </c>
      <c r="M38" s="134" t="str">
        <f>IFERROR(VLOOKUP(IF(LEN($B38)=18,RIGHT($B38,8),RIGHT($B38,10)),'DATA '!$B$5:$J$31,M$4,FALSE),"")</f>
        <v/>
      </c>
      <c r="N38" s="134" t="str">
        <f>IFERROR(VLOOKUP(IF(LEN($B38)=18,RIGHT($B38,8),RIGHT($B38,10)),'DATA '!$B$5:$J$31,N$4,FALSE),"")</f>
        <v/>
      </c>
      <c r="O38" s="134" t="str">
        <f>IFERROR(VLOOKUP(IF(LEN($B38)=18,RIGHT($B38,8),RIGHT($B38,10)),'DATA '!$B$5:$J$31,O$4,FALSE),"")</f>
        <v/>
      </c>
      <c r="P38" s="134" t="str">
        <f>IFERROR(VLOOKUP(IF(LEN($B38)=18,RIGHT($B38,8),RIGHT($B38,10)),'DATA '!$B$5:$J$31,P$4,FALSE),"")</f>
        <v/>
      </c>
      <c r="Q38" s="135" t="str">
        <f>IFERROR(VLOOKUP(IF(LEN($B38)=18,RIGHT($B38,8),RIGHT($B38,10)),'DATA '!$B$5:$K$31,Q$4,FALSE),"")</f>
        <v/>
      </c>
      <c r="R38" s="134"/>
      <c r="U38" s="91"/>
      <c r="V38" s="91"/>
      <c r="W38" s="91" t="str">
        <f>Commodities!$AC$10&amp;"_"&amp;LEFT(RIGHT(Commodities!$D$165,6),3)&amp;"_"&amp;$W$3&amp;"_ST02"</f>
        <v>TER_TS_SH_GAS_N_ST02</v>
      </c>
      <c r="X38" s="91" t="s">
        <v>1048</v>
      </c>
      <c r="Y38" s="92" t="str">
        <f>General!$B$2</f>
        <v>PJ</v>
      </c>
      <c r="Z38" s="92" t="str">
        <f>General!$B$5</f>
        <v>GW</v>
      </c>
      <c r="AA38" s="92" t="s">
        <v>44</v>
      </c>
      <c r="AB38" s="92"/>
      <c r="AC38" s="91"/>
      <c r="AE38" s="78"/>
    </row>
    <row r="39" spans="1:31" ht="16.5" customHeight="1" x14ac:dyDescent="0.25">
      <c r="A39" s="78"/>
      <c r="B39" s="86" t="str">
        <f t="shared" ref="B39" si="9">W29</f>
        <v>TER_TP_SH_DSL_N_ST01</v>
      </c>
      <c r="C39" s="86" t="str">
        <f>X29</f>
        <v>Private (Commercial) SpHeat Diesel (Oil) Boiler Standard (N)</v>
      </c>
      <c r="D39" s="86" t="str">
        <f>Commodities!$D$190</f>
        <v>TEROILDSL</v>
      </c>
      <c r="E39" s="86" t="str">
        <f>Commodities!$AC$9</f>
        <v>TER_TP_SH</v>
      </c>
      <c r="F39" s="133">
        <f t="shared" si="1"/>
        <v>2018</v>
      </c>
      <c r="G39" s="87">
        <f>BASE_YEAR+1</f>
        <v>2018</v>
      </c>
      <c r="H39" s="134">
        <f>IFERROR(VLOOKUP(IF(LEN($B39)=18,RIGHT($B39,8),RIGHT($B39,10)),'DATA '!$B$5:$J$31,H$4,FALSE),"")</f>
        <v>0.85</v>
      </c>
      <c r="I39" s="134"/>
      <c r="J39" s="134"/>
      <c r="K39" s="134" t="str">
        <f>IFERROR(VLOOKUP(IF(LEN($B39)=18,RIGHT($B39,8),RIGHT($B39,10)),'DATA '!$B$5:$J$31,K$4,FALSE),"")</f>
        <v/>
      </c>
      <c r="L39" s="134" t="str">
        <f>IFERROR(VLOOKUP(IF(LEN($B39)=18,RIGHT($B39,8),RIGHT($B39,10)),'DATA '!$B$5:$J$31,L$4,FALSE),"")</f>
        <v/>
      </c>
      <c r="M39" s="134" t="str">
        <f>IFERROR(VLOOKUP(IF(LEN($B39)=18,RIGHT($B39,8),RIGHT($B39,10)),'DATA '!$B$5:$J$31,M$4,FALSE),"")</f>
        <v/>
      </c>
      <c r="N39" s="134">
        <f>IFERROR(VLOOKUP(IF(LEN($B39)=18,RIGHT($B39,8),RIGHT($B39,10)),'DATA '!$B$5:$J$31,N$4,FALSE),"")</f>
        <v>154.69948671497588</v>
      </c>
      <c r="O39" s="134">
        <f>IFERROR(VLOOKUP(IF(LEN($B39)=18,RIGHT($B39,8),RIGHT($B39,10)),'DATA '!$B$5:$J$31,O$4,FALSE),"")</f>
        <v>3.4771140083457657</v>
      </c>
      <c r="P39" s="134">
        <f>IFERROR(VLOOKUP(IF(LEN($B39)=18,RIGHT($B39,8),RIGHT($B39,10)),'DATA '!$B$5:$J$31,P$4,FALSE),"")</f>
        <v>0</v>
      </c>
      <c r="Q39" s="135">
        <f>IFERROR(VLOOKUP(IF(LEN($B39)=18,RIGHT($B39,8),RIGHT($B39,10)),'DATA '!$B$5:$K$31,Q$4,FALSE),"")</f>
        <v>20</v>
      </c>
      <c r="R39" s="134">
        <v>31.536000000000001</v>
      </c>
      <c r="U39" s="91"/>
      <c r="V39" s="91"/>
      <c r="W39" s="91" t="str">
        <f>Commodities!$AC$10&amp;"_"&amp;LEFT(RIGHT(Commodities!$D$165,6),3)&amp;"_"&amp;$W$3&amp;"_AD01"</f>
        <v>TER_TS_SH_GAS_N_AD01</v>
      </c>
      <c r="X39" s="91" t="s">
        <v>1049</v>
      </c>
      <c r="Y39" s="92" t="str">
        <f>General!$B$2</f>
        <v>PJ</v>
      </c>
      <c r="Z39" s="92" t="str">
        <f>General!$B$5</f>
        <v>GW</v>
      </c>
      <c r="AA39" s="92" t="s">
        <v>44</v>
      </c>
      <c r="AB39" s="92"/>
      <c r="AC39" s="91"/>
      <c r="AE39" s="78"/>
    </row>
    <row r="40" spans="1:31" ht="16.5" customHeight="1" x14ac:dyDescent="0.25">
      <c r="A40" s="78"/>
      <c r="B40" s="89" t="str">
        <f t="shared" ref="B40:C40" si="10">W30</f>
        <v>TER_TP_SH_DSL_N_ST02</v>
      </c>
      <c r="C40" s="89" t="str">
        <f t="shared" si="10"/>
        <v>Private (Commercial) SpHeat Combi Diesel (Oil) Boiler Standard (N)</v>
      </c>
      <c r="D40" s="89" t="str">
        <f>Commodities!$D$190</f>
        <v>TEROILDSL</v>
      </c>
      <c r="E40" s="89" t="str">
        <f>Commodities!$AC$9</f>
        <v>TER_TP_SH</v>
      </c>
      <c r="F40" s="136">
        <f t="shared" ref="F40" si="11">G40</f>
        <v>2018</v>
      </c>
      <c r="G40" s="92">
        <f>BASE_YEAR+1</f>
        <v>2018</v>
      </c>
      <c r="H40" s="131">
        <f>IFERROR(VLOOKUP(IF(LEN($B40)=18,RIGHT($B40,8),RIGHT($B40,10)),'DATA '!$B$5:$J$31,H$4,FALSE),"")</f>
        <v>0.85</v>
      </c>
      <c r="I40" s="131"/>
      <c r="J40" s="131"/>
      <c r="K40" s="131" t="str">
        <f>IFERROR(VLOOKUP(IF(LEN($B40)=18,RIGHT($B40,8),RIGHT($B40,10)),'DATA '!$B$5:$J$31,K$4,FALSE),"")</f>
        <v/>
      </c>
      <c r="L40" s="131" t="str">
        <f>IFERROR(VLOOKUP(IF(LEN($B40)=18,RIGHT($B40,8),RIGHT($B40,10)),'DATA '!$B$5:$J$31,L$4,FALSE),"")</f>
        <v/>
      </c>
      <c r="M40" s="131" t="str">
        <f>IFERROR(VLOOKUP(IF(LEN($B40)=18,RIGHT($B40,8),RIGHT($B40,10)),'DATA '!$B$5:$J$31,M$4,FALSE),"")</f>
        <v/>
      </c>
      <c r="N40" s="131">
        <f>IFERROR(VLOOKUP(IF(LEN($B40)=18,RIGHT($B40,8),RIGHT($B40,10)),'DATA '!$B$5:$J$31,N$4,FALSE),"")</f>
        <v>154.69948671497588</v>
      </c>
      <c r="O40" s="131">
        <f>IFERROR(VLOOKUP(IF(LEN($B40)=18,RIGHT($B40,8),RIGHT($B40,10)),'DATA '!$B$5:$J$31,O$4,FALSE),"")</f>
        <v>3.4771140083457657</v>
      </c>
      <c r="P40" s="131">
        <f>IFERROR(VLOOKUP(IF(LEN($B40)=18,RIGHT($B40,8),RIGHT($B40,10)),'DATA '!$B$5:$J$31,P$4,FALSE),"")</f>
        <v>0</v>
      </c>
      <c r="Q40" s="132">
        <f>IFERROR(VLOOKUP(IF(LEN($B40)=18,RIGHT($B40,8),RIGHT($B40,10)),'DATA '!$B$5:$K$31,Q$4,FALSE),"")</f>
        <v>20</v>
      </c>
      <c r="R40" s="131">
        <v>31.536000000000001</v>
      </c>
      <c r="U40" s="91"/>
      <c r="V40" s="91"/>
      <c r="W40" s="91" t="str">
        <f>Commodities!$AC$10&amp;"_"&amp;LEFT(RIGHT(Commodities!$D$165,6),3)&amp;"_"&amp;$W$3&amp;"_AD02"</f>
        <v>TER_TS_SH_GAS_N_AD02</v>
      </c>
      <c r="X40" s="91" t="s">
        <v>1050</v>
      </c>
      <c r="Y40" s="92" t="str">
        <f>General!$B$2</f>
        <v>PJ</v>
      </c>
      <c r="Z40" s="92" t="str">
        <f>General!$B$5</f>
        <v>GW</v>
      </c>
      <c r="AA40" s="92" t="s">
        <v>44</v>
      </c>
      <c r="AB40" s="92"/>
      <c r="AC40" s="91"/>
      <c r="AE40" s="78"/>
    </row>
    <row r="41" spans="1:31" ht="16.5" customHeight="1" x14ac:dyDescent="0.25">
      <c r="A41" s="78"/>
      <c r="B41" s="86"/>
      <c r="C41" s="86"/>
      <c r="D41" s="86"/>
      <c r="E41" s="86" t="str">
        <f>Commodities!$AC$11</f>
        <v>TER_TP_WH</v>
      </c>
      <c r="F41" s="133">
        <f>F40</f>
        <v>2018</v>
      </c>
      <c r="G41" s="87"/>
      <c r="H41" s="134" t="str">
        <f>IFERROR(VLOOKUP(IF(LEN($B41)=18,RIGHT($B41,8),RIGHT($B41,10)),'DATA '!$B$5:$J$31,H$4,FALSE),"")</f>
        <v/>
      </c>
      <c r="I41" s="134"/>
      <c r="J41" s="134"/>
      <c r="K41" s="134" t="str">
        <f>IFERROR(VLOOKUP(IF(LEN($B41)=18,RIGHT($B41,8),RIGHT($B41,10)),'DATA '!$B$5:$J$31,K$4,FALSE),"")</f>
        <v/>
      </c>
      <c r="L41" s="134" t="str">
        <f>IFERROR(VLOOKUP(IF(LEN($B41)=18,RIGHT($B41,8),RIGHT($B41,10)),'DATA '!$B$5:$J$31,L$4,FALSE),"")</f>
        <v/>
      </c>
      <c r="M41" s="134" t="str">
        <f>IFERROR(VLOOKUP(IF(LEN($B41)=18,RIGHT($B41,8),RIGHT($B41,10)),'DATA '!$B$5:$J$31,M$4,FALSE),"")</f>
        <v/>
      </c>
      <c r="N41" s="134" t="str">
        <f>IFERROR(VLOOKUP(IF(LEN($B41)=18,RIGHT($B41,8),RIGHT($B41,10)),'DATA '!$B$5:$J$31,N$4,FALSE),"")</f>
        <v/>
      </c>
      <c r="O41" s="134" t="str">
        <f>IFERROR(VLOOKUP(IF(LEN($B41)=18,RIGHT($B41,8),RIGHT($B41,10)),'DATA '!$B$5:$J$31,O$4,FALSE),"")</f>
        <v/>
      </c>
      <c r="P41" s="134" t="str">
        <f>IFERROR(VLOOKUP(IF(LEN($B41)=18,RIGHT($B41,8),RIGHT($B41,10)),'DATA '!$B$5:$J$31,P$4,FALSE),"")</f>
        <v/>
      </c>
      <c r="Q41" s="135" t="str">
        <f>IFERROR(VLOOKUP(IF(LEN($B41)=18,RIGHT($B41,8),RIGHT($B41,10)),'DATA '!$B$5:$K$31,Q$4,FALSE),"")</f>
        <v/>
      </c>
      <c r="R41" s="134"/>
      <c r="U41" s="91"/>
      <c r="V41" s="91"/>
      <c r="W41" s="91" t="str">
        <f>Commodities!$AC$10&amp;"_"&amp;RIGHT(Commodities!$D$346,3)&amp;"_"&amp;$W$3&amp;"_ST01"</f>
        <v>TER_TS_SH_LTH_N_ST01</v>
      </c>
      <c r="X41" s="91" t="s">
        <v>1051</v>
      </c>
      <c r="Y41" s="92" t="str">
        <f>General!$B$2</f>
        <v>PJ</v>
      </c>
      <c r="Z41" s="92" t="str">
        <f>General!$B$5</f>
        <v>GW</v>
      </c>
      <c r="AA41" s="92" t="s">
        <v>44</v>
      </c>
      <c r="AB41" s="92"/>
      <c r="AC41" s="91"/>
      <c r="AE41" s="78"/>
    </row>
    <row r="42" spans="1:31" ht="16.5" customHeight="1" x14ac:dyDescent="0.25">
      <c r="A42" s="78"/>
      <c r="B42" s="86" t="str">
        <f>W31</f>
        <v>TER_TP_SH_DSL_N_IM01</v>
      </c>
      <c r="C42" s="86" t="str">
        <f>X31</f>
        <v>Private (Commercial) SpHeat Diesel (Oil)  Boiler Improved (N)</v>
      </c>
      <c r="D42" s="86" t="str">
        <f>Commodities!$D$190</f>
        <v>TEROILDSL</v>
      </c>
      <c r="E42" s="86" t="str">
        <f>Commodities!$AC$9</f>
        <v>TER_TP_SH</v>
      </c>
      <c r="F42" s="133">
        <f>G42</f>
        <v>2020</v>
      </c>
      <c r="G42" s="87">
        <f>BASE_YEAR+3</f>
        <v>2020</v>
      </c>
      <c r="H42" s="134">
        <f>IFERROR(VLOOKUP(IF(LEN($B42)=18,RIGHT($B42,8),RIGHT($B42,10)),'DATA '!$B$5:$J$31,H$4,FALSE),"")</f>
        <v>0.89249999999999996</v>
      </c>
      <c r="I42" s="134"/>
      <c r="J42" s="134"/>
      <c r="K42" s="134" t="str">
        <f>IFERROR(VLOOKUP(IF(LEN($B42)=18,RIGHT($B42,8),RIGHT($B42,10)),'DATA '!$B$5:$J$31,K$4,FALSE),"")</f>
        <v/>
      </c>
      <c r="L42" s="134" t="str">
        <f>IFERROR(VLOOKUP(IF(LEN($B42)=18,RIGHT($B42,8),RIGHT($B42,10)),'DATA '!$B$5:$J$31,L$4,FALSE),"")</f>
        <v/>
      </c>
      <c r="M42" s="134" t="str">
        <f>IFERROR(VLOOKUP(IF(LEN($B42)=18,RIGHT($B42,8),RIGHT($B42,10)),'DATA '!$B$5:$J$31,M$4,FALSE),"")</f>
        <v/>
      </c>
      <c r="N42" s="134">
        <f>IFERROR(VLOOKUP(IF(LEN($B42)=18,RIGHT($B42,8),RIGHT($B42,10)),'DATA '!$B$5:$J$31,N$4,FALSE),"")</f>
        <v>165.52845078502418</v>
      </c>
      <c r="O42" s="134">
        <f>IFERROR(VLOOKUP(IF(LEN($B42)=18,RIGHT($B42,8),RIGHT($B42,10)),'DATA '!$B$5:$J$31,O$4,FALSE),"")</f>
        <v>3.2337160277615622</v>
      </c>
      <c r="P42" s="134">
        <f>IFERROR(VLOOKUP(IF(LEN($B42)=18,RIGHT($B42,8),RIGHT($B42,10)),'DATA '!$B$5:$J$31,P$4,FALSE),"")</f>
        <v>0</v>
      </c>
      <c r="Q42" s="135">
        <f>IFERROR(VLOOKUP(IF(LEN($B42)=18,RIGHT($B42,8),RIGHT($B42,10)),'DATA '!$B$5:$K$31,Q$4,FALSE),"")</f>
        <v>20</v>
      </c>
      <c r="R42" s="134">
        <v>31.536000000000001</v>
      </c>
      <c r="U42" s="91"/>
      <c r="V42" s="91"/>
      <c r="W42" s="91" t="str">
        <f>Commodities!$AC$10&amp;"_"&amp;RIGHT(Commodities!$D$346,3)&amp;"_"&amp;$W$3&amp;"_IM01"</f>
        <v>TER_TS_SH_LTH_N_IM01</v>
      </c>
      <c r="X42" s="91" t="s">
        <v>1052</v>
      </c>
      <c r="Y42" s="92" t="str">
        <f>General!$B$2</f>
        <v>PJ</v>
      </c>
      <c r="Z42" s="92" t="str">
        <f>General!$B$5</f>
        <v>GW</v>
      </c>
      <c r="AA42" s="92" t="s">
        <v>44</v>
      </c>
      <c r="AB42" s="92"/>
      <c r="AC42" s="91"/>
      <c r="AE42" s="78"/>
    </row>
    <row r="43" spans="1:31" ht="16.5" customHeight="1" x14ac:dyDescent="0.25">
      <c r="A43" s="78"/>
      <c r="B43" s="89" t="str">
        <f>W32</f>
        <v>TER_TP_SH_DSL_N_IM02</v>
      </c>
      <c r="C43" s="89" t="str">
        <f>X32</f>
        <v>Private (Commercial) SpHeat Combi Diesel (Oil) Boiler Improved (N)</v>
      </c>
      <c r="D43" s="89" t="str">
        <f>Commodities!$D$190</f>
        <v>TEROILDSL</v>
      </c>
      <c r="E43" s="89" t="str">
        <f>Commodities!$AC$9</f>
        <v>TER_TP_SH</v>
      </c>
      <c r="F43" s="136">
        <f>G43</f>
        <v>2020</v>
      </c>
      <c r="G43" s="90">
        <f>BASE_YEAR+3</f>
        <v>2020</v>
      </c>
      <c r="H43" s="131">
        <f>IFERROR(VLOOKUP(IF(LEN($B43)=18,RIGHT($B43,8),RIGHT($B43,10)),'DATA '!$B$5:$J$31,H$4,FALSE),"")</f>
        <v>0.89249999999999996</v>
      </c>
      <c r="I43" s="131"/>
      <c r="J43" s="131"/>
      <c r="K43" s="131" t="str">
        <f>IFERROR(VLOOKUP(IF(LEN($B43)=18,RIGHT($B43,8),RIGHT($B43,10)),'DATA '!$B$5:$J$31,K$4,FALSE),"")</f>
        <v/>
      </c>
      <c r="L43" s="131" t="str">
        <f>IFERROR(VLOOKUP(IF(LEN($B43)=18,RIGHT($B43,8),RIGHT($B43,10)),'DATA '!$B$5:$J$31,L$4,FALSE),"")</f>
        <v/>
      </c>
      <c r="M43" s="131" t="str">
        <f>IFERROR(VLOOKUP(IF(LEN($B43)=18,RIGHT($B43,8),RIGHT($B43,10)),'DATA '!$B$5:$J$31,M$4,FALSE),"")</f>
        <v/>
      </c>
      <c r="N43" s="131">
        <f>IFERROR(VLOOKUP(IF(LEN($B43)=18,RIGHT($B43,8),RIGHT($B43,10)),'DATA '!$B$5:$J$31,N$4,FALSE),"")</f>
        <v>165.52845078502418</v>
      </c>
      <c r="O43" s="131">
        <f>IFERROR(VLOOKUP(IF(LEN($B43)=18,RIGHT($B43,8),RIGHT($B43,10)),'DATA '!$B$5:$J$31,O$4,FALSE),"")</f>
        <v>3.2337160277615622</v>
      </c>
      <c r="P43" s="131">
        <f>IFERROR(VLOOKUP(IF(LEN($B43)=18,RIGHT($B43,8),RIGHT($B43,10)),'DATA '!$B$5:$J$31,P$4,FALSE),"")</f>
        <v>0</v>
      </c>
      <c r="Q43" s="132">
        <f>IFERROR(VLOOKUP(IF(LEN($B43)=18,RIGHT($B43,8),RIGHT($B43,10)),'DATA '!$B$5:$K$31,Q$4,FALSE),"")</f>
        <v>20</v>
      </c>
      <c r="R43" s="131">
        <v>31.536000000000001</v>
      </c>
      <c r="U43" s="91"/>
      <c r="V43" s="91"/>
      <c r="W43" s="91" t="str">
        <f>Commodities!$AC$10&amp;"_"&amp;RIGHT(Commodities!$D$346,3)&amp;"_"&amp;$W$3&amp;"_AD01"</f>
        <v>TER_TS_SH_LTH_N_AD01</v>
      </c>
      <c r="X43" s="91" t="s">
        <v>1053</v>
      </c>
      <c r="Y43" s="92" t="str">
        <f>General!$B$2</f>
        <v>PJ</v>
      </c>
      <c r="Z43" s="92" t="str">
        <f>General!$B$5</f>
        <v>GW</v>
      </c>
      <c r="AA43" s="92" t="s">
        <v>44</v>
      </c>
      <c r="AB43" s="92"/>
      <c r="AC43" s="91"/>
      <c r="AE43" s="78"/>
    </row>
    <row r="44" spans="1:31" ht="16.5" customHeight="1" x14ac:dyDescent="0.25">
      <c r="A44" s="78"/>
      <c r="B44" s="86"/>
      <c r="C44" s="86"/>
      <c r="D44" s="86"/>
      <c r="E44" s="86" t="str">
        <f>Commodities!$AC$11</f>
        <v>TER_TP_WH</v>
      </c>
      <c r="F44" s="133">
        <f>F43</f>
        <v>2020</v>
      </c>
      <c r="G44" s="87"/>
      <c r="H44" s="134" t="str">
        <f>IFERROR(VLOOKUP(IF(LEN($B44)=18,RIGHT($B44,8),RIGHT($B44,10)),'DATA '!$B$5:$J$31,H$4,FALSE),"")</f>
        <v/>
      </c>
      <c r="I44" s="134"/>
      <c r="J44" s="134" t="str">
        <f>IFERROR(VLOOKUP(IF(LEN($B44)=18,RIGHT($B44,8),RIGHT($B44,10)),'DATA '!$B$5:$J$31,J$4,FALSE),"")</f>
        <v/>
      </c>
      <c r="K44" s="134" t="str">
        <f>IFERROR(VLOOKUP(IF(LEN($B44)=18,RIGHT($B44,8),RIGHT($B44,10)),'DATA '!$B$5:$J$31,K$4,FALSE),"")</f>
        <v/>
      </c>
      <c r="L44" s="134" t="str">
        <f>IFERROR(VLOOKUP(IF(LEN($B44)=18,RIGHT($B44,8),RIGHT($B44,10)),'DATA '!$B$5:$J$31,L$4,FALSE),"")</f>
        <v/>
      </c>
      <c r="M44" s="134" t="str">
        <f>IFERROR(VLOOKUP(IF(LEN($B44)=18,RIGHT($B44,8),RIGHT($B44,10)),'DATA '!$B$5:$J$31,M$4,FALSE),"")</f>
        <v/>
      </c>
      <c r="N44" s="134" t="str">
        <f>IFERROR(VLOOKUP(IF(LEN($B44)=18,RIGHT($B44,8),RIGHT($B44,10)),'DATA '!$B$5:$J$31,N$4,FALSE),"")</f>
        <v/>
      </c>
      <c r="O44" s="134" t="str">
        <f>IFERROR(VLOOKUP(IF(LEN($B44)=18,RIGHT($B44,8),RIGHT($B44,10)),'DATA '!$B$5:$J$31,O$4,FALSE),"")</f>
        <v/>
      </c>
      <c r="P44" s="134" t="str">
        <f>IFERROR(VLOOKUP(IF(LEN($B44)=18,RIGHT($B44,8),RIGHT($B44,10)),'DATA '!$B$5:$J$31,P$4,FALSE),"")</f>
        <v/>
      </c>
      <c r="Q44" s="135" t="str">
        <f>IFERROR(VLOOKUP(IF(LEN($B44)=18,RIGHT($B44,8),RIGHT($B44,10)),'DATA '!$B$5:$K$31,Q$4,FALSE),"")</f>
        <v/>
      </c>
      <c r="R44" s="134"/>
      <c r="U44" s="91"/>
      <c r="V44" s="91"/>
      <c r="W44" s="91" t="str">
        <f>Commodities!$AC$10&amp;"_"&amp;RIGHT(Commodities!$D$340,3)&amp;"_"&amp;$W$3&amp;"_ST01"</f>
        <v>TER_TS_SH_ELC_N_ST01</v>
      </c>
      <c r="X44" s="91" t="s">
        <v>1054</v>
      </c>
      <c r="Y44" s="92" t="str">
        <f>General!$B$2</f>
        <v>PJ</v>
      </c>
      <c r="Z44" s="92" t="str">
        <f>General!$B$5</f>
        <v>GW</v>
      </c>
      <c r="AA44" s="92" t="s">
        <v>44</v>
      </c>
      <c r="AB44" s="92"/>
      <c r="AC44" s="91"/>
      <c r="AE44" s="78"/>
    </row>
    <row r="45" spans="1:31" ht="16.5" customHeight="1" x14ac:dyDescent="0.25">
      <c r="A45" s="78"/>
      <c r="B45" s="91"/>
      <c r="C45" s="91"/>
      <c r="I45" s="119"/>
      <c r="J45" s="119"/>
      <c r="K45" s="78"/>
      <c r="L45" s="78"/>
      <c r="M45" s="78"/>
      <c r="N45" s="78"/>
      <c r="O45" s="78"/>
      <c r="P45" s="78"/>
      <c r="Q45" s="78"/>
      <c r="R45" s="78"/>
      <c r="U45" s="91"/>
      <c r="V45" s="91"/>
      <c r="W45" s="91" t="str">
        <f>Commodities!$AC$10&amp;"_"&amp;RIGHT(Commodities!$D$340,3)&amp;"_"&amp;$W$3&amp;"_ST02"</f>
        <v>TER_TS_SH_ELC_N_ST02</v>
      </c>
      <c r="X45" s="91" t="s">
        <v>1055</v>
      </c>
      <c r="Y45" s="92" t="str">
        <f>General!$B$2</f>
        <v>PJ</v>
      </c>
      <c r="Z45" s="92" t="str">
        <f>General!$B$5</f>
        <v>GW</v>
      </c>
      <c r="AA45" s="92" t="s">
        <v>44</v>
      </c>
      <c r="AB45" s="92"/>
      <c r="AC45" s="91"/>
      <c r="AE45" s="78"/>
    </row>
    <row r="46" spans="1:31" ht="16.5" customHeight="1" x14ac:dyDescent="0.25">
      <c r="A46" s="78"/>
      <c r="B46" s="78"/>
      <c r="C46" s="78"/>
      <c r="D46" s="78"/>
      <c r="E46" s="120"/>
      <c r="F46" s="101" t="s">
        <v>0</v>
      </c>
      <c r="G46" s="101"/>
      <c r="H46" s="119"/>
      <c r="U46" s="91"/>
      <c r="V46" s="91"/>
      <c r="W46" s="91" t="str">
        <f>Commodities!$AC$10&amp;"_"&amp;RIGHT(Commodities!$D$340,3)&amp;"_"&amp;$W$3&amp;"_ST03"</f>
        <v>TER_TS_SH_ELC_N_ST03</v>
      </c>
      <c r="X46" s="91" t="s">
        <v>1056</v>
      </c>
      <c r="Y46" s="92" t="str">
        <f>General!$B$2</f>
        <v>PJ</v>
      </c>
      <c r="Z46" s="92" t="str">
        <f>General!$B$5</f>
        <v>GW</v>
      </c>
      <c r="AA46" s="92" t="s">
        <v>44</v>
      </c>
      <c r="AB46" s="92"/>
      <c r="AC46" s="91"/>
      <c r="AE46" s="78"/>
    </row>
    <row r="47" spans="1:31" ht="16.5" customHeight="1" x14ac:dyDescent="0.25">
      <c r="A47" s="78"/>
      <c r="B47" s="103" t="s">
        <v>1</v>
      </c>
      <c r="C47" s="103" t="s">
        <v>728</v>
      </c>
      <c r="D47" s="103" t="s">
        <v>3</v>
      </c>
      <c r="E47" s="103" t="s">
        <v>4</v>
      </c>
      <c r="F47" s="104" t="s">
        <v>739</v>
      </c>
      <c r="G47" s="103" t="s">
        <v>14</v>
      </c>
      <c r="H47" s="105" t="s">
        <v>16</v>
      </c>
      <c r="I47" s="105" t="str">
        <f>"CEFF~"&amp;E57</f>
        <v>CEFF~TER_TS_SH</v>
      </c>
      <c r="J47" s="105" t="str">
        <f>"CEFF~"&amp;E71</f>
        <v>CEFF~TER_TS_SC</v>
      </c>
      <c r="K47" s="105" t="s">
        <v>46</v>
      </c>
      <c r="L47" s="105" t="str">
        <f>"SHARE~"&amp;D73</f>
        <v>SHARE~TERRESGEO</v>
      </c>
      <c r="M47" s="105" t="str">
        <f>"SHARE~UP~"&amp;E55</f>
        <v>SHARE~UP~TER_TS_WH</v>
      </c>
      <c r="N47" s="105" t="s">
        <v>36</v>
      </c>
      <c r="O47" s="105" t="s">
        <v>5</v>
      </c>
      <c r="P47" s="105" t="s">
        <v>34</v>
      </c>
      <c r="Q47" s="105" t="s">
        <v>47</v>
      </c>
      <c r="R47" s="105" t="s">
        <v>48</v>
      </c>
      <c r="U47" s="91"/>
      <c r="V47" s="91"/>
      <c r="W47" s="91" t="str">
        <f>Commodities!$AC$10&amp;"_"&amp;RIGHT(Commodities!$D$340,3)&amp;"_"&amp;$W$3&amp;"_IM01"</f>
        <v>TER_TS_SH_ELC_N_IM01</v>
      </c>
      <c r="X47" s="91" t="s">
        <v>1057</v>
      </c>
      <c r="Y47" s="92" t="str">
        <f>General!$B$2</f>
        <v>PJ</v>
      </c>
      <c r="Z47" s="92" t="str">
        <f>General!$B$5</f>
        <v>GW</v>
      </c>
      <c r="AA47" s="92" t="s">
        <v>44</v>
      </c>
      <c r="AB47" s="92"/>
      <c r="AC47" s="91"/>
      <c r="AE47" s="78"/>
    </row>
    <row r="48" spans="1:31" ht="16.5" customHeight="1" x14ac:dyDescent="0.25">
      <c r="A48" s="78"/>
      <c r="B48" s="137" t="s">
        <v>729</v>
      </c>
      <c r="C48" s="137" t="s">
        <v>28</v>
      </c>
      <c r="D48" s="137" t="s">
        <v>32</v>
      </c>
      <c r="E48" s="137" t="s">
        <v>33</v>
      </c>
      <c r="F48" s="138"/>
      <c r="G48" s="139" t="s">
        <v>35</v>
      </c>
      <c r="H48" s="137" t="s">
        <v>741</v>
      </c>
      <c r="I48" s="137" t="s">
        <v>742</v>
      </c>
      <c r="J48" s="137" t="s">
        <v>743</v>
      </c>
      <c r="K48" s="137" t="s">
        <v>744</v>
      </c>
      <c r="L48" s="137" t="s">
        <v>745</v>
      </c>
      <c r="M48" s="137" t="s">
        <v>746</v>
      </c>
      <c r="N48" s="139" t="s">
        <v>747</v>
      </c>
      <c r="O48" s="137" t="s">
        <v>37</v>
      </c>
      <c r="P48" s="137" t="s">
        <v>38</v>
      </c>
      <c r="Q48" s="137" t="s">
        <v>716</v>
      </c>
      <c r="R48" s="137" t="s">
        <v>748</v>
      </c>
      <c r="U48" s="91"/>
      <c r="V48" s="91"/>
      <c r="W48" s="91" t="str">
        <f>Commodities!$AC$10&amp;"_"&amp;RIGHT(Commodities!$D$340,3)&amp;"_"&amp;$W$3&amp;"_IM02"</f>
        <v>TER_TS_SH_ELC_N_IM02</v>
      </c>
      <c r="X48" s="91" t="s">
        <v>1058</v>
      </c>
      <c r="Y48" s="92" t="str">
        <f>General!$B$2</f>
        <v>PJ</v>
      </c>
      <c r="Z48" s="92" t="str">
        <f>General!$B$5</f>
        <v>GW</v>
      </c>
      <c r="AA48" s="92" t="s">
        <v>44</v>
      </c>
      <c r="AB48" s="92"/>
      <c r="AC48" s="91"/>
      <c r="AE48" s="78"/>
    </row>
    <row r="49" spans="1:31" ht="16.5" customHeight="1" x14ac:dyDescent="0.25">
      <c r="A49" s="78"/>
      <c r="B49" s="91" t="str">
        <f t="shared" ref="B49:C54" si="12">W33</f>
        <v>TER_TS_SH_BKB_N_ST</v>
      </c>
      <c r="C49" s="91" t="str">
        <f t="shared" si="12"/>
        <v>Services (Public) SpHeat BKB Boiler Standard (N)</v>
      </c>
      <c r="D49" s="91" t="str">
        <f>Commodities!$D$188</f>
        <v>TERCOABKB</v>
      </c>
      <c r="E49" s="91" t="str">
        <f>Commodities!$AC$10</f>
        <v>TER_TS_SH</v>
      </c>
      <c r="F49" s="130">
        <f t="shared" ref="F49:F51" si="13">G49</f>
        <v>2100</v>
      </c>
      <c r="G49" s="92">
        <v>2100</v>
      </c>
      <c r="H49" s="131">
        <f>IFERROR(VLOOKUP(IF(LEN($B49)=18,RIGHT($B49,8),RIGHT($B49,10)),'DATA '!$B$5:$J$31,H$4,FALSE),"")</f>
        <v>0.55000000000000004</v>
      </c>
      <c r="I49" s="131"/>
      <c r="J49" s="131"/>
      <c r="K49" s="131" t="str">
        <f>IFERROR(VLOOKUP(IF(LEN($B49)=18,RIGHT($B49,8),RIGHT($B49,10)),'DATA '!$B$5:$J$31,K$4,FALSE),"")</f>
        <v/>
      </c>
      <c r="L49" s="131" t="str">
        <f>IFERROR(VLOOKUP(IF(LEN($B49)=18,RIGHT($B49,8),RIGHT($B49,10)),'DATA '!$B$5:$J$31,L$4,FALSE),"")</f>
        <v/>
      </c>
      <c r="M49" s="131" t="str">
        <f>IFERROR(VLOOKUP(IF(LEN($B49)=18,RIGHT($B49,8),RIGHT($B49,10)),'DATA '!$B$5:$J$31,M$4,FALSE),"")</f>
        <v/>
      </c>
      <c r="N49" s="131">
        <f>IFERROR(VLOOKUP(IF(LEN($B49)=18,RIGHT($B49,8),RIGHT($B49,10)),'DATA '!$B$5:$J$31,N$4,FALSE),"")</f>
        <v>334.44444444444446</v>
      </c>
      <c r="O49" s="131">
        <f>IFERROR(VLOOKUP(IF(LEN($B49)=18,RIGHT($B49,8),RIGHT($B49,10)),'DATA '!$B$5:$J$31,O$4,FALSE),"")</f>
        <v>135</v>
      </c>
      <c r="P49" s="131">
        <f>IFERROR(VLOOKUP(IF(LEN($B49)=18,RIGHT($B49,8),RIGHT($B49,10)),'DATA '!$B$5:$J$31,P$4,FALSE),"")</f>
        <v>0</v>
      </c>
      <c r="Q49" s="132">
        <f>IFERROR(VLOOKUP(IF(LEN($B49)=18,RIGHT($B49,8),RIGHT($B49,10)),'DATA '!$B$5:$K$31,Q$4,FALSE),"")</f>
        <v>15</v>
      </c>
      <c r="R49" s="131">
        <v>31.536000000000001</v>
      </c>
      <c r="U49" s="91"/>
      <c r="V49" s="91"/>
      <c r="W49" s="91" t="str">
        <f>Commodities!$AC$10&amp;"_"&amp;RIGHT(Commodities!$D$340,3)&amp;"_"&amp;$W$3&amp;"_AD01"</f>
        <v>TER_TS_SH_ELC_N_AD01</v>
      </c>
      <c r="X49" s="91" t="s">
        <v>1059</v>
      </c>
      <c r="Y49" s="92" t="str">
        <f>General!$B$2</f>
        <v>PJ</v>
      </c>
      <c r="Z49" s="92" t="str">
        <f>General!$B$5</f>
        <v>GW</v>
      </c>
      <c r="AA49" s="92" t="s">
        <v>44</v>
      </c>
      <c r="AB49" s="92"/>
      <c r="AC49" s="91"/>
      <c r="AE49" s="78"/>
    </row>
    <row r="50" spans="1:31" ht="16.5" customHeight="1" x14ac:dyDescent="0.25">
      <c r="B50" s="91" t="str">
        <f t="shared" si="12"/>
        <v>TER_TS_SH_LOG_N_ST01</v>
      </c>
      <c r="C50" s="91" t="str">
        <f t="shared" si="12"/>
        <v>Services (Public) SpHeat Wood Boiler Standard (N)</v>
      </c>
      <c r="D50" s="91" t="str">
        <f>Commodities!$D$198</f>
        <v>TERBIOLOG</v>
      </c>
      <c r="E50" s="91" t="str">
        <f>Commodities!$AC$10</f>
        <v>TER_TS_SH</v>
      </c>
      <c r="F50" s="130">
        <f t="shared" si="13"/>
        <v>2018</v>
      </c>
      <c r="G50" s="92">
        <f>BASE_YEAR+1</f>
        <v>2018</v>
      </c>
      <c r="H50" s="131">
        <f>IFERROR(VLOOKUP(IF(LEN($B50)=18,RIGHT($B50,8),RIGHT($B50,10)),'DATA '!$B$5:$J$31,H$4,FALSE),"")</f>
        <v>0.57999999999999996</v>
      </c>
      <c r="I50" s="131"/>
      <c r="J50" s="131"/>
      <c r="K50" s="131" t="str">
        <f>IFERROR(VLOOKUP(IF(LEN($B50)=18,RIGHT($B50,8),RIGHT($B50,10)),'DATA '!$B$5:$J$31,K$4,FALSE),"")</f>
        <v/>
      </c>
      <c r="L50" s="131" t="str">
        <f>IFERROR(VLOOKUP(IF(LEN($B50)=18,RIGHT($B50,8),RIGHT($B50,10)),'DATA '!$B$5:$J$31,L$4,FALSE),"")</f>
        <v/>
      </c>
      <c r="M50" s="131" t="str">
        <f>IFERROR(VLOOKUP(IF(LEN($B50)=18,RIGHT($B50,8),RIGHT($B50,10)),'DATA '!$B$5:$J$31,M$4,FALSE),"")</f>
        <v/>
      </c>
      <c r="N50" s="131">
        <f>IFERROR(VLOOKUP(IF(LEN($B50)=18,RIGHT($B50,8),RIGHT($B50,10)),'DATA '!$B$5:$J$31,N$4,FALSE),"")</f>
        <v>314.76643374741207</v>
      </c>
      <c r="O50" s="131">
        <f>IFERROR(VLOOKUP(IF(LEN($B50)=18,RIGHT($B50,8),RIGHT($B50,10)),'DATA '!$B$5:$J$31,O$4,FALSE),"")</f>
        <v>7.4559193954659948</v>
      </c>
      <c r="P50" s="131">
        <f>IFERROR(VLOOKUP(IF(LEN($B50)=18,RIGHT($B50,8),RIGHT($B50,10)),'DATA '!$B$5:$J$31,P$4,FALSE),"")</f>
        <v>0</v>
      </c>
      <c r="Q50" s="132">
        <f>IFERROR(VLOOKUP(IF(LEN($B50)=18,RIGHT($B50,8),RIGHT($B50,10)),'DATA '!$B$5:$K$31,Q$4,FALSE),"")</f>
        <v>20</v>
      </c>
      <c r="R50" s="131">
        <v>31.536000000000001</v>
      </c>
      <c r="U50" s="91"/>
      <c r="V50" s="91"/>
      <c r="W50" s="91" t="str">
        <f>Commodities!$AC$10&amp;"_"&amp;RIGHT(Commodities!$D$340,3)&amp;"_"&amp;$W$3&amp;"_AD02"</f>
        <v>TER_TS_SH_ELC_N_AD02</v>
      </c>
      <c r="X50" s="91" t="s">
        <v>1060</v>
      </c>
      <c r="Y50" s="92" t="str">
        <f>General!$B$2</f>
        <v>PJ</v>
      </c>
      <c r="Z50" s="92" t="str">
        <f>General!$B$5</f>
        <v>GW</v>
      </c>
      <c r="AA50" s="92" t="s">
        <v>44</v>
      </c>
      <c r="AB50" s="92"/>
      <c r="AC50" s="91"/>
      <c r="AE50" s="78"/>
    </row>
    <row r="51" spans="1:31" ht="16.5" customHeight="1" x14ac:dyDescent="0.25">
      <c r="B51" s="91" t="str">
        <f t="shared" si="12"/>
        <v>TER_TS_SH_PLT_N_ST01</v>
      </c>
      <c r="C51" s="91" t="str">
        <f t="shared" si="12"/>
        <v>Services (Public) SpHeat Pellet Boiler Standard (N)</v>
      </c>
      <c r="D51" s="91" t="str">
        <f>Commodities!$D$208</f>
        <v>TERBIOPLT</v>
      </c>
      <c r="E51" s="91" t="str">
        <f>Commodities!$AC$10</f>
        <v>TER_TS_SH</v>
      </c>
      <c r="F51" s="130">
        <f t="shared" si="13"/>
        <v>2018</v>
      </c>
      <c r="G51" s="92">
        <f>BASE_YEAR+1</f>
        <v>2018</v>
      </c>
      <c r="H51" s="131">
        <f>IFERROR(VLOOKUP(IF(LEN($B51)=18,RIGHT($B51,8),RIGHT($B51,10)),'DATA '!$B$5:$J$31,H$4,FALSE),"")</f>
        <v>0.6</v>
      </c>
      <c r="I51" s="131"/>
      <c r="J51" s="131"/>
      <c r="K51" s="131" t="str">
        <f>IFERROR(VLOOKUP(IF(LEN($B51)=18,RIGHT($B51,8),RIGHT($B51,10)),'DATA '!$B$5:$J$31,K$4,FALSE),"")</f>
        <v/>
      </c>
      <c r="L51" s="131" t="str">
        <f>IFERROR(VLOOKUP(IF(LEN($B51)=18,RIGHT($B51,8),RIGHT($B51,10)),'DATA '!$B$5:$J$31,L$4,FALSE),"")</f>
        <v/>
      </c>
      <c r="M51" s="131" t="str">
        <f>IFERROR(VLOOKUP(IF(LEN($B51)=18,RIGHT($B51,8),RIGHT($B51,10)),'DATA '!$B$5:$J$31,M$4,FALSE),"")</f>
        <v/>
      </c>
      <c r="N51" s="131">
        <f>IFERROR(VLOOKUP(IF(LEN($B51)=18,RIGHT($B51,8),RIGHT($B51,10)),'DATA '!$B$5:$J$31,N$4,FALSE),"")</f>
        <v>234.32098765432067</v>
      </c>
      <c r="O51" s="131">
        <f>IFERROR(VLOOKUP(IF(LEN($B51)=18,RIGHT($B51,8),RIGHT($B51,10)),'DATA '!$B$5:$J$31,O$4,FALSE),"")</f>
        <v>7.0175438596491233</v>
      </c>
      <c r="P51" s="131">
        <f>IFERROR(VLOOKUP(IF(LEN($B51)=18,RIGHT($B51,8),RIGHT($B51,10)),'DATA '!$B$5:$J$31,P$4,FALSE),"")</f>
        <v>0</v>
      </c>
      <c r="Q51" s="132">
        <f>IFERROR(VLOOKUP(IF(LEN($B51)=18,RIGHT($B51,8),RIGHT($B51,10)),'DATA '!$B$5:$K$31,Q$4,FALSE),"")</f>
        <v>15</v>
      </c>
      <c r="R51" s="131">
        <v>31.536000000000001</v>
      </c>
      <c r="U51" s="91"/>
      <c r="V51" s="91"/>
      <c r="W51" s="91" t="str">
        <f>Commodities!$AC$10&amp;"_"&amp;RIGHT(Commodities!$D$181,3)&amp;"_"&amp;$W$3&amp;"_ST01"</f>
        <v>TER_TS_SH_GEO_N_ST01</v>
      </c>
      <c r="X51" s="91" t="s">
        <v>1061</v>
      </c>
      <c r="Y51" s="92" t="str">
        <f>General!$B$2</f>
        <v>PJ</v>
      </c>
      <c r="Z51" s="92" t="str">
        <f>General!$B$5</f>
        <v>GW</v>
      </c>
      <c r="AA51" s="92" t="s">
        <v>44</v>
      </c>
      <c r="AB51" s="92"/>
      <c r="AC51" s="91"/>
      <c r="AE51" s="78"/>
    </row>
    <row r="52" spans="1:31" ht="16.5" customHeight="1" x14ac:dyDescent="0.25">
      <c r="A52" s="78"/>
      <c r="B52" s="91" t="str">
        <f t="shared" si="12"/>
        <v>TER_TS_SH_PLT_N_IM01</v>
      </c>
      <c r="C52" s="91" t="str">
        <f t="shared" si="12"/>
        <v>Services (Public) SpHeat Pellet Boiler Improved (N)</v>
      </c>
      <c r="D52" s="91" t="str">
        <f>Commodities!$D$208</f>
        <v>TERBIOPLT</v>
      </c>
      <c r="E52" s="91" t="str">
        <f>Commodities!$AC$10</f>
        <v>TER_TS_SH</v>
      </c>
      <c r="F52" s="130">
        <f>G52</f>
        <v>2025</v>
      </c>
      <c r="G52" s="92">
        <v>2025</v>
      </c>
      <c r="H52" s="131">
        <f>IFERROR(VLOOKUP(IF(LEN($B52)=18,RIGHT($B52,8),RIGHT($B52,10)),'DATA '!$B$5:$J$31,H$4,FALSE),"")</f>
        <v>0.63</v>
      </c>
      <c r="I52" s="131"/>
      <c r="J52" s="131"/>
      <c r="K52" s="131" t="str">
        <f>IFERROR(VLOOKUP(IF(LEN($B52)=18,RIGHT($B52,8),RIGHT($B52,10)),'DATA '!$B$5:$J$31,K$4,FALSE),"")</f>
        <v/>
      </c>
      <c r="L52" s="131" t="str">
        <f>IFERROR(VLOOKUP(IF(LEN($B52)=18,RIGHT($B52,8),RIGHT($B52,10)),'DATA '!$B$5:$J$31,L$4,FALSE),"")</f>
        <v/>
      </c>
      <c r="M52" s="131" t="str">
        <f>IFERROR(VLOOKUP(IF(LEN($B52)=18,RIGHT($B52,8),RIGHT($B52,10)),'DATA '!$B$5:$J$31,M$4,FALSE),"")</f>
        <v/>
      </c>
      <c r="N52" s="131">
        <f>IFERROR(VLOOKUP(IF(LEN($B52)=18,RIGHT($B52,8),RIGHT($B52,10)),'DATA '!$B$5:$J$31,N$4,FALSE),"")</f>
        <v>250.72345679012315</v>
      </c>
      <c r="O52" s="131">
        <f>IFERROR(VLOOKUP(IF(LEN($B52)=18,RIGHT($B52,8),RIGHT($B52,10)),'DATA '!$B$5:$J$31,O$4,FALSE),"")</f>
        <v>6.5263157894736841</v>
      </c>
      <c r="P52" s="131">
        <f>IFERROR(VLOOKUP(IF(LEN($B52)=18,RIGHT($B52,8),RIGHT($B52,10)),'DATA '!$B$5:$J$31,P$4,FALSE),"")</f>
        <v>0</v>
      </c>
      <c r="Q52" s="132">
        <f>IFERROR(VLOOKUP(IF(LEN($B52)=18,RIGHT($B52,8),RIGHT($B52,10)),'DATA '!$B$5:$K$31,Q$4,FALSE),"")</f>
        <v>15</v>
      </c>
      <c r="R52" s="131">
        <v>31.536000000000001</v>
      </c>
      <c r="S52" s="91"/>
      <c r="U52" s="91"/>
      <c r="V52" s="91"/>
      <c r="W52" s="91" t="str">
        <f>Commodities!$AC$10&amp;"_"&amp;RIGHT(Commodities!$D$181,3)&amp;"_"&amp;$W$3&amp;"_ST02"</f>
        <v>TER_TS_SH_GEO_N_ST02</v>
      </c>
      <c r="X52" s="91" t="s">
        <v>1062</v>
      </c>
      <c r="Y52" s="92" t="str">
        <f>General!$B$2</f>
        <v>PJ</v>
      </c>
      <c r="Z52" s="92" t="str">
        <f>General!$B$5</f>
        <v>GW</v>
      </c>
      <c r="AA52" s="92" t="s">
        <v>44</v>
      </c>
      <c r="AB52" s="92"/>
      <c r="AC52" s="91"/>
      <c r="AE52" s="78"/>
    </row>
    <row r="53" spans="1:31" ht="16.5" customHeight="1" x14ac:dyDescent="0.25">
      <c r="A53" s="78"/>
      <c r="B53" s="86" t="str">
        <f t="shared" si="12"/>
        <v>TER_TS_SH_GAS_N_ST01</v>
      </c>
      <c r="C53" s="86" t="str">
        <f t="shared" si="12"/>
        <v>Services (Public) SpHeat Gas Boiler Condensing (N)</v>
      </c>
      <c r="D53" s="86" t="str">
        <f>Commodities!$D$197</f>
        <v>TERGASNAT</v>
      </c>
      <c r="E53" s="86" t="str">
        <f>Commodities!$AC$10</f>
        <v>TER_TS_SH</v>
      </c>
      <c r="F53" s="133">
        <f>G53</f>
        <v>2018</v>
      </c>
      <c r="G53" s="87">
        <f>BASE_YEAR+1</f>
        <v>2018</v>
      </c>
      <c r="H53" s="134">
        <f>IFERROR(VLOOKUP(IF(LEN($B53)=18,RIGHT($B53,8),RIGHT($B53,10)),'DATA '!$B$5:$J$31,H$4,FALSE),"")</f>
        <v>0.9</v>
      </c>
      <c r="I53" s="134"/>
      <c r="J53" s="134"/>
      <c r="K53" s="134" t="str">
        <f>IFERROR(VLOOKUP(IF(LEN($B53)=18,RIGHT($B53,8),RIGHT($B53,10)),'DATA '!$B$5:$J$31,K$4,FALSE),"")</f>
        <v/>
      </c>
      <c r="L53" s="134" t="str">
        <f>IFERROR(VLOOKUP(IF(LEN($B53)=18,RIGHT($B53,8),RIGHT($B53,10)),'DATA '!$B$5:$J$31,L$4,FALSE),"")</f>
        <v/>
      </c>
      <c r="M53" s="134" t="str">
        <f>IFERROR(VLOOKUP(IF(LEN($B53)=18,RIGHT($B53,8),RIGHT($B53,10)),'DATA '!$B$5:$J$31,M$4,FALSE),"")</f>
        <v/>
      </c>
      <c r="N53" s="134">
        <f>IFERROR(VLOOKUP(IF(LEN($B53)=18,RIGHT($B53,8),RIGHT($B53,10)),'DATA '!$B$5:$J$31,N$4,FALSE),"")</f>
        <v>127.71714029603373</v>
      </c>
      <c r="O53" s="134">
        <f>IFERROR(VLOOKUP(IF(LEN($B53)=18,RIGHT($B53,8),RIGHT($B53,10)),'DATA '!$B$5:$J$31,O$4,FALSE),"")</f>
        <v>4.9892962600770518</v>
      </c>
      <c r="P53" s="134">
        <f>IFERROR(VLOOKUP(IF(LEN($B53)=18,RIGHT($B53,8),RIGHT($B53,10)),'DATA '!$B$5:$J$31,P$4,FALSE),"")</f>
        <v>0</v>
      </c>
      <c r="Q53" s="135">
        <f>IFERROR(VLOOKUP(IF(LEN($B53)=18,RIGHT($B53,8),RIGHT($B53,10)),'DATA '!$B$5:$K$31,Q$4,FALSE),"")</f>
        <v>20</v>
      </c>
      <c r="R53" s="134">
        <v>31.536000000000001</v>
      </c>
      <c r="U53" s="91"/>
      <c r="V53" s="91"/>
      <c r="W53" s="91" t="str">
        <f>Commodities!$AC$10&amp;"_"&amp;RIGHT(Commodities!$D$181,3)&amp;"_"&amp;$W$3&amp;"_IM01"</f>
        <v>TER_TS_SH_GEO_N_IM01</v>
      </c>
      <c r="X53" s="91" t="s">
        <v>1063</v>
      </c>
      <c r="Y53" s="92" t="str">
        <f>General!$B$2</f>
        <v>PJ</v>
      </c>
      <c r="Z53" s="92" t="str">
        <f>General!$B$5</f>
        <v>GW</v>
      </c>
      <c r="AA53" s="92" t="s">
        <v>44</v>
      </c>
      <c r="AB53" s="92"/>
      <c r="AC53" s="91"/>
      <c r="AE53" s="78"/>
    </row>
    <row r="54" spans="1:31" ht="16.5" customHeight="1" x14ac:dyDescent="0.25">
      <c r="A54" s="78"/>
      <c r="B54" s="91" t="str">
        <f t="shared" si="12"/>
        <v>TER_TS_SH_GAS_N_ST02</v>
      </c>
      <c r="C54" s="91" t="str">
        <f t="shared" si="12"/>
        <v>Services (Public) Combi Gas Boiler Condensing (N)</v>
      </c>
      <c r="D54" s="91" t="str">
        <f>Commodities!$D$197</f>
        <v>TERGASNAT</v>
      </c>
      <c r="E54" s="91" t="str">
        <f>Commodities!$AC$10</f>
        <v>TER_TS_SH</v>
      </c>
      <c r="F54" s="130">
        <f>G54</f>
        <v>2018</v>
      </c>
      <c r="G54" s="92">
        <f>BASE_YEAR+1</f>
        <v>2018</v>
      </c>
      <c r="H54" s="131">
        <f>IFERROR(VLOOKUP(IF(LEN($B54)=18,RIGHT($B54,8),RIGHT($B54,10)),'DATA '!$B$5:$J$31,H$4,FALSE),"")</f>
        <v>0.9</v>
      </c>
      <c r="I54" s="131"/>
      <c r="J54" s="131"/>
      <c r="K54" s="131" t="str">
        <f>IFERROR(VLOOKUP(IF(LEN($B54)=18,RIGHT($B54,8),RIGHT($B54,10)),'DATA '!$B$5:$J$31,K$4,FALSE),"")</f>
        <v/>
      </c>
      <c r="L54" s="131" t="str">
        <f>IFERROR(VLOOKUP(IF(LEN($B54)=18,RIGHT($B54,8),RIGHT($B54,10)),'DATA '!$B$5:$J$31,L$4,FALSE),"")</f>
        <v/>
      </c>
      <c r="M54" s="131" t="str">
        <f>IFERROR(VLOOKUP(IF(LEN($B54)=18,RIGHT($B54,8),RIGHT($B54,10)),'DATA '!$B$5:$J$31,M$4,FALSE),"")</f>
        <v/>
      </c>
      <c r="N54" s="131">
        <f>IFERROR(VLOOKUP(IF(LEN($B54)=18,RIGHT($B54,8),RIGHT($B54,10)),'DATA '!$B$5:$J$31,N$4,FALSE),"")</f>
        <v>156.09872702848568</v>
      </c>
      <c r="O54" s="131">
        <f>IFERROR(VLOOKUP(IF(LEN($B54)=18,RIGHT($B54,8),RIGHT($B54,10)),'DATA '!$B$5:$J$31,O$4,FALSE),"")</f>
        <v>4.9892962600770518</v>
      </c>
      <c r="P54" s="131">
        <f>IFERROR(VLOOKUP(IF(LEN($B54)=18,RIGHT($B54,8),RIGHT($B54,10)),'DATA '!$B$5:$J$31,P$4,FALSE),"")</f>
        <v>0</v>
      </c>
      <c r="Q54" s="132">
        <f>IFERROR(VLOOKUP(IF(LEN($B54)=18,RIGHT($B54,8),RIGHT($B54,10)),'DATA '!$B$5:$K$31,Q$4,FALSE),"")</f>
        <v>20</v>
      </c>
      <c r="R54" s="131">
        <v>31.536000000000001</v>
      </c>
      <c r="S54" s="91"/>
      <c r="U54" s="91"/>
      <c r="V54" s="91"/>
      <c r="W54" s="91" t="str">
        <f>Commodities!$AC$10&amp;"_"&amp;RIGHT(Commodities!$D$181,3)&amp;"_"&amp;$W$3&amp;"_IM02"</f>
        <v>TER_TS_SH_GEO_N_IM02</v>
      </c>
      <c r="X54" s="91" t="s">
        <v>1064</v>
      </c>
      <c r="Y54" s="92" t="str">
        <f>General!$B$2</f>
        <v>PJ</v>
      </c>
      <c r="Z54" s="92" t="str">
        <f>General!$B$5</f>
        <v>GW</v>
      </c>
      <c r="AA54" s="92" t="s">
        <v>44</v>
      </c>
      <c r="AB54" s="92"/>
      <c r="AC54" s="91"/>
      <c r="AE54" s="78"/>
    </row>
    <row r="55" spans="1:31" ht="16.5" customHeight="1" x14ac:dyDescent="0.25">
      <c r="B55" s="86"/>
      <c r="C55" s="86"/>
      <c r="D55" s="86"/>
      <c r="E55" s="86" t="str">
        <f>Commodities!$AC$12</f>
        <v>TER_TS_WH</v>
      </c>
      <c r="F55" s="133">
        <f>F54</f>
        <v>2018</v>
      </c>
      <c r="G55" s="87"/>
      <c r="H55" s="134" t="str">
        <f>IFERROR(VLOOKUP(IF(LEN($B55)=18,RIGHT($B55,8),RIGHT($B55,10)),'DATA '!$B$5:$J$31,H$4,FALSE),"")</f>
        <v/>
      </c>
      <c r="I55" s="134"/>
      <c r="J55" s="134"/>
      <c r="K55" s="134" t="str">
        <f>IFERROR(VLOOKUP(IF(LEN($B55)=18,RIGHT($B55,8),RIGHT($B55,10)),'DATA '!$B$5:$J$31,K$4,FALSE),"")</f>
        <v/>
      </c>
      <c r="L55" s="134" t="str">
        <f>IFERROR(VLOOKUP(IF(LEN($B55)=18,RIGHT($B55,8),RIGHT($B55,10)),'DATA '!$B$5:$J$31,L$4,FALSE),"")</f>
        <v/>
      </c>
      <c r="M55" s="134">
        <v>0.4</v>
      </c>
      <c r="N55" s="134" t="str">
        <f>IFERROR(VLOOKUP(IF(LEN($B55)=18,RIGHT($B55,8),RIGHT($B55,10)),'DATA '!$B$5:$J$31,N$4,FALSE),"")</f>
        <v/>
      </c>
      <c r="O55" s="134" t="str">
        <f>IFERROR(VLOOKUP(IF(LEN($B55)=18,RIGHT($B55,8),RIGHT($B55,10)),'DATA '!$B$5:$J$31,O$4,FALSE),"")</f>
        <v/>
      </c>
      <c r="P55" s="134" t="str">
        <f>IFERROR(VLOOKUP(IF(LEN($B55)=18,RIGHT($B55,8),RIGHT($B55,10)),'DATA '!$B$5:$J$31,P$4,FALSE),"")</f>
        <v/>
      </c>
      <c r="Q55" s="135" t="str">
        <f>IFERROR(VLOOKUP(IF(LEN($B55)=18,RIGHT($B55,8),RIGHT($B55,10)),'DATA '!$B$5:$K$31,Q$4,FALSE),"")</f>
        <v/>
      </c>
      <c r="R55" s="134"/>
      <c r="S55" s="91"/>
      <c r="U55" s="91"/>
      <c r="V55" s="91"/>
      <c r="W55" s="91" t="str">
        <f>Commodities!$AC$10&amp;"_"&amp;RIGHT(Commodities!$D$158,3)&amp;"_"&amp;$W$3&amp;"_ST01"</f>
        <v>TER_TS_SH_DSL_N_ST01</v>
      </c>
      <c r="X55" s="91" t="s">
        <v>1065</v>
      </c>
      <c r="Y55" s="92" t="str">
        <f>General!$B$2</f>
        <v>PJ</v>
      </c>
      <c r="Z55" s="92" t="str">
        <f>General!$B$5</f>
        <v>GW</v>
      </c>
      <c r="AA55" s="92" t="s">
        <v>44</v>
      </c>
      <c r="AB55" s="92"/>
      <c r="AC55" s="91"/>
      <c r="AE55" s="78"/>
    </row>
    <row r="56" spans="1:31" ht="16.5" customHeight="1" x14ac:dyDescent="0.25">
      <c r="B56" s="86" t="str">
        <f>W39</f>
        <v>TER_TS_SH_GAS_N_AD01</v>
      </c>
      <c r="C56" s="86" t="str">
        <f>X39</f>
        <v>Services (Public) SpHeat Gas Boiler Condensing Improved (N)</v>
      </c>
      <c r="D56" s="86" t="str">
        <f>Commodities!$D$197</f>
        <v>TERGASNAT</v>
      </c>
      <c r="E56" s="86" t="str">
        <f>Commodities!$AC$10</f>
        <v>TER_TS_SH</v>
      </c>
      <c r="F56" s="133">
        <f>G56</f>
        <v>2030</v>
      </c>
      <c r="G56" s="87">
        <v>2030</v>
      </c>
      <c r="H56" s="134">
        <f>IFERROR(VLOOKUP(IF(LEN($B56)=18,RIGHT($B56,8),RIGHT($B56,10)),'DATA '!$B$5:$J$31,H$4,FALSE),"")</f>
        <v>0.94500000000000006</v>
      </c>
      <c r="I56" s="134"/>
      <c r="J56" s="134"/>
      <c r="K56" s="134" t="str">
        <f>IFERROR(VLOOKUP(IF(LEN($B56)=18,RIGHT($B56,8),RIGHT($B56,10)),'DATA '!$B$5:$J$31,K$4,FALSE),"")</f>
        <v/>
      </c>
      <c r="L56" s="134" t="str">
        <f>IFERROR(VLOOKUP(IF(LEN($B56)=18,RIGHT($B56,8),RIGHT($B56,10)),'DATA '!$B$5:$J$31,L$4,FALSE),"")</f>
        <v/>
      </c>
      <c r="M56" s="134" t="str">
        <f>IFERROR(VLOOKUP(IF(LEN($B56)=18,RIGHT($B56,8),RIGHT($B56,10)),'DATA '!$B$5:$J$31,M$4,FALSE),"")</f>
        <v/>
      </c>
      <c r="N56" s="134">
        <f>IFERROR(VLOOKUP(IF(LEN($B56)=18,RIGHT($B56,8),RIGHT($B56,10)),'DATA '!$B$5:$J$31,N$4,FALSE),"")</f>
        <v>136.6573401167561</v>
      </c>
      <c r="O56" s="134">
        <f>IFERROR(VLOOKUP(IF(LEN($B56)=18,RIGHT($B56,8),RIGHT($B56,10)),'DATA '!$B$5:$J$31,O$4,FALSE),"")</f>
        <v>4.6400455218716576</v>
      </c>
      <c r="P56" s="134">
        <f>IFERROR(VLOOKUP(IF(LEN($B56)=18,RIGHT($B56,8),RIGHT($B56,10)),'DATA '!$B$5:$J$31,P$4,FALSE),"")</f>
        <v>0</v>
      </c>
      <c r="Q56" s="135">
        <f>IFERROR(VLOOKUP(IF(LEN($B56)=18,RIGHT($B56,8),RIGHT($B56,10)),'DATA '!$B$5:$K$31,Q$4,FALSE),"")</f>
        <v>20</v>
      </c>
      <c r="R56" s="134">
        <v>31.536000000000001</v>
      </c>
      <c r="U56" s="91"/>
      <c r="V56" s="91"/>
      <c r="W56" s="91" t="str">
        <f>Commodities!$AC$10&amp;"_"&amp;RIGHT(Commodities!$D$158,3)&amp;"_"&amp;$W$3&amp;"_ST02"</f>
        <v>TER_TS_SH_DSL_N_ST02</v>
      </c>
      <c r="X56" s="91" t="s">
        <v>1066</v>
      </c>
      <c r="Y56" s="92" t="str">
        <f>General!$B$2</f>
        <v>PJ</v>
      </c>
      <c r="Z56" s="92" t="str">
        <f>General!$B$5</f>
        <v>GW</v>
      </c>
      <c r="AA56" s="92" t="s">
        <v>44</v>
      </c>
      <c r="AB56" s="92"/>
      <c r="AC56" s="91"/>
      <c r="AE56" s="78"/>
    </row>
    <row r="57" spans="1:31" ht="16.5" customHeight="1" x14ac:dyDescent="0.25">
      <c r="B57" s="89" t="str">
        <f>W40</f>
        <v>TER_TS_SH_GAS_N_AD02</v>
      </c>
      <c r="C57" s="89" t="str">
        <f t="shared" ref="C57" si="14">X40</f>
        <v>Services (Public) Combi Gas Boiler Condensing Improved (N)</v>
      </c>
      <c r="D57" s="89" t="str">
        <f>Commodities!$D$197</f>
        <v>TERGASNAT</v>
      </c>
      <c r="E57" s="89" t="str">
        <f>Commodities!$AC$10</f>
        <v>TER_TS_SH</v>
      </c>
      <c r="F57" s="136">
        <f>G57</f>
        <v>2030</v>
      </c>
      <c r="G57" s="90">
        <v>2030</v>
      </c>
      <c r="H57" s="131">
        <f>IFERROR(VLOOKUP(IF(LEN($B57)=18,RIGHT($B57,8),RIGHT($B57,10)),'DATA '!$B$5:$J$31,H$4,FALSE),"")</f>
        <v>0.94500000000000006</v>
      </c>
      <c r="I57" s="131"/>
      <c r="J57" s="131"/>
      <c r="K57" s="131" t="str">
        <f>IFERROR(VLOOKUP(IF(LEN($B57)=18,RIGHT($B57,8),RIGHT($B57,10)),'DATA '!$B$5:$J$31,K$4,FALSE),"")</f>
        <v/>
      </c>
      <c r="L57" s="131" t="str">
        <f>IFERROR(VLOOKUP(IF(LEN($B57)=18,RIGHT($B57,8),RIGHT($B57,10)),'DATA '!$B$5:$J$31,L$4,FALSE),"")</f>
        <v/>
      </c>
      <c r="M57" s="131" t="str">
        <f>IFERROR(VLOOKUP(IF(LEN($B57)=18,RIGHT($B57,8),RIGHT($B57,10)),'DATA '!$B$5:$J$31,M$4,FALSE),"")</f>
        <v/>
      </c>
      <c r="N57" s="131">
        <f>IFERROR(VLOOKUP(IF(LEN($B57)=18,RIGHT($B57,8),RIGHT($B57,10)),'DATA '!$B$5:$J$31,N$4,FALSE),"")</f>
        <v>167.02563792047971</v>
      </c>
      <c r="O57" s="131">
        <f>IFERROR(VLOOKUP(IF(LEN($B57)=18,RIGHT($B57,8),RIGHT($B57,10)),'DATA '!$B$5:$J$31,O$4,FALSE),"")</f>
        <v>4.6400455218716576</v>
      </c>
      <c r="P57" s="131">
        <f>IFERROR(VLOOKUP(IF(LEN($B57)=18,RIGHT($B57,8),RIGHT($B57,10)),'DATA '!$B$5:$J$31,P$4,FALSE),"")</f>
        <v>0</v>
      </c>
      <c r="Q57" s="132">
        <f>IFERROR(VLOOKUP(IF(LEN($B57)=18,RIGHT($B57,8),RIGHT($B57,10)),'DATA '!$B$5:$K$31,Q$4,FALSE),"")</f>
        <v>20</v>
      </c>
      <c r="R57" s="131">
        <v>31.536000000000001</v>
      </c>
      <c r="U57" s="91"/>
      <c r="V57" s="91"/>
      <c r="W57" s="91" t="str">
        <f>Commodities!$AC$10&amp;"_"&amp;RIGHT(Commodities!$D$158,3)&amp;"_"&amp;$W$3&amp;"_IM01"</f>
        <v>TER_TS_SH_DSL_N_IM01</v>
      </c>
      <c r="X57" s="91" t="s">
        <v>1067</v>
      </c>
      <c r="Y57" s="92" t="str">
        <f>General!$B$2</f>
        <v>PJ</v>
      </c>
      <c r="Z57" s="92" t="str">
        <f>General!$B$5</f>
        <v>GW</v>
      </c>
      <c r="AA57" s="92" t="s">
        <v>44</v>
      </c>
      <c r="AB57" s="92"/>
      <c r="AC57" s="91"/>
      <c r="AE57" s="78"/>
    </row>
    <row r="58" spans="1:31" ht="16.5" customHeight="1" x14ac:dyDescent="0.25">
      <c r="B58" s="86"/>
      <c r="C58" s="86"/>
      <c r="D58" s="86"/>
      <c r="E58" s="86" t="str">
        <f>Commodities!$AC$12</f>
        <v>TER_TS_WH</v>
      </c>
      <c r="F58" s="133">
        <f>F57</f>
        <v>2030</v>
      </c>
      <c r="G58" s="87"/>
      <c r="H58" s="134" t="str">
        <f>IFERROR(VLOOKUP(IF(LEN($B58)=18,RIGHT($B58,8),RIGHT($B58,10)),'DATA '!$B$5:$J$31,H$4,FALSE),"")</f>
        <v/>
      </c>
      <c r="I58" s="134"/>
      <c r="J58" s="134"/>
      <c r="K58" s="134" t="str">
        <f>IFERROR(VLOOKUP(IF(LEN($B58)=18,RIGHT($B58,8),RIGHT($B58,10)),'DATA '!$B$5:$J$31,K$4,FALSE),"")</f>
        <v/>
      </c>
      <c r="L58" s="134" t="str">
        <f>IFERROR(VLOOKUP(IF(LEN($B58)=18,RIGHT($B58,8),RIGHT($B58,10)),'DATA '!$B$5:$J$31,L$4,FALSE),"")</f>
        <v/>
      </c>
      <c r="M58" s="134">
        <v>0.4</v>
      </c>
      <c r="N58" s="134" t="str">
        <f>IFERROR(VLOOKUP(IF(LEN($B58)=18,RIGHT($B58,8),RIGHT($B58,10)),'DATA '!$B$5:$J$31,N$4,FALSE),"")</f>
        <v/>
      </c>
      <c r="O58" s="134" t="str">
        <f>IFERROR(VLOOKUP(IF(LEN($B58)=18,RIGHT($B58,8),RIGHT($B58,10)),'DATA '!$B$5:$J$31,O$4,FALSE),"")</f>
        <v/>
      </c>
      <c r="P58" s="134" t="str">
        <f>IFERROR(VLOOKUP(IF(LEN($B58)=18,RIGHT($B58,8),RIGHT($B58,10)),'DATA '!$B$5:$J$31,P$4,FALSE),"")</f>
        <v/>
      </c>
      <c r="Q58" s="135" t="str">
        <f>IFERROR(VLOOKUP(IF(LEN($B58)=18,RIGHT($B58,8),RIGHT($B58,10)),'DATA '!$B$5:$K$31,Q$4,FALSE),"")</f>
        <v/>
      </c>
      <c r="R58" s="134"/>
      <c r="U58" s="91"/>
      <c r="V58" s="91"/>
      <c r="W58" s="91" t="str">
        <f>Commodities!$AC$10&amp;"_"&amp;RIGHT(Commodities!$D$158,3)&amp;"_"&amp;$W$3&amp;"_IM02"</f>
        <v>TER_TS_SH_DSL_N_IM02</v>
      </c>
      <c r="X58" s="91" t="s">
        <v>1068</v>
      </c>
      <c r="Y58" s="92" t="str">
        <f>General!$B$2</f>
        <v>PJ</v>
      </c>
      <c r="Z58" s="92" t="str">
        <f>General!$B$5</f>
        <v>GW</v>
      </c>
      <c r="AA58" s="92" t="s">
        <v>44</v>
      </c>
      <c r="AB58" s="92"/>
      <c r="AC58" s="91"/>
      <c r="AE58" s="78"/>
    </row>
    <row r="59" spans="1:31" ht="16.5" customHeight="1" x14ac:dyDescent="0.25">
      <c r="B59" s="91" t="str">
        <f>W41</f>
        <v>TER_TS_SH_LTH_N_ST01</v>
      </c>
      <c r="C59" s="91" t="str">
        <f>X41</f>
        <v>Services (Public) SpHeat Dist. Heat Standard (N)</v>
      </c>
      <c r="D59" s="91" t="str">
        <f>Commodities!$D$346</f>
        <v>TERLTH</v>
      </c>
      <c r="E59" s="91" t="str">
        <f>Commodities!$AC$10</f>
        <v>TER_TS_SH</v>
      </c>
      <c r="F59" s="130">
        <f t="shared" ref="F59:F60" si="15">G59</f>
        <v>2018</v>
      </c>
      <c r="G59" s="92">
        <f>BASE_YEAR+1</f>
        <v>2018</v>
      </c>
      <c r="H59" s="131">
        <f>IFERROR(VLOOKUP(IF(LEN($B59)=18,RIGHT($B59,8),RIGHT($B59,10)),'DATA '!$B$5:$J$31,H$4,FALSE),"")</f>
        <v>0.9</v>
      </c>
      <c r="I59" s="131"/>
      <c r="J59" s="131"/>
      <c r="K59" s="131" t="str">
        <f>IFERROR(VLOOKUP(IF(LEN($B59)=18,RIGHT($B59,8),RIGHT($B59,10)),'DATA '!$B$5:$J$31,K$4,FALSE),"")</f>
        <v/>
      </c>
      <c r="L59" s="131" t="str">
        <f>IFERROR(VLOOKUP(IF(LEN($B59)=18,RIGHT($B59,8),RIGHT($B59,10)),'DATA '!$B$5:$J$31,L$4,FALSE),"")</f>
        <v/>
      </c>
      <c r="M59" s="131" t="str">
        <f>IFERROR(VLOOKUP(IF(LEN($B59)=18,RIGHT($B59,8),RIGHT($B59,10)),'DATA '!$B$5:$J$31,M$4,FALSE),"")</f>
        <v/>
      </c>
      <c r="N59" s="131">
        <f>IFERROR(VLOOKUP(IF(LEN($B59)=18,RIGHT($B59,8),RIGHT($B59,10)),'DATA '!$B$5:$J$31,N$4,FALSE),"")</f>
        <v>100.33333333333333</v>
      </c>
      <c r="O59" s="131">
        <f>IFERROR(VLOOKUP(IF(LEN($B59)=18,RIGHT($B59,8),RIGHT($B59,10)),'DATA '!$B$5:$J$31,O$4,FALSE),"")</f>
        <v>10.8</v>
      </c>
      <c r="P59" s="131">
        <f>IFERROR(VLOOKUP(IF(LEN($B59)=18,RIGHT($B59,8),RIGHT($B59,10)),'DATA '!$B$5:$J$31,P$4,FALSE),"")</f>
        <v>0</v>
      </c>
      <c r="Q59" s="132">
        <f>IFERROR(VLOOKUP(IF(LEN($B59)=18,RIGHT($B59,8),RIGHT($B59,10)),'DATA '!$B$5:$K$31,Q$4,FALSE),"")</f>
        <v>20</v>
      </c>
      <c r="R59" s="131">
        <v>31.536000000000001</v>
      </c>
    </row>
    <row r="60" spans="1:31" ht="16.5" customHeight="1" x14ac:dyDescent="0.25">
      <c r="B60" s="91" t="str">
        <f t="shared" ref="B60:C60" si="16">W42</f>
        <v>TER_TS_SH_LTH_N_IM01</v>
      </c>
      <c r="C60" s="91" t="str">
        <f t="shared" si="16"/>
        <v>Services (Public) SpHeat Dist. Heat Improved (N)</v>
      </c>
      <c r="D60" s="91" t="str">
        <f>Commodities!$D$346</f>
        <v>TERLTH</v>
      </c>
      <c r="E60" s="91" t="str">
        <f>Commodities!$AC$10</f>
        <v>TER_TS_SH</v>
      </c>
      <c r="F60" s="130">
        <f t="shared" si="15"/>
        <v>2025</v>
      </c>
      <c r="G60" s="92">
        <v>2025</v>
      </c>
      <c r="H60" s="131">
        <f>IFERROR(VLOOKUP(IF(LEN($B60)=18,RIGHT($B60,8),RIGHT($B60,10)),'DATA '!$B$5:$J$31,H$4,FALSE),"")</f>
        <v>0.92</v>
      </c>
      <c r="I60" s="131"/>
      <c r="J60" s="131"/>
      <c r="K60" s="131" t="str">
        <f>IFERROR(VLOOKUP(IF(LEN($B60)=18,RIGHT($B60,8),RIGHT($B60,10)),'DATA '!$B$5:$J$31,K$4,FALSE),"")</f>
        <v/>
      </c>
      <c r="L60" s="131" t="str">
        <f>IFERROR(VLOOKUP(IF(LEN($B60)=18,RIGHT($B60,8),RIGHT($B60,10)),'DATA '!$B$5:$J$31,L$4,FALSE),"")</f>
        <v/>
      </c>
      <c r="M60" s="131" t="str">
        <f>IFERROR(VLOOKUP(IF(LEN($B60)=18,RIGHT($B60,8),RIGHT($B60,10)),'DATA '!$B$5:$J$31,M$4,FALSE),"")</f>
        <v/>
      </c>
      <c r="N60" s="131">
        <f>IFERROR(VLOOKUP(IF(LEN($B60)=18,RIGHT($B60,8),RIGHT($B60,10)),'DATA '!$B$5:$J$31,N$4,FALSE),"")</f>
        <v>105.35000000000001</v>
      </c>
      <c r="O60" s="131">
        <f>IFERROR(VLOOKUP(IF(LEN($B60)=18,RIGHT($B60,8),RIGHT($B60,10)),'DATA '!$B$5:$J$31,O$4,FALSE),"")</f>
        <v>10.26</v>
      </c>
      <c r="P60" s="131">
        <f>IFERROR(VLOOKUP(IF(LEN($B60)=18,RIGHT($B60,8),RIGHT($B60,10)),'DATA '!$B$5:$J$31,P$4,FALSE),"")</f>
        <v>0</v>
      </c>
      <c r="Q60" s="132">
        <f>IFERROR(VLOOKUP(IF(LEN($B60)=18,RIGHT($B60,8),RIGHT($B60,10)),'DATA '!$B$5:$K$31,Q$4,FALSE),"")</f>
        <v>20</v>
      </c>
      <c r="R60" s="131">
        <v>31.536000000000001</v>
      </c>
    </row>
    <row r="61" spans="1:31" ht="16.5" customHeight="1" x14ac:dyDescent="0.25">
      <c r="B61" s="91" t="str">
        <f t="shared" ref="B61:C61" si="17">W43</f>
        <v>TER_TS_SH_LTH_N_AD01</v>
      </c>
      <c r="C61" s="91" t="str">
        <f t="shared" si="17"/>
        <v>Services (Public) SpHeat Dist. Heat Advanced (N)</v>
      </c>
      <c r="D61" s="91" t="str">
        <f>Commodities!$D$346</f>
        <v>TERLTH</v>
      </c>
      <c r="E61" s="91" t="str">
        <f>Commodities!$AC$10</f>
        <v>TER_TS_SH</v>
      </c>
      <c r="F61" s="130">
        <f>F60</f>
        <v>2025</v>
      </c>
      <c r="G61" s="92">
        <v>2030</v>
      </c>
      <c r="H61" s="131">
        <f>IFERROR(VLOOKUP(IF(LEN($B61)=18,RIGHT($B61,8),RIGHT($B61,10)),'DATA '!$B$5:$J$31,H$4,FALSE),"")</f>
        <v>0.95</v>
      </c>
      <c r="I61" s="131"/>
      <c r="J61" s="131"/>
      <c r="K61" s="131" t="str">
        <f>IFERROR(VLOOKUP(IF(LEN($B61)=18,RIGHT($B61,8),RIGHT($B61,10)),'DATA '!$B$5:$J$31,K$4,FALSE),"")</f>
        <v/>
      </c>
      <c r="L61" s="131" t="str">
        <f>IFERROR(VLOOKUP(IF(LEN($B61)=18,RIGHT($B61,8),RIGHT($B61,10)),'DATA '!$B$5:$J$31,L$4,FALSE),"")</f>
        <v/>
      </c>
      <c r="M61" s="131" t="str">
        <f>IFERROR(VLOOKUP(IF(LEN($B61)=18,RIGHT($B61,8),RIGHT($B61,10)),'DATA '!$B$5:$J$31,M$4,FALSE),"")</f>
        <v/>
      </c>
      <c r="N61" s="131">
        <f>IFERROR(VLOOKUP(IF(LEN($B61)=18,RIGHT($B61,8),RIGHT($B61,10)),'DATA '!$B$5:$J$31,N$4,FALSE),"")</f>
        <v>110.61750000000001</v>
      </c>
      <c r="O61" s="131">
        <f>IFERROR(VLOOKUP(IF(LEN($B61)=18,RIGHT($B61,8),RIGHT($B61,10)),'DATA '!$B$5:$J$31,O$4,FALSE),"")</f>
        <v>9.7469999999999999</v>
      </c>
      <c r="P61" s="131">
        <f>IFERROR(VLOOKUP(IF(LEN($B61)=18,RIGHT($B61,8),RIGHT($B61,10)),'DATA '!$B$5:$J$31,P$4,FALSE),"")</f>
        <v>0</v>
      </c>
      <c r="Q61" s="132">
        <f>IFERROR(VLOOKUP(IF(LEN($B61)=18,RIGHT($B61,8),RIGHT($B61,10)),'DATA '!$B$5:$K$31,Q$4,FALSE),"")</f>
        <v>20</v>
      </c>
      <c r="R61" s="131">
        <v>31.536000000000001</v>
      </c>
    </row>
    <row r="62" spans="1:31" ht="16.5" customHeight="1" x14ac:dyDescent="0.25">
      <c r="B62" s="91" t="str">
        <f t="shared" ref="B62:C62" si="18">W44</f>
        <v>TER_TS_SH_ELC_N_ST01</v>
      </c>
      <c r="C62" s="91" t="str">
        <f t="shared" si="18"/>
        <v>Services (Public) SpHeat Electric Heater Standard (N)</v>
      </c>
      <c r="D62" s="91" t="str">
        <f>Commodities!$D$340</f>
        <v>TERELC</v>
      </c>
      <c r="E62" s="91" t="str">
        <f>Commodities!$AC$10</f>
        <v>TER_TS_SH</v>
      </c>
      <c r="F62" s="130">
        <f t="shared" ref="F62:F64" si="19">G62</f>
        <v>2018</v>
      </c>
      <c r="G62" s="92">
        <f>BASE_YEAR+1</f>
        <v>2018</v>
      </c>
      <c r="H62" s="131">
        <f>IFERROR(VLOOKUP(IF(LEN($B62)=18,RIGHT($B62,8),RIGHT($B62,10)),'DATA '!$B$5:$J$31,H$4,FALSE),"")</f>
        <v>0.95</v>
      </c>
      <c r="I62" s="131"/>
      <c r="J62" s="131"/>
      <c r="K62" s="131" t="str">
        <f>IFERROR(VLOOKUP(IF(LEN($B62)=18,RIGHT($B62,8),RIGHT($B62,10)),'DATA '!$B$5:$J$31,K$4,FALSE),"")</f>
        <v/>
      </c>
      <c r="L62" s="131" t="str">
        <f>IFERROR(VLOOKUP(IF(LEN($B62)=18,RIGHT($B62,8),RIGHT($B62,10)),'DATA '!$B$5:$J$31,L$4,FALSE),"")</f>
        <v/>
      </c>
      <c r="M62" s="131" t="str">
        <f>IFERROR(VLOOKUP(IF(LEN($B62)=18,RIGHT($B62,8),RIGHT($B62,10)),'DATA '!$B$5:$J$31,M$4,FALSE),"")</f>
        <v/>
      </c>
      <c r="N62" s="131">
        <f>IFERROR(VLOOKUP(IF(LEN($B62)=18,RIGHT($B62,8),RIGHT($B62,10)),'DATA '!$B$5:$J$31,N$4,FALSE),"")</f>
        <v>356.50000000000006</v>
      </c>
      <c r="O62" s="131">
        <f>IFERROR(VLOOKUP(IF(LEN($B62)=18,RIGHT($B62,8),RIGHT($B62,10)),'DATA '!$B$5:$J$31,O$4,FALSE),"")</f>
        <v>0.15381501720299534</v>
      </c>
      <c r="P62" s="131">
        <f>IFERROR(VLOOKUP(IF(LEN($B62)=18,RIGHT($B62,8),RIGHT($B62,10)),'DATA '!$B$5:$J$31,P$4,FALSE),"")</f>
        <v>0</v>
      </c>
      <c r="Q62" s="132">
        <f>IFERROR(VLOOKUP(IF(LEN($B62)=18,RIGHT($B62,8),RIGHT($B62,10)),'DATA '!$B$5:$K$31,Q$4,FALSE),"")</f>
        <v>15</v>
      </c>
      <c r="R62" s="131">
        <f>31.536/5</f>
        <v>6.3071999999999999</v>
      </c>
    </row>
    <row r="63" spans="1:31" ht="16.5" customHeight="1" x14ac:dyDescent="0.25">
      <c r="B63" s="86" t="str">
        <f t="shared" ref="B63:C63" si="20">W45</f>
        <v>TER_TS_SH_ELC_N_ST02</v>
      </c>
      <c r="C63" s="86" t="str">
        <f t="shared" si="20"/>
        <v>Services (Public) SpHeat ASHP Standard (N)</v>
      </c>
      <c r="D63" s="86" t="str">
        <f>Commodities!$D$340</f>
        <v>TERELC</v>
      </c>
      <c r="E63" s="86" t="str">
        <f>Commodities!$AC$10</f>
        <v>TER_TS_SH</v>
      </c>
      <c r="F63" s="133">
        <f t="shared" si="19"/>
        <v>2018</v>
      </c>
      <c r="G63" s="87">
        <f>BASE_YEAR+1</f>
        <v>2018</v>
      </c>
      <c r="H63" s="134">
        <f>IFERROR(VLOOKUP(IF(LEN($B63)=18,RIGHT($B63,8),RIGHT($B63,10)),'DATA '!$B$5:$J$31,H$4,FALSE),"")</f>
        <v>3</v>
      </c>
      <c r="I63" s="134"/>
      <c r="J63" s="134"/>
      <c r="K63" s="134" t="str">
        <f>IFERROR(VLOOKUP(IF(LEN($B63)=18,RIGHT($B63,8),RIGHT($B63,10)),'DATA '!$B$5:$J$31,K$4,FALSE),"")</f>
        <v/>
      </c>
      <c r="L63" s="134" t="str">
        <f>IFERROR(VLOOKUP(IF(LEN($B63)=18,RIGHT($B63,8),RIGHT($B63,10)),'DATA '!$B$5:$J$31,L$4,FALSE),"")</f>
        <v/>
      </c>
      <c r="M63" s="134" t="str">
        <f>IFERROR(VLOOKUP(IF(LEN($B63)=18,RIGHT($B63,8),RIGHT($B63,10)),'DATA '!$B$5:$J$31,M$4,FALSE),"")</f>
        <v/>
      </c>
      <c r="N63" s="134">
        <f>IFERROR(VLOOKUP(IF(LEN($B63)=18,RIGHT($B63,8),RIGHT($B63,10)),'DATA '!$B$5:$J$31,N$4,FALSE),"")</f>
        <v>680.65943043884226</v>
      </c>
      <c r="O63" s="134">
        <f>IFERROR(VLOOKUP(IF(LEN($B63)=18,RIGHT($B63,8),RIGHT($B63,10)),'DATA '!$B$5:$J$31,O$4,FALSE),"")</f>
        <v>1.1400381590845607</v>
      </c>
      <c r="P63" s="134">
        <f>IFERROR(VLOOKUP(IF(LEN($B63)=18,RIGHT($B63,8),RIGHT($B63,10)),'DATA '!$B$5:$J$31,P$4,FALSE),"")</f>
        <v>0</v>
      </c>
      <c r="Q63" s="135">
        <f>IFERROR(VLOOKUP(IF(LEN($B63)=18,RIGHT($B63,8),RIGHT($B63,10)),'DATA '!$B$5:$K$31,Q$4,FALSE),"")</f>
        <v>15</v>
      </c>
      <c r="R63" s="134">
        <v>31.536000000000001</v>
      </c>
    </row>
    <row r="64" spans="1:31" ht="16.5" customHeight="1" x14ac:dyDescent="0.25">
      <c r="B64" s="89" t="str">
        <f t="shared" ref="B64" si="21">W46</f>
        <v>TER_TS_SH_ELC_N_ST03</v>
      </c>
      <c r="C64" s="89" t="str">
        <f t="shared" ref="C64" si="22">X46</f>
        <v>Services (Public) SpHeat &amp; SpCooling ASHP Standard (N)</v>
      </c>
      <c r="D64" s="89" t="str">
        <f>Commodities!$D$340</f>
        <v>TERELC</v>
      </c>
      <c r="E64" s="89" t="str">
        <f>Commodities!$AC$10</f>
        <v>TER_TS_SH</v>
      </c>
      <c r="F64" s="136">
        <f t="shared" si="19"/>
        <v>2018</v>
      </c>
      <c r="G64" s="92">
        <f>BASE_YEAR+1</f>
        <v>2018</v>
      </c>
      <c r="H64" s="131">
        <f>IFERROR(VLOOKUP(IF(LEN($B64)=18,RIGHT($B64,8),RIGHT($B64,10)),'DATA '!$B$5:$J$31,H$4,FALSE),"")</f>
        <v>3</v>
      </c>
      <c r="I64" s="131"/>
      <c r="J64" s="131"/>
      <c r="K64" s="131" t="str">
        <f>IFERROR(VLOOKUP(IF(LEN($B64)=18,RIGHT($B64,8),RIGHT($B64,10)),'DATA '!$B$5:$J$31,K$4,FALSE),"")</f>
        <v/>
      </c>
      <c r="L64" s="131" t="str">
        <f>IFERROR(VLOOKUP(IF(LEN($B64)=18,RIGHT($B64,8),RIGHT($B64,10)),'DATA '!$B$5:$J$31,L$4,FALSE),"")</f>
        <v/>
      </c>
      <c r="M64" s="131" t="str">
        <f>IFERROR(VLOOKUP(IF(LEN($B64)=18,RIGHT($B64,8),RIGHT($B64,10)),'DATA '!$B$5:$J$31,M$4,FALSE),"")</f>
        <v/>
      </c>
      <c r="N64" s="131">
        <f>IFERROR(VLOOKUP(IF(LEN($B64)=18,RIGHT($B64,8),RIGHT($B64,10)),'DATA '!$B$5:$J$31,N$4,FALSE),"")</f>
        <v>907.54590725178969</v>
      </c>
      <c r="O64" s="131">
        <f>IFERROR(VLOOKUP(IF(LEN($B64)=18,RIGHT($B64,8),RIGHT($B64,10)),'DATA '!$B$5:$J$31,O$4,FALSE),"")</f>
        <v>1.1400381590845607</v>
      </c>
      <c r="P64" s="131">
        <f>IFERROR(VLOOKUP(IF(LEN($B64)=18,RIGHT($B64,8),RIGHT($B64,10)),'DATA '!$B$5:$J$31,P$4,FALSE),"")</f>
        <v>0</v>
      </c>
      <c r="Q64" s="132">
        <f>IFERROR(VLOOKUP(IF(LEN($B64)=18,RIGHT($B64,8),RIGHT($B64,10)),'DATA '!$B$5:$K$31,Q$4,FALSE),"")</f>
        <v>15</v>
      </c>
      <c r="R64" s="131">
        <v>31.536000000000001</v>
      </c>
    </row>
    <row r="65" spans="2:18" ht="16.5" customHeight="1" x14ac:dyDescent="0.25">
      <c r="B65" s="86"/>
      <c r="C65" s="86"/>
      <c r="D65" s="86"/>
      <c r="E65" s="86" t="str">
        <f>Commodities!$AC$14</f>
        <v>TER_TS_SC</v>
      </c>
      <c r="F65" s="133">
        <f>F64</f>
        <v>2018</v>
      </c>
      <c r="G65" s="87"/>
      <c r="H65" s="134" t="str">
        <f>IFERROR(VLOOKUP(IF(LEN($B65)=18,RIGHT($B65,8),RIGHT($B65,10)),'DATA '!$B$5:$J$31,H$4,FALSE),"")</f>
        <v/>
      </c>
      <c r="I65" s="134"/>
      <c r="J65" s="134"/>
      <c r="K65" s="134" t="str">
        <f>IFERROR(VLOOKUP(IF(LEN($B65)=18,RIGHT($B65,8),RIGHT($B65,10)),'DATA '!$B$5:$J$31,K$4,FALSE),"")</f>
        <v/>
      </c>
      <c r="L65" s="134" t="str">
        <f>IFERROR(VLOOKUP(IF(LEN($B65)=18,RIGHT($B65,8),RIGHT($B65,10)),'DATA '!$B$5:$J$31,L$4,FALSE),"")</f>
        <v/>
      </c>
      <c r="M65" s="134" t="str">
        <f>IFERROR(VLOOKUP(IF(LEN($B65)=18,RIGHT($B65,8),RIGHT($B65,10)),'DATA '!$B$5:$J$31,M$4,FALSE),"")</f>
        <v/>
      </c>
      <c r="N65" s="134" t="str">
        <f>IFERROR(VLOOKUP(IF(LEN($B65)=18,RIGHT($B65,8),RIGHT($B65,10)),'DATA '!$B$5:$J$31,N$4,FALSE),"")</f>
        <v/>
      </c>
      <c r="O65" s="134" t="str">
        <f>IFERROR(VLOOKUP(IF(LEN($B65)=18,RIGHT($B65,8),RIGHT($B65,10)),'DATA '!$B$5:$J$31,O$4,FALSE),"")</f>
        <v/>
      </c>
      <c r="P65" s="134" t="str">
        <f>IFERROR(VLOOKUP(IF(LEN($B65)=18,RIGHT($B65,8),RIGHT($B65,10)),'DATA '!$B$5:$J$31,P$4,FALSE),"")</f>
        <v/>
      </c>
      <c r="Q65" s="135" t="str">
        <f>IFERROR(VLOOKUP(IF(LEN($B65)=18,RIGHT($B65,8),RIGHT($B65,10)),'DATA '!$B$5:$K$31,Q$4,FALSE),"")</f>
        <v/>
      </c>
      <c r="R65" s="134"/>
    </row>
    <row r="66" spans="2:18" ht="16.5" customHeight="1" x14ac:dyDescent="0.25">
      <c r="B66" s="86" t="str">
        <f t="shared" ref="B66:B67" si="23">W47</f>
        <v>TER_TS_SH_ELC_N_IM01</v>
      </c>
      <c r="C66" s="86" t="str">
        <f>X47</f>
        <v>Services (Public) SpHeat ASHP Improved (N)</v>
      </c>
      <c r="D66" s="86" t="str">
        <f>Commodities!$D$340</f>
        <v>TERELC</v>
      </c>
      <c r="E66" s="86" t="str">
        <f>Commodities!$AC$10</f>
        <v>TER_TS_SH</v>
      </c>
      <c r="F66" s="133">
        <f t="shared" ref="F66:F67" si="24">G66</f>
        <v>2025</v>
      </c>
      <c r="G66" s="87">
        <v>2025</v>
      </c>
      <c r="H66" s="134">
        <f>IFERROR(VLOOKUP(IF(LEN($B66)=18,RIGHT($B66,8),RIGHT($B66,10)),'DATA '!$B$5:$J$31,H$4,FALSE),"")</f>
        <v>4.5999999999999996</v>
      </c>
      <c r="I66" s="134"/>
      <c r="J66" s="134"/>
      <c r="K66" s="134" t="str">
        <f>IFERROR(VLOOKUP(IF(LEN($B66)=18,RIGHT($B66,8),RIGHT($B66,10)),'DATA '!$B$5:$J$31,K$4,FALSE),"")</f>
        <v/>
      </c>
      <c r="L66" s="134" t="str">
        <f>IFERROR(VLOOKUP(IF(LEN($B66)=18,RIGHT($B66,8),RIGHT($B66,10)),'DATA '!$B$5:$J$31,L$4,FALSE),"")</f>
        <v/>
      </c>
      <c r="M66" s="134" t="str">
        <f>IFERROR(VLOOKUP(IF(LEN($B66)=18,RIGHT($B66,8),RIGHT($B66,10)),'DATA '!$B$5:$J$31,M$4,FALSE),"")</f>
        <v/>
      </c>
      <c r="N66" s="134">
        <f>IFERROR(VLOOKUP(IF(LEN($B66)=18,RIGHT($B66,8),RIGHT($B66,10)),'DATA '!$B$5:$J$31,N$4,FALSE),"")</f>
        <v>728.30559056956133</v>
      </c>
      <c r="O66" s="134">
        <f>IFERROR(VLOOKUP(IF(LEN($B66)=18,RIGHT($B66,8),RIGHT($B66,10)),'DATA '!$B$5:$J$31,O$4,FALSE),"")</f>
        <v>1.0602354879486413</v>
      </c>
      <c r="P66" s="134">
        <f>IFERROR(VLOOKUP(IF(LEN($B66)=18,RIGHT($B66,8),RIGHT($B66,10)),'DATA '!$B$5:$J$31,P$4,FALSE),"")</f>
        <v>0</v>
      </c>
      <c r="Q66" s="135">
        <f>IFERROR(VLOOKUP(IF(LEN($B66)=18,RIGHT($B66,8),RIGHT($B66,10)),'DATA '!$B$5:$K$31,Q$4,FALSE),"")</f>
        <v>15</v>
      </c>
      <c r="R66" s="134">
        <v>31.536000000000001</v>
      </c>
    </row>
    <row r="67" spans="2:18" ht="16.5" customHeight="1" x14ac:dyDescent="0.25">
      <c r="B67" s="89" t="str">
        <f t="shared" si="23"/>
        <v>TER_TS_SH_ELC_N_IM02</v>
      </c>
      <c r="C67" s="89" t="str">
        <f t="shared" ref="C67" si="25">X48</f>
        <v>Services (Public) SpHeat &amp; SpCooling  ASHP Improved (N)</v>
      </c>
      <c r="D67" s="89" t="str">
        <f>Commodities!$D$340</f>
        <v>TERELC</v>
      </c>
      <c r="E67" s="89" t="str">
        <f>Commodities!$AC$10</f>
        <v>TER_TS_SH</v>
      </c>
      <c r="F67" s="136">
        <f t="shared" si="24"/>
        <v>2025</v>
      </c>
      <c r="G67" s="90">
        <v>2025</v>
      </c>
      <c r="H67" s="131">
        <f>IFERROR(VLOOKUP(IF(LEN($B67)=18,RIGHT($B67,8),RIGHT($B67,10)),'DATA '!$B$5:$J$31,H$4,FALSE),"")</f>
        <v>4.5999999999999996</v>
      </c>
      <c r="I67" s="131"/>
      <c r="J67" s="131"/>
      <c r="K67" s="131" t="str">
        <f>IFERROR(VLOOKUP(IF(LEN($B67)=18,RIGHT($B67,8),RIGHT($B67,10)),'DATA '!$B$5:$J$31,K$4,FALSE),"")</f>
        <v/>
      </c>
      <c r="L67" s="131" t="str">
        <f>IFERROR(VLOOKUP(IF(LEN($B67)=18,RIGHT($B67,8),RIGHT($B67,10)),'DATA '!$B$5:$J$31,L$4,FALSE),"")</f>
        <v/>
      </c>
      <c r="M67" s="131" t="str">
        <f>IFERROR(VLOOKUP(IF(LEN($B67)=18,RIGHT($B67,8),RIGHT($B67,10)),'DATA '!$B$5:$J$31,M$4,FALSE),"")</f>
        <v/>
      </c>
      <c r="N67" s="131">
        <f>IFERROR(VLOOKUP(IF(LEN($B67)=18,RIGHT($B67,8),RIGHT($B67,10)),'DATA '!$B$5:$J$31,N$4,FALSE),"")</f>
        <v>971.07412075941511</v>
      </c>
      <c r="O67" s="131">
        <f>IFERROR(VLOOKUP(IF(LEN($B67)=18,RIGHT($B67,8),RIGHT($B67,10)),'DATA '!$B$5:$J$31,O$4,FALSE),"")</f>
        <v>1.0602354879486413</v>
      </c>
      <c r="P67" s="131">
        <f>IFERROR(VLOOKUP(IF(LEN($B67)=18,RIGHT($B67,8),RIGHT($B67,10)),'DATA '!$B$5:$J$31,P$4,FALSE),"")</f>
        <v>0</v>
      </c>
      <c r="Q67" s="132">
        <f>IFERROR(VLOOKUP(IF(LEN($B67)=18,RIGHT($B67,8),RIGHT($B67,10)),'DATA '!$B$5:$K$31,Q$4,FALSE),"")</f>
        <v>15</v>
      </c>
      <c r="R67" s="131">
        <v>31.536000000000001</v>
      </c>
    </row>
    <row r="68" spans="2:18" ht="16.5" customHeight="1" x14ac:dyDescent="0.25">
      <c r="B68" s="86"/>
      <c r="C68" s="86"/>
      <c r="D68" s="86"/>
      <c r="E68" s="86" t="str">
        <f>Commodities!$AC$14</f>
        <v>TER_TS_SC</v>
      </c>
      <c r="F68" s="133">
        <f>F67</f>
        <v>2025</v>
      </c>
      <c r="G68" s="87"/>
      <c r="H68" s="134" t="str">
        <f>IFERROR(VLOOKUP(IF(LEN($B68)=18,RIGHT($B68,8),RIGHT($B68,10)),'DATA '!$B$5:$J$31,H$4,FALSE),"")</f>
        <v/>
      </c>
      <c r="I68" s="134"/>
      <c r="J68" s="134"/>
      <c r="K68" s="134" t="str">
        <f>IFERROR(VLOOKUP(IF(LEN($B68)=18,RIGHT($B68,8),RIGHT($B68,10)),'DATA '!$B$5:$J$31,K$4,FALSE),"")</f>
        <v/>
      </c>
      <c r="L68" s="134" t="str">
        <f>IFERROR(VLOOKUP(IF(LEN($B68)=18,RIGHT($B68,8),RIGHT($B68,10)),'DATA '!$B$5:$J$31,L$4,FALSE),"")</f>
        <v/>
      </c>
      <c r="M68" s="134" t="str">
        <f>IFERROR(VLOOKUP(IF(LEN($B68)=18,RIGHT($B68,8),RIGHT($B68,10)),'DATA '!$B$5:$J$31,M$4,FALSE),"")</f>
        <v/>
      </c>
      <c r="N68" s="134" t="str">
        <f>IFERROR(VLOOKUP(IF(LEN($B68)=18,RIGHT($B68,8),RIGHT($B68,10)),'DATA '!$B$5:$J$31,N$4,FALSE),"")</f>
        <v/>
      </c>
      <c r="O68" s="134" t="str">
        <f>IFERROR(VLOOKUP(IF(LEN($B68)=18,RIGHT($B68,8),RIGHT($B68,10)),'DATA '!$B$5:$J$31,O$4,FALSE),"")</f>
        <v/>
      </c>
      <c r="P68" s="134" t="str">
        <f>IFERROR(VLOOKUP(IF(LEN($B68)=18,RIGHT($B68,8),RIGHT($B68,10)),'DATA '!$B$5:$J$31,P$4,FALSE),"")</f>
        <v/>
      </c>
      <c r="Q68" s="135" t="str">
        <f>IFERROR(VLOOKUP(IF(LEN($B68)=18,RIGHT($B68,8),RIGHT($B68,10)),'DATA '!$B$5:$K$31,Q$4,FALSE),"")</f>
        <v/>
      </c>
      <c r="R68" s="134"/>
    </row>
    <row r="69" spans="2:18" ht="16.5" customHeight="1" x14ac:dyDescent="0.25">
      <c r="B69" s="86" t="str">
        <f>W49</f>
        <v>TER_TS_SH_ELC_N_AD01</v>
      </c>
      <c r="C69" s="86" t="str">
        <f>X49</f>
        <v>Services (Public) SpHeat ASHP Advanced (N)</v>
      </c>
      <c r="D69" s="86" t="str">
        <f>Commodities!$D$340</f>
        <v>TERELC</v>
      </c>
      <c r="E69" s="86" t="str">
        <f>Commodities!$AC$10</f>
        <v>TER_TS_SH</v>
      </c>
      <c r="F69" s="133">
        <f t="shared" ref="F69" si="26">G69</f>
        <v>2035</v>
      </c>
      <c r="G69" s="87">
        <v>2035</v>
      </c>
      <c r="H69" s="134">
        <f>IFERROR(VLOOKUP(IF(LEN($B69)=18,RIGHT($B69,8),RIGHT($B69,10)),'DATA '!$B$5:$J$31,H$4,FALSE),"")</f>
        <v>5</v>
      </c>
      <c r="I69" s="134"/>
      <c r="J69" s="134"/>
      <c r="K69" s="134" t="str">
        <f>IFERROR(VLOOKUP(IF(LEN($B69)=18,RIGHT($B69,8),RIGHT($B69,10)),'DATA '!$B$5:$J$31,K$4,FALSE),"")</f>
        <v/>
      </c>
      <c r="L69" s="134" t="str">
        <f>IFERROR(VLOOKUP(IF(LEN($B69)=18,RIGHT($B69,8),RIGHT($B69,10)),'DATA '!$B$5:$J$31,L$4,FALSE),"")</f>
        <v/>
      </c>
      <c r="M69" s="134" t="str">
        <f>IFERROR(VLOOKUP(IF(LEN($B69)=18,RIGHT($B69,8),RIGHT($B69,10)),'DATA '!$B$5:$J$31,M$4,FALSE),"")</f>
        <v/>
      </c>
      <c r="N69" s="134">
        <f>IFERROR(VLOOKUP(IF(LEN($B69)=18,RIGHT($B69,8),RIGHT($B69,10)),'DATA '!$B$5:$J$31,N$4,FALSE),"")</f>
        <v>764.72087009803943</v>
      </c>
      <c r="O69" s="134">
        <f>IFERROR(VLOOKUP(IF(LEN($B69)=18,RIGHT($B69,8),RIGHT($B69,10)),'DATA '!$B$5:$J$31,O$4,FALSE),"")</f>
        <v>1.0072237135512092</v>
      </c>
      <c r="P69" s="134">
        <f>IFERROR(VLOOKUP(IF(LEN($B69)=18,RIGHT($B69,8),RIGHT($B69,10)),'DATA '!$B$5:$J$31,P$4,FALSE),"")</f>
        <v>0</v>
      </c>
      <c r="Q69" s="135">
        <f>IFERROR(VLOOKUP(IF(LEN($B69)=18,RIGHT($B69,8),RIGHT($B69,10)),'DATA '!$B$5:$K$31,Q$4,FALSE),"")</f>
        <v>15</v>
      </c>
      <c r="R69" s="134">
        <v>31.536000000000001</v>
      </c>
    </row>
    <row r="70" spans="2:18" ht="16.5" customHeight="1" x14ac:dyDescent="0.25">
      <c r="B70" s="89" t="str">
        <f t="shared" ref="B70:C70" si="27">W50</f>
        <v>TER_TS_SH_ELC_N_AD02</v>
      </c>
      <c r="C70" s="89" t="str">
        <f t="shared" si="27"/>
        <v>Services (Public) SpHeat &amp; SpCooling ASHP Advanced (N)</v>
      </c>
      <c r="D70" s="89" t="str">
        <f>Commodities!$D$340</f>
        <v>TERELC</v>
      </c>
      <c r="E70" s="89" t="str">
        <f>Commodities!$AC$10</f>
        <v>TER_TS_SH</v>
      </c>
      <c r="F70" s="136">
        <f>G70</f>
        <v>2035</v>
      </c>
      <c r="G70" s="90">
        <v>2035</v>
      </c>
      <c r="H70" s="131">
        <f>IFERROR(VLOOKUP(IF(LEN($B70)=18,RIGHT($B70,8),RIGHT($B70,10)),'DATA '!$B$5:$J$31,H$4,FALSE),"")</f>
        <v>5</v>
      </c>
      <c r="I70" s="131"/>
      <c r="J70" s="131"/>
      <c r="K70" s="131" t="str">
        <f>IFERROR(VLOOKUP(IF(LEN($B70)=18,RIGHT($B70,8),RIGHT($B70,10)),'DATA '!$B$5:$J$31,K$4,FALSE),"")</f>
        <v/>
      </c>
      <c r="L70" s="131" t="str">
        <f>IFERROR(VLOOKUP(IF(LEN($B70)=18,RIGHT($B70,8),RIGHT($B70,10)),'DATA '!$B$5:$J$31,L$4,FALSE),"")</f>
        <v/>
      </c>
      <c r="M70" s="131" t="str">
        <f>IFERROR(VLOOKUP(IF(LEN($B70)=18,RIGHT($B70,8),RIGHT($B70,10)),'DATA '!$B$5:$J$31,M$4,FALSE),"")</f>
        <v/>
      </c>
      <c r="N70" s="131">
        <f>IFERROR(VLOOKUP(IF(LEN($B70)=18,RIGHT($B70,8),RIGHT($B70,10)),'DATA '!$B$5:$J$31,N$4,FALSE),"")</f>
        <v>1019.627826797386</v>
      </c>
      <c r="O70" s="131">
        <f>IFERROR(VLOOKUP(IF(LEN($B70)=18,RIGHT($B70,8),RIGHT($B70,10)),'DATA '!$B$5:$J$31,O$4,FALSE),"")</f>
        <v>1.0072237135512092</v>
      </c>
      <c r="P70" s="131">
        <f>IFERROR(VLOOKUP(IF(LEN($B70)=18,RIGHT($B70,8),RIGHT($B70,10)),'DATA '!$B$5:$J$31,P$4,FALSE),"")</f>
        <v>0</v>
      </c>
      <c r="Q70" s="132">
        <f>IFERROR(VLOOKUP(IF(LEN($B70)=18,RIGHT($B70,8),RIGHT($B70,10)),'DATA '!$B$5:$K$31,Q$4,FALSE),"")</f>
        <v>15</v>
      </c>
      <c r="R70" s="131">
        <v>31.536000000000001</v>
      </c>
    </row>
    <row r="71" spans="2:18" ht="16.5" customHeight="1" x14ac:dyDescent="0.25">
      <c r="B71" s="86"/>
      <c r="C71" s="86"/>
      <c r="D71" s="86"/>
      <c r="E71" s="86" t="str">
        <f>Commodities!$AC$14</f>
        <v>TER_TS_SC</v>
      </c>
      <c r="F71" s="133">
        <f>F70</f>
        <v>2035</v>
      </c>
      <c r="G71" s="87"/>
      <c r="H71" s="134" t="str">
        <f>IFERROR(VLOOKUP(IF(LEN($B71)=18,RIGHT($B71,8),RIGHT($B71,10)),'DATA '!$B$5:$J$31,H$4,FALSE),"")</f>
        <v/>
      </c>
      <c r="I71" s="134"/>
      <c r="J71" s="134"/>
      <c r="K71" s="134" t="str">
        <f>IFERROR(VLOOKUP(IF(LEN($B71)=18,RIGHT($B71,8),RIGHT($B71,10)),'DATA '!$B$5:$J$31,K$4,FALSE),"")</f>
        <v/>
      </c>
      <c r="L71" s="134" t="str">
        <f>IFERROR(VLOOKUP(IF(LEN($B71)=18,RIGHT($B71,8),RIGHT($B71,10)),'DATA '!$B$5:$J$31,L$4,FALSE),"")</f>
        <v/>
      </c>
      <c r="M71" s="134" t="str">
        <f>IFERROR(VLOOKUP(IF(LEN($B71)=18,RIGHT($B71,8),RIGHT($B71,10)),'DATA '!$B$5:$J$31,M$4,FALSE),"")</f>
        <v/>
      </c>
      <c r="N71" s="134" t="str">
        <f>IFERROR(VLOOKUP(IF(LEN($B71)=18,RIGHT($B71,8),RIGHT($B71,10)),'DATA '!$B$5:$J$31,N$4,FALSE),"")</f>
        <v/>
      </c>
      <c r="O71" s="134" t="str">
        <f>IFERROR(VLOOKUP(IF(LEN($B71)=18,RIGHT($B71,8),RIGHT($B71,10)),'DATA '!$B$5:$J$31,O$4,FALSE),"")</f>
        <v/>
      </c>
      <c r="P71" s="134" t="str">
        <f>IFERROR(VLOOKUP(IF(LEN($B71)=18,RIGHT($B71,8),RIGHT($B71,10)),'DATA '!$B$5:$J$31,P$4,FALSE),"")</f>
        <v/>
      </c>
      <c r="Q71" s="135" t="str">
        <f>IFERROR(VLOOKUP(IF(LEN($B71)=18,RIGHT($B71,8),RIGHT($B71,10)),'DATA '!$B$5:$K$31,Q$4,FALSE),"")</f>
        <v/>
      </c>
      <c r="R71" s="134"/>
    </row>
    <row r="72" spans="2:18" ht="16.5" customHeight="1" x14ac:dyDescent="0.25">
      <c r="B72" s="89" t="str">
        <f>W51</f>
        <v>TER_TS_SH_GEO_N_ST01</v>
      </c>
      <c r="C72" s="89" t="str">
        <f t="shared" ref="C72" si="28">X51</f>
        <v>Services (Public) SpHeat GSHP Standard (N)</v>
      </c>
      <c r="D72" s="89" t="str">
        <f>Commodities!$D$340</f>
        <v>TERELC</v>
      </c>
      <c r="E72" s="89" t="str">
        <f>Commodities!$AC$10</f>
        <v>TER_TS_SH</v>
      </c>
      <c r="F72" s="136">
        <f t="shared" ref="F72" si="29">G72</f>
        <v>2018</v>
      </c>
      <c r="G72" s="92">
        <f>BASE_YEAR+1</f>
        <v>2018</v>
      </c>
      <c r="H72" s="131">
        <f>IFERROR(VLOOKUP(IF(LEN($B72)=18,RIGHT($B72,8),RIGHT($B72,10)),'DATA '!$B$5:$J$31,H$4,FALSE),"")</f>
        <v>4.5999999999999996</v>
      </c>
      <c r="I72" s="131"/>
      <c r="J72" s="131"/>
      <c r="K72" s="131" t="str">
        <f>IFERROR(VLOOKUP(IF(LEN($B72)=18,RIGHT($B72,8),RIGHT($B72,10)),'DATA '!$B$5:$J$31,K$4,FALSE),"")</f>
        <v/>
      </c>
      <c r="L72" s="131" t="str">
        <f>IFERROR(VLOOKUP(IF(LEN($B72)=18,RIGHT($B72,8),RIGHT($B72,10)),'DATA '!$B$5:$J$31,L$4,FALSE),"")</f>
        <v/>
      </c>
      <c r="M72" s="131" t="str">
        <f>IFERROR(VLOOKUP(IF(LEN($B72)=18,RIGHT($B72,8),RIGHT($B72,10)),'DATA '!$B$5:$J$31,M$4,FALSE),"")</f>
        <v/>
      </c>
      <c r="N72" s="131">
        <f>IFERROR(VLOOKUP(IF(LEN($B72)=18,RIGHT($B72,8),RIGHT($B72,10)),'DATA '!$B$5:$J$31,N$4,FALSE),"")</f>
        <v>954.69367588932812</v>
      </c>
      <c r="O72" s="131">
        <f>IFERROR(VLOOKUP(IF(LEN($B72)=18,RIGHT($B72,8),RIGHT($B72,10)),'DATA '!$B$5:$J$31,O$4,FALSE),"")</f>
        <v>1.8983807928531549</v>
      </c>
      <c r="P72" s="131">
        <f>IFERROR(VLOOKUP(IF(LEN($B72)=18,RIGHT($B72,8),RIGHT($B72,10)),'DATA '!$B$5:$J$31,P$4,FALSE),"")</f>
        <v>0</v>
      </c>
      <c r="Q72" s="132">
        <f>IFERROR(VLOOKUP(IF(LEN($B72)=18,RIGHT($B72,8),RIGHT($B72,10)),'DATA '!$B$5:$K$31,Q$4,FALSE),"")</f>
        <v>15</v>
      </c>
      <c r="R72" s="131">
        <v>31.536000000000001</v>
      </c>
    </row>
    <row r="73" spans="2:18" ht="16.5" customHeight="1" x14ac:dyDescent="0.25">
      <c r="B73" s="86"/>
      <c r="C73" s="86"/>
      <c r="D73" s="86" t="str">
        <f>Commodities!$D$213</f>
        <v>TERRESGEO</v>
      </c>
      <c r="E73" s="86"/>
      <c r="F73" s="133">
        <f>F72</f>
        <v>2018</v>
      </c>
      <c r="G73" s="87"/>
      <c r="H73" s="134" t="str">
        <f>IFERROR(VLOOKUP(IF(LEN($B73)=18,RIGHT($B73,8),RIGHT($B73,10)),'DATA '!$B$5:$J$31,H$4,FALSE),"")</f>
        <v/>
      </c>
      <c r="I73" s="134"/>
      <c r="J73" s="134"/>
      <c r="K73" s="134" t="str">
        <f>IFERROR(VLOOKUP(IF(LEN($B73)=18,RIGHT($B73,8),RIGHT($B73,10)),'DATA '!$B$5:$J$31,K$4,FALSE),"")</f>
        <v/>
      </c>
      <c r="L73" s="134">
        <v>0.2</v>
      </c>
      <c r="M73" s="134" t="str">
        <f>IFERROR(VLOOKUP(IF(LEN($B73)=18,RIGHT($B73,8),RIGHT($B73,10)),'DATA '!$B$5:$J$31,M$4,FALSE),"")</f>
        <v/>
      </c>
      <c r="N73" s="134" t="str">
        <f>IFERROR(VLOOKUP(IF(LEN($B73)=18,RIGHT($B73,8),RIGHT($B73,10)),'DATA '!$B$5:$J$31,N$4,FALSE),"")</f>
        <v/>
      </c>
      <c r="O73" s="134" t="str">
        <f>IFERROR(VLOOKUP(IF(LEN($B73)=18,RIGHT($B73,8),RIGHT($B73,10)),'DATA '!$B$5:$J$31,O$4,FALSE),"")</f>
        <v/>
      </c>
      <c r="P73" s="134" t="str">
        <f>IFERROR(VLOOKUP(IF(LEN($B73)=18,RIGHT($B73,8),RIGHT($B73,10)),'DATA '!$B$5:$J$31,P$4,FALSE),"")</f>
        <v/>
      </c>
      <c r="Q73" s="135" t="str">
        <f>IFERROR(VLOOKUP(IF(LEN($B73)=18,RIGHT($B73,8),RIGHT($B73,10)),'DATA '!$B$5:$K$31,Q$4,FALSE),"")</f>
        <v/>
      </c>
      <c r="R73" s="134"/>
    </row>
    <row r="74" spans="2:18" ht="16.5" customHeight="1" x14ac:dyDescent="0.25">
      <c r="B74" s="89" t="str">
        <f>W52</f>
        <v>TER_TS_SH_GEO_N_ST02</v>
      </c>
      <c r="C74" s="89" t="str">
        <f t="shared" ref="C74" si="30">X52</f>
        <v>Services (Public) SpHeat &amp; SpCooling GSHP Standard (N)</v>
      </c>
      <c r="D74" s="89" t="str">
        <f>Commodities!$D$340</f>
        <v>TERELC</v>
      </c>
      <c r="E74" s="89" t="str">
        <f>Commodities!$AC$10</f>
        <v>TER_TS_SH</v>
      </c>
      <c r="F74" s="136">
        <f t="shared" ref="F74" si="31">G74</f>
        <v>2018</v>
      </c>
      <c r="G74" s="92">
        <f>BASE_YEAR+1</f>
        <v>2018</v>
      </c>
      <c r="H74" s="131">
        <f>IFERROR(VLOOKUP(IF(LEN($B74)=18,RIGHT($B74,8),RIGHT($B74,10)),'DATA '!$B$5:$J$31,H$4,FALSE),"")</f>
        <v>4.5999999999999996</v>
      </c>
      <c r="I74" s="131"/>
      <c r="J74" s="131"/>
      <c r="K74" s="131" t="str">
        <f>IFERROR(VLOOKUP(IF(LEN($B74)=18,RIGHT($B74,8),RIGHT($B74,10)),'DATA '!$B$5:$J$31,K$4,FALSE),"")</f>
        <v/>
      </c>
      <c r="L74" s="131" t="str">
        <f>IFERROR(VLOOKUP(IF(LEN($B74)=18,RIGHT($B74,8),RIGHT($B74,10)),'DATA '!$B$5:$J$31,L$4,FALSE),"")</f>
        <v/>
      </c>
      <c r="M74" s="131" t="str">
        <f>IFERROR(VLOOKUP(IF(LEN($B74)=18,RIGHT($B74,8),RIGHT($B74,10)),'DATA '!$B$5:$J$31,M$4,FALSE),"")</f>
        <v/>
      </c>
      <c r="N74" s="131">
        <f>IFERROR(VLOOKUP(IF(LEN($B74)=18,RIGHT($B74,8),RIGHT($B74,10)),'DATA '!$B$5:$J$31,N$4,FALSE),"")</f>
        <v>1272.924901185771</v>
      </c>
      <c r="O74" s="131">
        <f>IFERROR(VLOOKUP(IF(LEN($B74)=18,RIGHT($B74,8),RIGHT($B74,10)),'DATA '!$B$5:$J$31,O$4,FALSE),"")</f>
        <v>1.8983807928531549</v>
      </c>
      <c r="P74" s="131">
        <f>IFERROR(VLOOKUP(IF(LEN($B74)=18,RIGHT($B74,8),RIGHT($B74,10)),'DATA '!$B$5:$J$31,P$4,FALSE),"")</f>
        <v>0</v>
      </c>
      <c r="Q74" s="132">
        <f>IFERROR(VLOOKUP(IF(LEN($B74)=18,RIGHT($B74,8),RIGHT($B74,10)),'DATA '!$B$5:$K$31,Q$4,FALSE),"")</f>
        <v>15</v>
      </c>
      <c r="R74" s="131">
        <v>31.536000000000001</v>
      </c>
    </row>
    <row r="75" spans="2:18" ht="16.5" customHeight="1" x14ac:dyDescent="0.25">
      <c r="B75" s="86"/>
      <c r="C75" s="86"/>
      <c r="D75" s="86" t="str">
        <f>Commodities!$D$213</f>
        <v>TERRESGEO</v>
      </c>
      <c r="E75" s="86" t="str">
        <f>Commodities!$AC$14</f>
        <v>TER_TS_SC</v>
      </c>
      <c r="F75" s="133">
        <f>F74</f>
        <v>2018</v>
      </c>
      <c r="G75" s="87"/>
      <c r="H75" s="134" t="str">
        <f>IFERROR(VLOOKUP(IF(LEN($B75)=18,RIGHT($B75,8),RIGHT($B75,10)),'DATA '!$B$5:$J$31,H$4,FALSE),"")</f>
        <v/>
      </c>
      <c r="I75" s="134"/>
      <c r="J75" s="134"/>
      <c r="K75" s="134" t="str">
        <f>IFERROR(VLOOKUP(IF(LEN($B75)=18,RIGHT($B75,8),RIGHT($B75,10)),'DATA '!$B$5:$J$31,K$4,FALSE),"")</f>
        <v/>
      </c>
      <c r="L75" s="134">
        <v>0.2</v>
      </c>
      <c r="M75" s="134" t="str">
        <f>IFERROR(VLOOKUP(IF(LEN($B75)=18,RIGHT($B75,8),RIGHT($B75,10)),'DATA '!$B$5:$J$31,M$4,FALSE),"")</f>
        <v/>
      </c>
      <c r="N75" s="134" t="str">
        <f>IFERROR(VLOOKUP(IF(LEN($B75)=18,RIGHT($B75,8),RIGHT($B75,10)),'DATA '!$B$5:$J$31,N$4,FALSE),"")</f>
        <v/>
      </c>
      <c r="O75" s="134" t="str">
        <f>IFERROR(VLOOKUP(IF(LEN($B75)=18,RIGHT($B75,8),RIGHT($B75,10)),'DATA '!$B$5:$J$31,O$4,FALSE),"")</f>
        <v/>
      </c>
      <c r="P75" s="134" t="str">
        <f>IFERROR(VLOOKUP(IF(LEN($B75)=18,RIGHT($B75,8),RIGHT($B75,10)),'DATA '!$B$5:$J$31,P$4,FALSE),"")</f>
        <v/>
      </c>
      <c r="Q75" s="135" t="str">
        <f>IFERROR(VLOOKUP(IF(LEN($B75)=18,RIGHT($B75,8),RIGHT($B75,10)),'DATA '!$B$5:$K$31,Q$4,FALSE),"")</f>
        <v/>
      </c>
      <c r="R75" s="134"/>
    </row>
    <row r="76" spans="2:18" ht="16.5" customHeight="1" x14ac:dyDescent="0.25">
      <c r="B76" s="89" t="str">
        <f>W53</f>
        <v>TER_TS_SH_GEO_N_IM01</v>
      </c>
      <c r="C76" s="89" t="str">
        <f t="shared" ref="C76" si="32">X53</f>
        <v>Services (Public) SpHeat GSHP Improved (N)</v>
      </c>
      <c r="D76" s="89" t="str">
        <f>Commodities!$D$340</f>
        <v>TERELC</v>
      </c>
      <c r="E76" s="89" t="str">
        <f>Commodities!$AC$10</f>
        <v>TER_TS_SH</v>
      </c>
      <c r="F76" s="136">
        <f t="shared" ref="F76" si="33">G76</f>
        <v>2020</v>
      </c>
      <c r="G76" s="90">
        <f>BASE_YEAR+3</f>
        <v>2020</v>
      </c>
      <c r="H76" s="131">
        <f>IFERROR(VLOOKUP(IF(LEN($B76)=18,RIGHT($B76,8),RIGHT($B76,10)),'DATA '!$B$5:$J$31,H$4,FALSE),"")</f>
        <v>4.83</v>
      </c>
      <c r="I76" s="131"/>
      <c r="J76" s="131"/>
      <c r="K76" s="131" t="str">
        <f>IFERROR(VLOOKUP(IF(LEN($B76)=18,RIGHT($B76,8),RIGHT($B76,10)),'DATA '!$B$5:$J$31,K$4,FALSE),"")</f>
        <v/>
      </c>
      <c r="L76" s="131" t="str">
        <f>IFERROR(VLOOKUP(IF(LEN($B76)=18,RIGHT($B76,8),RIGHT($B76,10)),'DATA '!$B$5:$J$31,L$4,FALSE),"")</f>
        <v/>
      </c>
      <c r="M76" s="131" t="str">
        <f>IFERROR(VLOOKUP(IF(LEN($B76)=18,RIGHT($B76,8),RIGHT($B76,10)),'DATA '!$B$5:$J$31,M$4,FALSE),"")</f>
        <v/>
      </c>
      <c r="N76" s="131">
        <f>IFERROR(VLOOKUP(IF(LEN($B76)=18,RIGHT($B76,8),RIGHT($B76,10)),'DATA '!$B$5:$J$31,N$4,FALSE),"")</f>
        <v>1021.5222332015812</v>
      </c>
      <c r="O76" s="131">
        <f>IFERROR(VLOOKUP(IF(LEN($B76)=18,RIGHT($B76,8),RIGHT($B76,10)),'DATA '!$B$5:$J$31,O$4,FALSE),"")</f>
        <v>1.7654941373534339</v>
      </c>
      <c r="P76" s="131">
        <f>IFERROR(VLOOKUP(IF(LEN($B76)=18,RIGHT($B76,8),RIGHT($B76,10)),'DATA '!$B$5:$J$31,P$4,FALSE),"")</f>
        <v>0</v>
      </c>
      <c r="Q76" s="132">
        <f>IFERROR(VLOOKUP(IF(LEN($B76)=18,RIGHT($B76,8),RIGHT($B76,10)),'DATA '!$B$5:$K$31,Q$4,FALSE),"")</f>
        <v>15</v>
      </c>
      <c r="R76" s="131">
        <v>31.536000000000001</v>
      </c>
    </row>
    <row r="77" spans="2:18" ht="16.5" customHeight="1" x14ac:dyDescent="0.25">
      <c r="B77" s="86"/>
      <c r="C77" s="86"/>
      <c r="D77" s="86" t="str">
        <f>Commodities!$D$213</f>
        <v>TERRESGEO</v>
      </c>
      <c r="E77" s="86"/>
      <c r="F77" s="133">
        <f>F76</f>
        <v>2020</v>
      </c>
      <c r="G77" s="87"/>
      <c r="H77" s="134" t="str">
        <f>IFERROR(VLOOKUP(IF(LEN($B77)=18,RIGHT($B77,8),RIGHT($B77,10)),'DATA '!$B$5:$J$31,H$4,FALSE),"")</f>
        <v/>
      </c>
      <c r="I77" s="134"/>
      <c r="J77" s="134"/>
      <c r="K77" s="134" t="str">
        <f>IFERROR(VLOOKUP(IF(LEN($B77)=18,RIGHT($B77,8),RIGHT($B77,10)),'DATA '!$B$5:$J$31,K$4,FALSE),"")</f>
        <v/>
      </c>
      <c r="L77" s="134">
        <v>0.2</v>
      </c>
      <c r="M77" s="134" t="str">
        <f>IFERROR(VLOOKUP(IF(LEN($B77)=18,RIGHT($B77,8),RIGHT($B77,10)),'DATA '!$B$5:$J$31,M$4,FALSE),"")</f>
        <v/>
      </c>
      <c r="N77" s="134" t="str">
        <f>IFERROR(VLOOKUP(IF(LEN($B77)=18,RIGHT($B77,8),RIGHT($B77,10)),'DATA '!$B$5:$J$31,N$4,FALSE),"")</f>
        <v/>
      </c>
      <c r="O77" s="134" t="str">
        <f>IFERROR(VLOOKUP(IF(LEN($B77)=18,RIGHT($B77,8),RIGHT($B77,10)),'DATA '!$B$5:$J$31,O$4,FALSE),"")</f>
        <v/>
      </c>
      <c r="P77" s="134" t="str">
        <f>IFERROR(VLOOKUP(IF(LEN($B77)=18,RIGHT($B77,8),RIGHT($B77,10)),'DATA '!$B$5:$J$31,P$4,FALSE),"")</f>
        <v/>
      </c>
      <c r="Q77" s="135" t="str">
        <f>IFERROR(VLOOKUP(IF(LEN($B77)=18,RIGHT($B77,8),RIGHT($B77,10)),'DATA '!$B$5:$K$31,Q$4,FALSE),"")</f>
        <v/>
      </c>
      <c r="R77" s="134"/>
    </row>
    <row r="78" spans="2:18" ht="16.5" customHeight="1" x14ac:dyDescent="0.25">
      <c r="B78" s="89" t="str">
        <f>W54</f>
        <v>TER_TS_SH_GEO_N_IM02</v>
      </c>
      <c r="C78" s="89" t="str">
        <f>X54</f>
        <v>Services (Public) SpHeat &amp; SpCooling GSHP Improved (N)</v>
      </c>
      <c r="D78" s="89" t="str">
        <f>Commodities!$D$340</f>
        <v>TERELC</v>
      </c>
      <c r="E78" s="89" t="str">
        <f>Commodities!$AC$10</f>
        <v>TER_TS_SH</v>
      </c>
      <c r="F78" s="136">
        <f t="shared" ref="F78" si="34">G78</f>
        <v>2020</v>
      </c>
      <c r="G78" s="90">
        <f>BASE_YEAR+3</f>
        <v>2020</v>
      </c>
      <c r="H78" s="131">
        <f>IFERROR(VLOOKUP(IF(LEN($B78)=18,RIGHT($B78,8),RIGHT($B78,10)),'DATA '!$B$5:$J$31,H$4,FALSE),"")</f>
        <v>4.83</v>
      </c>
      <c r="I78" s="131"/>
      <c r="J78" s="131"/>
      <c r="K78" s="131" t="str">
        <f>IFERROR(VLOOKUP(IF(LEN($B78)=18,RIGHT($B78,8),RIGHT($B78,10)),'DATA '!$B$5:$J$31,K$4,FALSE),"")</f>
        <v/>
      </c>
      <c r="L78" s="131" t="str">
        <f>IFERROR(VLOOKUP(IF(LEN($B78)=18,RIGHT($B78,8),RIGHT($B78,10)),'DATA '!$B$5:$J$31,L$4,FALSE),"")</f>
        <v/>
      </c>
      <c r="M78" s="131" t="str">
        <f>IFERROR(VLOOKUP(IF(LEN($B78)=18,RIGHT($B78,8),RIGHT($B78,10)),'DATA '!$B$5:$J$31,M$4,FALSE),"")</f>
        <v/>
      </c>
      <c r="N78" s="131">
        <f>IFERROR(VLOOKUP(IF(LEN($B78)=18,RIGHT($B78,8),RIGHT($B78,10)),'DATA '!$B$5:$J$31,N$4,FALSE),"")</f>
        <v>1362.029644268775</v>
      </c>
      <c r="O78" s="131">
        <f>IFERROR(VLOOKUP(IF(LEN($B78)=18,RIGHT($B78,8),RIGHT($B78,10)),'DATA '!$B$5:$J$31,O$4,FALSE),"")</f>
        <v>1.6419095477386934</v>
      </c>
      <c r="P78" s="131">
        <f>IFERROR(VLOOKUP(IF(LEN($B78)=18,RIGHT($B78,8),RIGHT($B78,10)),'DATA '!$B$5:$J$31,P$4,FALSE),"")</f>
        <v>0</v>
      </c>
      <c r="Q78" s="132">
        <f>IFERROR(VLOOKUP(IF(LEN($B78)=18,RIGHT($B78,8),RIGHT($B78,10)),'DATA '!$B$5:$K$31,Q$4,FALSE),"")</f>
        <v>15</v>
      </c>
      <c r="R78" s="131">
        <v>31.536000000000001</v>
      </c>
    </row>
    <row r="79" spans="2:18" ht="16.5" customHeight="1" x14ac:dyDescent="0.25">
      <c r="B79" s="86"/>
      <c r="C79" s="86"/>
      <c r="D79" s="86" t="str">
        <f>Commodities!$D$213</f>
        <v>TERRESGEO</v>
      </c>
      <c r="E79" s="86" t="str">
        <f>Commodities!$AC$14</f>
        <v>TER_TS_SC</v>
      </c>
      <c r="F79" s="133">
        <f>F78</f>
        <v>2020</v>
      </c>
      <c r="G79" s="87"/>
      <c r="H79" s="134" t="str">
        <f>IFERROR(VLOOKUP(IF(LEN($B79)=18,RIGHT($B79,8),RIGHT($B79,10)),'DATA '!$B$5:$J$31,H$4,FALSE),"")</f>
        <v/>
      </c>
      <c r="I79" s="134"/>
      <c r="J79" s="134"/>
      <c r="K79" s="134" t="str">
        <f>IFERROR(VLOOKUP(IF(LEN($B79)=18,RIGHT($B79,8),RIGHT($B79,10)),'DATA '!$B$5:$J$31,K$4,FALSE),"")</f>
        <v/>
      </c>
      <c r="L79" s="134">
        <v>0.2</v>
      </c>
      <c r="M79" s="134" t="str">
        <f>IFERROR(VLOOKUP(IF(LEN($B79)=18,RIGHT($B79,8),RIGHT($B79,10)),'DATA '!$B$5:$J$31,M$4,FALSE),"")</f>
        <v/>
      </c>
      <c r="N79" s="134" t="str">
        <f>IFERROR(VLOOKUP(IF(LEN($B79)=18,RIGHT($B79,8),RIGHT($B79,10)),'DATA '!$B$5:$J$31,N$4,FALSE),"")</f>
        <v/>
      </c>
      <c r="O79" s="134" t="str">
        <f>IFERROR(VLOOKUP(IF(LEN($B79)=18,RIGHT($B79,8),RIGHT($B79,10)),'DATA '!$B$5:$J$31,O$4,FALSE),"")</f>
        <v/>
      </c>
      <c r="P79" s="134" t="str">
        <f>IFERROR(VLOOKUP(IF(LEN($B79)=18,RIGHT($B79,8),RIGHT($B79,10)),'DATA '!$B$5:$J$31,P$4,FALSE),"")</f>
        <v/>
      </c>
      <c r="Q79" s="135" t="str">
        <f>IFERROR(VLOOKUP(IF(LEN($B79)=18,RIGHT($B79,8),RIGHT($B79,10)),'DATA '!$B$5:$K$31,Q$4,FALSE),"")</f>
        <v/>
      </c>
      <c r="R79" s="134"/>
    </row>
    <row r="80" spans="2:18" ht="16.5" customHeight="1" x14ac:dyDescent="0.25">
      <c r="B80" s="86" t="str">
        <f>W55</f>
        <v>TER_TS_SH_DSL_N_ST01</v>
      </c>
      <c r="C80" s="86" t="str">
        <f t="shared" ref="C80:C81" si="35">X55</f>
        <v>Services (Public) SpHeat Diesel (Oil) Boiler Standard (N)</v>
      </c>
      <c r="D80" s="86" t="str">
        <f>Commodities!$D$190</f>
        <v>TEROILDSL</v>
      </c>
      <c r="E80" s="86" t="str">
        <f>Commodities!$AC$10</f>
        <v>TER_TS_SH</v>
      </c>
      <c r="F80" s="133">
        <f t="shared" ref="F80:F81" si="36">G80</f>
        <v>2018</v>
      </c>
      <c r="G80" s="87">
        <f>BASE_YEAR+1</f>
        <v>2018</v>
      </c>
      <c r="H80" s="134">
        <f>IFERROR(VLOOKUP(IF(LEN($B80)=18,RIGHT($B80,8),RIGHT($B80,10)),'DATA '!$B$5:$J$31,H$4,FALSE),"")</f>
        <v>0.85</v>
      </c>
      <c r="I80" s="134"/>
      <c r="J80" s="134"/>
      <c r="K80" s="134" t="str">
        <f>IFERROR(VLOOKUP(IF(LEN($B80)=18,RIGHT($B80,8),RIGHT($B80,10)),'DATA '!$B$5:$J$31,K$4,FALSE),"")</f>
        <v/>
      </c>
      <c r="L80" s="134" t="str">
        <f>IFERROR(VLOOKUP(IF(LEN($B80)=18,RIGHT($B80,8),RIGHT($B80,10)),'DATA '!$B$5:$J$31,L$4,FALSE),"")</f>
        <v/>
      </c>
      <c r="M80" s="134" t="str">
        <f>IFERROR(VLOOKUP(IF(LEN($B80)=18,RIGHT($B80,8),RIGHT($B80,10)),'DATA '!$B$5:$J$31,M$4,FALSE),"")</f>
        <v/>
      </c>
      <c r="N80" s="134">
        <f>IFERROR(VLOOKUP(IF(LEN($B80)=18,RIGHT($B80,8),RIGHT($B80,10)),'DATA '!$B$5:$J$31,N$4,FALSE),"")</f>
        <v>154.69948671497588</v>
      </c>
      <c r="O80" s="134">
        <f>IFERROR(VLOOKUP(IF(LEN($B80)=18,RIGHT($B80,8),RIGHT($B80,10)),'DATA '!$B$5:$J$31,O$4,FALSE),"")</f>
        <v>3.4771140083457657</v>
      </c>
      <c r="P80" s="134">
        <f>IFERROR(VLOOKUP(IF(LEN($B80)=18,RIGHT($B80,8),RIGHT($B80,10)),'DATA '!$B$5:$J$31,P$4,FALSE),"")</f>
        <v>0</v>
      </c>
      <c r="Q80" s="135">
        <f>IFERROR(VLOOKUP(IF(LEN($B80)=18,RIGHT($B80,8),RIGHT($B80,10)),'DATA '!$B$5:$K$31,Q$4,FALSE),"")</f>
        <v>20</v>
      </c>
      <c r="R80" s="134">
        <v>31.536000000000001</v>
      </c>
    </row>
    <row r="81" spans="2:18" ht="16.5" customHeight="1" x14ac:dyDescent="0.25">
      <c r="B81" s="89" t="str">
        <f t="shared" ref="B81" si="37">W56</f>
        <v>TER_TS_SH_DSL_N_ST02</v>
      </c>
      <c r="C81" s="89" t="str">
        <f t="shared" si="35"/>
        <v>Services (Public) SpHeat Combi Diesel (Oil) Boiler Standard (N)</v>
      </c>
      <c r="D81" s="89" t="str">
        <f>Commodities!$D$190</f>
        <v>TEROILDSL</v>
      </c>
      <c r="E81" s="89" t="str">
        <f>Commodities!$AC$10</f>
        <v>TER_TS_SH</v>
      </c>
      <c r="F81" s="136">
        <f t="shared" si="36"/>
        <v>2018</v>
      </c>
      <c r="G81" s="92">
        <f>BASE_YEAR+1</f>
        <v>2018</v>
      </c>
      <c r="H81" s="131">
        <f>IFERROR(VLOOKUP(IF(LEN($B81)=18,RIGHT($B81,8),RIGHT($B81,10)),'DATA '!$B$5:$J$31,H$4,FALSE),"")</f>
        <v>0.85</v>
      </c>
      <c r="I81" s="131"/>
      <c r="J81" s="131"/>
      <c r="K81" s="131" t="str">
        <f>IFERROR(VLOOKUP(IF(LEN($B81)=18,RIGHT($B81,8),RIGHT($B81,10)),'DATA '!$B$5:$J$31,K$4,FALSE),"")</f>
        <v/>
      </c>
      <c r="L81" s="131" t="str">
        <f>IFERROR(VLOOKUP(IF(LEN($B81)=18,RIGHT($B81,8),RIGHT($B81,10)),'DATA '!$B$5:$J$31,L$4,FALSE),"")</f>
        <v/>
      </c>
      <c r="M81" s="131" t="str">
        <f>IFERROR(VLOOKUP(IF(LEN($B81)=18,RIGHT($B81,8),RIGHT($B81,10)),'DATA '!$B$5:$J$31,M$4,FALSE),"")</f>
        <v/>
      </c>
      <c r="N81" s="131">
        <f>IFERROR(VLOOKUP(IF(LEN($B81)=18,RIGHT($B81,8),RIGHT($B81,10)),'DATA '!$B$5:$J$31,N$4,FALSE),"")</f>
        <v>154.69948671497588</v>
      </c>
      <c r="O81" s="131">
        <f>IFERROR(VLOOKUP(IF(LEN($B81)=18,RIGHT($B81,8),RIGHT($B81,10)),'DATA '!$B$5:$J$31,O$4,FALSE),"")</f>
        <v>3.4771140083457657</v>
      </c>
      <c r="P81" s="131">
        <f>IFERROR(VLOOKUP(IF(LEN($B81)=18,RIGHT($B81,8),RIGHT($B81,10)),'DATA '!$B$5:$J$31,P$4,FALSE),"")</f>
        <v>0</v>
      </c>
      <c r="Q81" s="132">
        <f>IFERROR(VLOOKUP(IF(LEN($B81)=18,RIGHT($B81,8),RIGHT($B81,10)),'DATA '!$B$5:$K$31,Q$4,FALSE),"")</f>
        <v>20</v>
      </c>
      <c r="R81" s="131">
        <v>31.536000000000001</v>
      </c>
    </row>
    <row r="82" spans="2:18" ht="16.5" customHeight="1" x14ac:dyDescent="0.25">
      <c r="B82" s="86"/>
      <c r="C82" s="86"/>
      <c r="D82" s="86"/>
      <c r="E82" s="86" t="str">
        <f>Commodities!$AC$12</f>
        <v>TER_TS_WH</v>
      </c>
      <c r="F82" s="133">
        <f>F81</f>
        <v>2018</v>
      </c>
      <c r="G82" s="87"/>
      <c r="H82" s="134" t="str">
        <f>IFERROR(VLOOKUP(IF(LEN($B82)=18,RIGHT($B82,8),RIGHT($B82,10)),'DATA '!$B$5:$J$31,H$4,FALSE),"")</f>
        <v/>
      </c>
      <c r="I82" s="134"/>
      <c r="J82" s="134"/>
      <c r="K82" s="134" t="str">
        <f>IFERROR(VLOOKUP(IF(LEN($B82)=18,RIGHT($B82,8),RIGHT($B82,10)),'DATA '!$B$5:$J$31,K$4,FALSE),"")</f>
        <v/>
      </c>
      <c r="L82" s="134" t="str">
        <f>IFERROR(VLOOKUP(IF(LEN($B82)=18,RIGHT($B82,8),RIGHT($B82,10)),'DATA '!$B$5:$J$31,L$4,FALSE),"")</f>
        <v/>
      </c>
      <c r="M82" s="134" t="str">
        <f>IFERROR(VLOOKUP(IF(LEN($B82)=18,RIGHT($B82,8),RIGHT($B82,10)),'DATA '!$B$5:$J$31,M$4,FALSE),"")</f>
        <v/>
      </c>
      <c r="N82" s="134" t="str">
        <f>IFERROR(VLOOKUP(IF(LEN($B82)=18,RIGHT($B82,8),RIGHT($B82,10)),'DATA '!$B$5:$J$31,N$4,FALSE),"")</f>
        <v/>
      </c>
      <c r="O82" s="134" t="str">
        <f>IFERROR(VLOOKUP(IF(LEN($B82)=18,RIGHT($B82,8),RIGHT($B82,10)),'DATA '!$B$5:$J$31,O$4,FALSE),"")</f>
        <v/>
      </c>
      <c r="P82" s="134" t="str">
        <f>IFERROR(VLOOKUP(IF(LEN($B82)=18,RIGHT($B82,8),RIGHT($B82,10)),'DATA '!$B$5:$J$31,P$4,FALSE),"")</f>
        <v/>
      </c>
      <c r="Q82" s="135" t="str">
        <f>IFERROR(VLOOKUP(IF(LEN($B82)=18,RIGHT($B82,8),RIGHT($B82,10)),'DATA '!$B$5:$K$31,Q$4,FALSE),"")</f>
        <v/>
      </c>
      <c r="R82" s="134"/>
    </row>
    <row r="83" spans="2:18" ht="16.5" customHeight="1" x14ac:dyDescent="0.25">
      <c r="B83" s="86" t="str">
        <f>W57</f>
        <v>TER_TS_SH_DSL_N_IM01</v>
      </c>
      <c r="C83" s="86" t="str">
        <f>X57</f>
        <v>Services (Public) SpHeat Diesel (Oil)  Boiler Improved (N)</v>
      </c>
      <c r="D83" s="86" t="str">
        <f>Commodities!$D$190</f>
        <v>TEROILDSL</v>
      </c>
      <c r="E83" s="86" t="str">
        <f>Commodities!$AC$10</f>
        <v>TER_TS_SH</v>
      </c>
      <c r="F83" s="133">
        <f>G83</f>
        <v>2020</v>
      </c>
      <c r="G83" s="87">
        <f>BASE_YEAR+3</f>
        <v>2020</v>
      </c>
      <c r="H83" s="134">
        <f>IFERROR(VLOOKUP(IF(LEN($B83)=18,RIGHT($B83,8),RIGHT($B83,10)),'DATA '!$B$5:$J$31,H$4,FALSE),"")</f>
        <v>0.89249999999999996</v>
      </c>
      <c r="I83" s="134"/>
      <c r="J83" s="134"/>
      <c r="K83" s="134" t="str">
        <f>IFERROR(VLOOKUP(IF(LEN($B83)=18,RIGHT($B83,8),RIGHT($B83,10)),'DATA '!$B$5:$J$31,K$4,FALSE),"")</f>
        <v/>
      </c>
      <c r="L83" s="134" t="str">
        <f>IFERROR(VLOOKUP(IF(LEN($B83)=18,RIGHT($B83,8),RIGHT($B83,10)),'DATA '!$B$5:$J$31,L$4,FALSE),"")</f>
        <v/>
      </c>
      <c r="M83" s="134" t="str">
        <f>IFERROR(VLOOKUP(IF(LEN($B83)=18,RIGHT($B83,8),RIGHT($B83,10)),'DATA '!$B$5:$J$31,M$4,FALSE),"")</f>
        <v/>
      </c>
      <c r="N83" s="134">
        <f>IFERROR(VLOOKUP(IF(LEN($B83)=18,RIGHT($B83,8),RIGHT($B83,10)),'DATA '!$B$5:$J$31,N$4,FALSE),"")</f>
        <v>165.52845078502418</v>
      </c>
      <c r="O83" s="134">
        <f>IFERROR(VLOOKUP(IF(LEN($B83)=18,RIGHT($B83,8),RIGHT($B83,10)),'DATA '!$B$5:$J$31,O$4,FALSE),"")</f>
        <v>3.2337160277615622</v>
      </c>
      <c r="P83" s="134">
        <f>IFERROR(VLOOKUP(IF(LEN($B83)=18,RIGHT($B83,8),RIGHT($B83,10)),'DATA '!$B$5:$J$31,P$4,FALSE),"")</f>
        <v>0</v>
      </c>
      <c r="Q83" s="135">
        <f>IFERROR(VLOOKUP(IF(LEN($B83)=18,RIGHT($B83,8),RIGHT($B83,10)),'DATA '!$B$5:$K$31,Q$4,FALSE),"")</f>
        <v>20</v>
      </c>
      <c r="R83" s="134">
        <v>31.536000000000001</v>
      </c>
    </row>
    <row r="84" spans="2:18" ht="16.5" customHeight="1" x14ac:dyDescent="0.25">
      <c r="B84" s="89" t="str">
        <f>W58</f>
        <v>TER_TS_SH_DSL_N_IM02</v>
      </c>
      <c r="C84" s="89" t="str">
        <f>X58</f>
        <v>Services (Public) SpHeat Combi Diesel (Oil) Boiler Improved (N)</v>
      </c>
      <c r="D84" s="89" t="str">
        <f>Commodities!$D$190</f>
        <v>TEROILDSL</v>
      </c>
      <c r="E84" s="89" t="str">
        <f>Commodities!$AC$10</f>
        <v>TER_TS_SH</v>
      </c>
      <c r="F84" s="136">
        <f>G84</f>
        <v>2020</v>
      </c>
      <c r="G84" s="90">
        <f>BASE_YEAR+3</f>
        <v>2020</v>
      </c>
      <c r="H84" s="131">
        <f>IFERROR(VLOOKUP(IF(LEN($B84)=18,RIGHT($B84,8),RIGHT($B84,10)),'DATA '!$B$5:$J$31,H$4,FALSE),"")</f>
        <v>0.89249999999999996</v>
      </c>
      <c r="I84" s="131"/>
      <c r="J84" s="131"/>
      <c r="K84" s="131" t="str">
        <f>IFERROR(VLOOKUP(IF(LEN($B84)=18,RIGHT($B84,8),RIGHT($B84,10)),'DATA '!$B$5:$J$31,K$4,FALSE),"")</f>
        <v/>
      </c>
      <c r="L84" s="131" t="str">
        <f>IFERROR(VLOOKUP(IF(LEN($B84)=18,RIGHT($B84,8),RIGHT($B84,10)),'DATA '!$B$5:$J$31,L$4,FALSE),"")</f>
        <v/>
      </c>
      <c r="M84" s="131" t="str">
        <f>IFERROR(VLOOKUP(IF(LEN($B84)=18,RIGHT($B84,8),RIGHT($B84,10)),'DATA '!$B$5:$J$31,M$4,FALSE),"")</f>
        <v/>
      </c>
      <c r="N84" s="131">
        <f>IFERROR(VLOOKUP(IF(LEN($B84)=18,RIGHT($B84,8),RIGHT($B84,10)),'DATA '!$B$5:$J$31,N$4,FALSE),"")</f>
        <v>165.52845078502418</v>
      </c>
      <c r="O84" s="131">
        <f>IFERROR(VLOOKUP(IF(LEN($B84)=18,RIGHT($B84,8),RIGHT($B84,10)),'DATA '!$B$5:$J$31,O$4,FALSE),"")</f>
        <v>3.2337160277615622</v>
      </c>
      <c r="P84" s="131">
        <f>IFERROR(VLOOKUP(IF(LEN($B84)=18,RIGHT($B84,8),RIGHT($B84,10)),'DATA '!$B$5:$J$31,P$4,FALSE),"")</f>
        <v>0</v>
      </c>
      <c r="Q84" s="132">
        <f>IFERROR(VLOOKUP(IF(LEN($B84)=18,RIGHT($B84,8),RIGHT($B84,10)),'DATA '!$B$5:$K$31,Q$4,FALSE),"")</f>
        <v>20</v>
      </c>
      <c r="R84" s="131">
        <v>31.536000000000001</v>
      </c>
    </row>
    <row r="85" spans="2:18" ht="16.5" customHeight="1" x14ac:dyDescent="0.25">
      <c r="B85" s="86"/>
      <c r="C85" s="86"/>
      <c r="D85" s="86"/>
      <c r="E85" s="86" t="str">
        <f>Commodities!$AC$12</f>
        <v>TER_TS_WH</v>
      </c>
      <c r="F85" s="133"/>
      <c r="G85" s="87"/>
      <c r="H85" s="134" t="str">
        <f>IFERROR(VLOOKUP(IF(LEN($B85)=18,RIGHT($B85,8),RIGHT($B85,10)),'DATA '!$B$5:$J$31,H$4,FALSE),"")</f>
        <v/>
      </c>
      <c r="I85" s="134"/>
      <c r="J85" s="134"/>
      <c r="K85" s="134" t="str">
        <f>IFERROR(VLOOKUP(IF(LEN($B85)=18,RIGHT($B85,8),RIGHT($B85,10)),'DATA '!$B$5:$J$31,K$4,FALSE),"")</f>
        <v/>
      </c>
      <c r="L85" s="134" t="str">
        <f>IFERROR(VLOOKUP(IF(LEN($B85)=18,RIGHT($B85,8),RIGHT($B85,10)),'DATA '!$B$5:$J$31,L$4,FALSE),"")</f>
        <v/>
      </c>
      <c r="M85" s="134" t="str">
        <f>IFERROR(VLOOKUP(IF(LEN($B85)=18,RIGHT($B85,8),RIGHT($B85,10)),'DATA '!$B$5:$J$31,M$4,FALSE),"")</f>
        <v/>
      </c>
      <c r="N85" s="134" t="str">
        <f>IFERROR(VLOOKUP(IF(LEN($B85)=18,RIGHT($B85,8),RIGHT($B85,10)),'DATA '!$B$5:$J$31,N$4,FALSE),"")</f>
        <v/>
      </c>
      <c r="O85" s="134" t="str">
        <f>IFERROR(VLOOKUP(IF(LEN($B85)=18,RIGHT($B85,8),RIGHT($B85,10)),'DATA '!$B$5:$J$31,O$4,FALSE),"")</f>
        <v/>
      </c>
      <c r="P85" s="134" t="str">
        <f>IFERROR(VLOOKUP(IF(LEN($B85)=18,RIGHT($B85,8),RIGHT($B85,10)),'DATA '!$B$5:$J$31,P$4,FALSE),"")</f>
        <v/>
      </c>
      <c r="Q85" s="135" t="str">
        <f>IFERROR(VLOOKUP(IF(LEN($B85)=18,RIGHT($B85,8),RIGHT($B85,10)),'DATA '!$B$5:$K$31,Q$4,FALSE),"")</f>
        <v/>
      </c>
      <c r="R85" s="134"/>
    </row>
    <row r="86" spans="2:18" ht="16.5" customHeight="1" x14ac:dyDescent="0.25">
      <c r="B86" s="91"/>
      <c r="C86" s="91"/>
      <c r="E86" s="91"/>
    </row>
    <row r="87" spans="2:18" ht="16.5" customHeight="1" x14ac:dyDescent="0.25">
      <c r="B87" s="78"/>
      <c r="C87" s="78"/>
      <c r="D87" s="78"/>
      <c r="E87" s="120"/>
      <c r="F87" s="101"/>
      <c r="G87" s="101"/>
      <c r="H87" s="119"/>
      <c r="I87" s="119"/>
      <c r="J87" s="119"/>
      <c r="K87" s="78"/>
      <c r="L87" s="78"/>
      <c r="M87" s="78"/>
      <c r="N87" s="78"/>
      <c r="O87" s="78"/>
      <c r="P87" s="78"/>
      <c r="Q87" s="78"/>
      <c r="R87" s="78"/>
    </row>
    <row r="336" spans="1:31" s="123" customFormat="1" ht="16.5" customHeight="1" x14ac:dyDescent="0.25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</row>
    <row r="337" spans="1:31" s="123" customFormat="1" ht="16.5" customHeight="1" x14ac:dyDescent="0.25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</row>
    <row r="338" spans="1:31" s="123" customFormat="1" ht="16.5" customHeight="1" x14ac:dyDescent="0.25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</row>
    <row r="339" spans="1:31" s="123" customFormat="1" ht="16.5" customHeight="1" x14ac:dyDescent="0.25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</row>
    <row r="340" spans="1:31" s="123" customFormat="1" ht="16.5" customHeight="1" x14ac:dyDescent="0.25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AG19"/>
  <sheetViews>
    <sheetView zoomScale="70" zoomScaleNormal="70" workbookViewId="0">
      <selection activeCell="A4" sqref="A1:XFD1048576"/>
    </sheetView>
  </sheetViews>
  <sheetFormatPr defaultRowHeight="13.2" x14ac:dyDescent="0.25"/>
  <cols>
    <col min="1" max="1" width="8.88671875" style="117"/>
    <col min="2" max="2" width="39.44140625" style="117" customWidth="1"/>
    <col min="3" max="3" width="45.88671875" style="117" bestFit="1" customWidth="1"/>
    <col min="4" max="4" width="16.88671875" style="117" bestFit="1" customWidth="1"/>
    <col min="5" max="5" width="18.88671875" style="117" bestFit="1" customWidth="1"/>
    <col min="6" max="6" width="6.6640625" style="117" bestFit="1" customWidth="1"/>
    <col min="7" max="7" width="11.88671875" style="117" bestFit="1" customWidth="1"/>
    <col min="8" max="8" width="10" style="117" bestFit="1" customWidth="1"/>
    <col min="9" max="9" width="16.5546875" style="117" bestFit="1" customWidth="1"/>
    <col min="10" max="10" width="14.44140625" style="117" bestFit="1" customWidth="1"/>
    <col min="11" max="11" width="16.44140625" style="117" bestFit="1" customWidth="1"/>
    <col min="12" max="12" width="19" style="117" bestFit="1" customWidth="1"/>
    <col min="13" max="13" width="18.109375" style="117" bestFit="1" customWidth="1"/>
    <col min="14" max="14" width="25.5546875" style="117" bestFit="1" customWidth="1"/>
    <col min="15" max="15" width="8.88671875" style="117"/>
    <col min="16" max="16" width="7.44140625" style="117" bestFit="1" customWidth="1"/>
    <col min="17" max="18" width="8.88671875" style="117"/>
    <col min="19" max="19" width="21.6640625" style="117" customWidth="1"/>
    <col min="20" max="20" width="13.88671875" style="117" bestFit="1" customWidth="1"/>
    <col min="21" max="21" width="45" style="117" customWidth="1"/>
    <col min="22" max="22" width="59.88671875" style="117" customWidth="1"/>
    <col min="23" max="23" width="11.5546875" style="117" bestFit="1" customWidth="1"/>
    <col min="24" max="24" width="13.44140625" style="117" bestFit="1" customWidth="1"/>
    <col min="25" max="25" width="33.44140625" style="117" bestFit="1" customWidth="1"/>
    <col min="26" max="26" width="26.44140625" style="117" bestFit="1" customWidth="1"/>
    <col min="27" max="27" width="16.5546875" style="117" bestFit="1" customWidth="1"/>
    <col min="28" max="16384" width="8.88671875" style="117"/>
  </cols>
  <sheetData>
    <row r="1" spans="2:33" s="78" customFormat="1" ht="17.399999999999999" x14ac:dyDescent="0.3">
      <c r="B1" s="97" t="s">
        <v>737</v>
      </c>
      <c r="C1" s="97"/>
      <c r="D1" s="97"/>
      <c r="E1" s="97"/>
      <c r="F1" s="97"/>
      <c r="G1" s="97"/>
      <c r="H1" s="97"/>
      <c r="O1" s="91"/>
      <c r="S1" s="78" t="s">
        <v>724</v>
      </c>
    </row>
    <row r="2" spans="2:33" s="78" customFormat="1" ht="17.399999999999999" x14ac:dyDescent="0.3">
      <c r="B2" s="97" t="s">
        <v>752</v>
      </c>
      <c r="C2" s="97"/>
      <c r="D2" s="97"/>
      <c r="E2" s="97"/>
      <c r="F2" s="97"/>
      <c r="G2" s="97"/>
      <c r="H2" s="97"/>
      <c r="O2" s="91"/>
    </row>
    <row r="3" spans="2:33" s="78" customFormat="1" ht="13.8" x14ac:dyDescent="0.25">
      <c r="B3" s="98"/>
      <c r="D3" s="93"/>
      <c r="E3" s="93"/>
      <c r="F3" s="93"/>
      <c r="G3" s="93"/>
      <c r="I3" s="119"/>
      <c r="J3" s="119"/>
      <c r="K3" s="119"/>
      <c r="L3" s="119"/>
      <c r="M3" s="99"/>
      <c r="O3" s="91"/>
      <c r="S3" s="100" t="s">
        <v>726</v>
      </c>
      <c r="T3" s="100"/>
      <c r="U3" s="100" t="s">
        <v>727</v>
      </c>
      <c r="V3" s="100"/>
      <c r="W3" s="100"/>
      <c r="X3" s="100"/>
      <c r="Y3" s="100"/>
      <c r="Z3" s="100"/>
      <c r="AA3" s="100"/>
      <c r="AE3" s="91"/>
      <c r="AF3" s="91"/>
      <c r="AG3" s="91"/>
    </row>
    <row r="4" spans="2:33" s="78" customFormat="1" ht="13.8" x14ac:dyDescent="0.25">
      <c r="E4" s="120"/>
      <c r="F4" s="101" t="s">
        <v>0</v>
      </c>
      <c r="G4" s="101"/>
      <c r="H4" s="119">
        <v>5</v>
      </c>
      <c r="J4" s="78">
        <v>7</v>
      </c>
      <c r="K4" s="78">
        <v>8</v>
      </c>
      <c r="O4" s="91"/>
      <c r="S4" s="102" t="s">
        <v>17</v>
      </c>
      <c r="T4" s="102"/>
      <c r="U4" s="100"/>
      <c r="V4" s="100"/>
      <c r="W4" s="100"/>
      <c r="X4" s="100"/>
      <c r="Y4" s="100"/>
      <c r="Z4" s="100"/>
      <c r="AA4" s="100"/>
      <c r="AE4" s="123"/>
      <c r="AF4" s="91"/>
      <c r="AG4" s="91"/>
    </row>
    <row r="5" spans="2:33" s="78" customFormat="1" ht="13.8" x14ac:dyDescent="0.25">
      <c r="B5" s="103" t="s">
        <v>1</v>
      </c>
      <c r="C5" s="103" t="s">
        <v>728</v>
      </c>
      <c r="D5" s="103" t="s">
        <v>3</v>
      </c>
      <c r="E5" s="103" t="s">
        <v>4</v>
      </c>
      <c r="F5" s="104" t="s">
        <v>739</v>
      </c>
      <c r="G5" s="140" t="s">
        <v>14</v>
      </c>
      <c r="H5" s="105" t="s">
        <v>16</v>
      </c>
      <c r="I5" s="105" t="s">
        <v>46</v>
      </c>
      <c r="J5" s="141" t="s">
        <v>36</v>
      </c>
      <c r="K5" s="105" t="s">
        <v>5</v>
      </c>
      <c r="L5" s="105" t="s">
        <v>34</v>
      </c>
      <c r="M5" s="105" t="s">
        <v>47</v>
      </c>
      <c r="N5" s="105" t="s">
        <v>48</v>
      </c>
      <c r="O5" s="91"/>
      <c r="P5" s="142" t="s">
        <v>740</v>
      </c>
      <c r="Q5" s="142"/>
      <c r="S5" s="80" t="s">
        <v>15</v>
      </c>
      <c r="T5" s="80" t="s">
        <v>50</v>
      </c>
      <c r="U5" s="80" t="s">
        <v>1</v>
      </c>
      <c r="V5" s="80" t="s">
        <v>2</v>
      </c>
      <c r="W5" s="80" t="s">
        <v>18</v>
      </c>
      <c r="X5" s="80" t="s">
        <v>19</v>
      </c>
      <c r="Y5" s="80" t="s">
        <v>20</v>
      </c>
      <c r="Z5" s="80" t="s">
        <v>21</v>
      </c>
      <c r="AA5" s="80" t="s">
        <v>22</v>
      </c>
      <c r="AE5" s="125"/>
      <c r="AF5" s="91"/>
      <c r="AG5" s="91"/>
    </row>
    <row r="6" spans="2:33" s="78" customFormat="1" ht="28.2" thickBot="1" x14ac:dyDescent="0.3">
      <c r="B6" s="106" t="s">
        <v>729</v>
      </c>
      <c r="C6" s="106" t="s">
        <v>28</v>
      </c>
      <c r="D6" s="106" t="s">
        <v>32</v>
      </c>
      <c r="E6" s="106" t="s">
        <v>33</v>
      </c>
      <c r="F6" s="107"/>
      <c r="G6" s="108" t="s">
        <v>35</v>
      </c>
      <c r="H6" s="106" t="s">
        <v>753</v>
      </c>
      <c r="I6" s="106" t="s">
        <v>744</v>
      </c>
      <c r="J6" s="108" t="s">
        <v>747</v>
      </c>
      <c r="K6" s="106" t="s">
        <v>37</v>
      </c>
      <c r="L6" s="106" t="s">
        <v>38</v>
      </c>
      <c r="M6" s="106" t="s">
        <v>716</v>
      </c>
      <c r="N6" s="106" t="s">
        <v>748</v>
      </c>
      <c r="O6" s="91"/>
      <c r="S6" s="126" t="s">
        <v>730</v>
      </c>
      <c r="T6" s="126" t="s">
        <v>53</v>
      </c>
      <c r="U6" s="126" t="s">
        <v>27</v>
      </c>
      <c r="V6" s="126" t="s">
        <v>28</v>
      </c>
      <c r="W6" s="126" t="s">
        <v>29</v>
      </c>
      <c r="X6" s="126" t="s">
        <v>30</v>
      </c>
      <c r="Y6" s="126" t="s">
        <v>731</v>
      </c>
      <c r="Z6" s="126" t="s">
        <v>732</v>
      </c>
      <c r="AA6" s="126" t="s">
        <v>31</v>
      </c>
      <c r="AB6" s="85"/>
      <c r="AE6" s="127"/>
      <c r="AF6" s="91"/>
      <c r="AG6" s="91"/>
    </row>
    <row r="7" spans="2:33" s="78" customFormat="1" ht="13.8" x14ac:dyDescent="0.25">
      <c r="B7" s="111" t="s">
        <v>751</v>
      </c>
      <c r="C7" s="112"/>
      <c r="D7" s="112"/>
      <c r="E7" s="112" t="s">
        <v>733</v>
      </c>
      <c r="F7" s="113"/>
      <c r="G7" s="112"/>
      <c r="H7" s="112" t="s">
        <v>749</v>
      </c>
      <c r="I7" s="112" t="s">
        <v>749</v>
      </c>
      <c r="J7" s="112" t="str">
        <f>General!$D$26</f>
        <v>$/kW</v>
      </c>
      <c r="K7" s="112" t="str">
        <f>General!$D$26</f>
        <v>$/kW</v>
      </c>
      <c r="L7" s="112" t="str">
        <f>General!$D$15</f>
        <v>$/GJ</v>
      </c>
      <c r="M7" s="112" t="str">
        <f>General!$D$20</f>
        <v>Years</v>
      </c>
      <c r="N7" s="112" t="str">
        <f>General!$E$16</f>
        <v>PJ/GW</v>
      </c>
      <c r="O7" s="91"/>
      <c r="P7" s="91"/>
      <c r="Q7" s="91"/>
      <c r="R7" s="91"/>
      <c r="S7" s="91" t="s">
        <v>750</v>
      </c>
      <c r="T7" s="91"/>
      <c r="U7" s="91" t="str">
        <f>Commodities!$AC$13&amp;"_"&amp;RIGHT(Commodities!$D$340,3)&amp;"_"&amp;$U$3&amp;"_ST01"</f>
        <v>TER_TP_SC_ELC_N_ST01</v>
      </c>
      <c r="V7" s="91" t="s">
        <v>1077</v>
      </c>
      <c r="W7" s="92" t="str">
        <f>General!$B$2</f>
        <v>PJ</v>
      </c>
      <c r="X7" s="92" t="str">
        <f>General!$B$5</f>
        <v>GW</v>
      </c>
      <c r="Y7" s="92" t="s">
        <v>44</v>
      </c>
      <c r="Z7" s="92"/>
      <c r="AA7" s="91"/>
      <c r="AE7" s="143"/>
      <c r="AF7" s="91"/>
      <c r="AG7" s="91"/>
    </row>
    <row r="8" spans="2:33" s="78" customFormat="1" ht="13.8" x14ac:dyDescent="0.25">
      <c r="B8" s="91" t="str">
        <f t="shared" ref="B8:B19" si="0">U7</f>
        <v>TER_TP_SC_ELC_N_ST01</v>
      </c>
      <c r="C8" s="91" t="str">
        <f t="shared" ref="C8:C19" si="1">V7</f>
        <v>Private (Commercial) SpCool A/C (Class B) (N)</v>
      </c>
      <c r="D8" s="91" t="str">
        <f>Commodities!$D$340</f>
        <v>TERELC</v>
      </c>
      <c r="E8" s="91" t="str">
        <f>Commodities!$AC$13</f>
        <v>TER_TP_SC</v>
      </c>
      <c r="F8" s="130">
        <f>G8</f>
        <v>2018</v>
      </c>
      <c r="G8" s="92">
        <f>BASE_YEAR+1</f>
        <v>2018</v>
      </c>
      <c r="H8" s="131">
        <f>IFERROR(VLOOKUP(IF(LEN($B8)=18,RIGHT($B8,8),RIGHT($B8,10)),'DATA '!$B$35:$K$40,H$4,FALSE),"")</f>
        <v>4.6027499999999995</v>
      </c>
      <c r="I8" s="91" t="str">
        <f>IFERROR(VLOOKUP(IF(LEN($B8)=18,RIGHT($B8,8),RIGHT($B8,10)),'DATA '!$B$35:$K$40,I$4,FALSE),"")</f>
        <v/>
      </c>
      <c r="J8" s="131">
        <f>IFERROR(VLOOKUP(IF(LEN($B8)=18,RIGHT($B8,8),RIGHT($B8,10)),'DATA '!$B$35:$K$40,J$4,FALSE),"")</f>
        <v>214.49519999999995</v>
      </c>
      <c r="K8" s="131">
        <f>IFERROR(VLOOKUP(IF(LEN($B8)=18,RIGHT($B8,8),RIGHT($B8,10)),'DATA '!$B$35:$K$40,K$4,FALSE),"")</f>
        <v>12.658777666666669</v>
      </c>
      <c r="L8" s="131" t="str">
        <f>IFERROR(VLOOKUP(IF(LEN($B8)=18,RIGHT($B8,8),RIGHT($B8,10)),'DATA '!$B$35:$K$40,L$4,FALSE),"")</f>
        <v/>
      </c>
      <c r="M8" s="92">
        <v>10</v>
      </c>
      <c r="N8" s="131">
        <v>31.536000000000001</v>
      </c>
      <c r="O8" s="91"/>
      <c r="S8" s="91"/>
      <c r="T8" s="91"/>
      <c r="U8" s="91" t="str">
        <f>Commodities!$AC$13&amp;"_"&amp;RIGHT(Commodities!$D$340,3)&amp;"_"&amp;$U$3&amp;"_ST02"</f>
        <v>TER_TP_SC_ELC_N_ST02</v>
      </c>
      <c r="V8" s="91" t="s">
        <v>1078</v>
      </c>
      <c r="W8" s="92" t="str">
        <f>General!$B$2</f>
        <v>PJ</v>
      </c>
      <c r="X8" s="92" t="str">
        <f>General!$B$5</f>
        <v>GW</v>
      </c>
      <c r="Y8" s="92" t="s">
        <v>44</v>
      </c>
      <c r="Z8" s="92"/>
      <c r="AA8" s="91"/>
      <c r="AE8" s="143"/>
      <c r="AF8" s="91"/>
      <c r="AG8" s="91"/>
    </row>
    <row r="9" spans="2:33" s="78" customFormat="1" ht="13.8" x14ac:dyDescent="0.25">
      <c r="B9" s="91" t="str">
        <f t="shared" si="0"/>
        <v>TER_TP_SC_ELC_N_ST02</v>
      </c>
      <c r="C9" s="91" t="str">
        <f t="shared" si="1"/>
        <v>Private (Commercial) SpCool Fans (N)</v>
      </c>
      <c r="D9" s="91" t="str">
        <f>Commodities!$D$340</f>
        <v>TERELC</v>
      </c>
      <c r="E9" s="91" t="str">
        <f>E8</f>
        <v>TER_TP_SC</v>
      </c>
      <c r="F9" s="130">
        <f t="shared" ref="F9:F18" si="2">G9</f>
        <v>2018</v>
      </c>
      <c r="G9" s="92">
        <f>BASE_YEAR+1</f>
        <v>2018</v>
      </c>
      <c r="H9" s="131">
        <f>IFERROR(VLOOKUP(IF(LEN($B9)=18,RIGHT($B9,8),RIGHT($B9,10)),'DATA '!$B$35:$K$40,H$4,FALSE),"")</f>
        <v>0.2</v>
      </c>
      <c r="I9" s="91" t="str">
        <f>IFERROR(VLOOKUP(IF(LEN($B9)=18,RIGHT($B9,8),RIGHT($B9,10)),'DATA '!$B$35:$K$40,I$4,FALSE),"")</f>
        <v/>
      </c>
      <c r="J9" s="131">
        <f>IFERROR(VLOOKUP(IF(LEN($B9)=18,RIGHT($B9,8),RIGHT($B9,10)),'DATA '!$B$35:$K$40,J$4,FALSE),"")</f>
        <v>55.555555555555557</v>
      </c>
      <c r="K9" s="131" t="str">
        <f>IFERROR(VLOOKUP(IF(LEN($B9)=18,RIGHT($B9,8),RIGHT($B9,10)),'DATA '!$B$35:$K$40,K$4,FALSE),"")</f>
        <v/>
      </c>
      <c r="L9" s="131" t="str">
        <f>IFERROR(VLOOKUP(IF(LEN($B9)=18,RIGHT($B9,8),RIGHT($B9,10)),'DATA '!$B$35:$K$40,L$4,FALSE),"")</f>
        <v/>
      </c>
      <c r="M9" s="92">
        <v>10</v>
      </c>
      <c r="N9" s="131">
        <v>31.536000000000001</v>
      </c>
      <c r="O9" s="91"/>
      <c r="S9" s="91"/>
      <c r="T9" s="91"/>
      <c r="U9" s="91" t="str">
        <f>Commodities!$AC$13&amp;"_"&amp;RIGHT(Commodities!$D$340,3)&amp;"_"&amp;$U$3&amp;"_IM01"</f>
        <v>TER_TP_SC_ELC_N_IM01</v>
      </c>
      <c r="V9" s="91" t="s">
        <v>1079</v>
      </c>
      <c r="W9" s="92" t="str">
        <f>General!$B$2</f>
        <v>PJ</v>
      </c>
      <c r="X9" s="92" t="str">
        <f>General!$B$5</f>
        <v>GW</v>
      </c>
      <c r="Y9" s="92" t="s">
        <v>44</v>
      </c>
      <c r="Z9" s="92"/>
      <c r="AA9" s="91"/>
      <c r="AE9" s="143"/>
      <c r="AF9" s="91"/>
      <c r="AG9" s="91"/>
    </row>
    <row r="10" spans="2:33" s="78" customFormat="1" ht="13.8" x14ac:dyDescent="0.25">
      <c r="B10" s="91" t="str">
        <f t="shared" si="0"/>
        <v>TER_TP_SC_ELC_N_IM01</v>
      </c>
      <c r="C10" s="91" t="str">
        <f t="shared" si="1"/>
        <v>Private (Commercial) SpCool A/C (Class A) (N)</v>
      </c>
      <c r="D10" s="91" t="str">
        <f>Commodities!$D$340</f>
        <v>TERELC</v>
      </c>
      <c r="E10" s="91" t="str">
        <f>E9</f>
        <v>TER_TP_SC</v>
      </c>
      <c r="F10" s="130">
        <f t="shared" si="2"/>
        <v>2020</v>
      </c>
      <c r="G10" s="92">
        <f>BASE_YEAR+3</f>
        <v>2020</v>
      </c>
      <c r="H10" s="131">
        <f>IFERROR(VLOOKUP(IF(LEN($B10)=18,RIGHT($B10,8),RIGHT($B10,10)),'DATA '!$B$35:$K$40,H$4,FALSE),"")</f>
        <v>5.1442499999999987</v>
      </c>
      <c r="I10" s="91" t="str">
        <f>IFERROR(VLOOKUP(IF(LEN($B10)=18,RIGHT($B10,8),RIGHT($B10,10)),'DATA '!$B$35:$K$40,I$4,FALSE),"")</f>
        <v/>
      </c>
      <c r="J10" s="131">
        <f>IFERROR(VLOOKUP(IF(LEN($B10)=18,RIGHT($B10,8),RIGHT($B10,10)),'DATA '!$B$35:$K$40,J$4,FALSE),"")</f>
        <v>230.63999999999996</v>
      </c>
      <c r="K10" s="131">
        <f>IFERROR(VLOOKUP(IF(LEN($B10)=18,RIGHT($B10,8),RIGHT($B10,10)),'DATA '!$B$35:$K$40,K$4,FALSE),"")</f>
        <v>12.658777666666669</v>
      </c>
      <c r="L10" s="131" t="str">
        <f>IFERROR(VLOOKUP(IF(LEN($B10)=18,RIGHT($B10,8),RIGHT($B10,10)),'DATA '!$B$35:$K$40,L$4,FALSE),"")</f>
        <v/>
      </c>
      <c r="M10" s="92">
        <v>10</v>
      </c>
      <c r="N10" s="131">
        <v>31.536000000000001</v>
      </c>
      <c r="O10" s="91"/>
      <c r="S10" s="91"/>
      <c r="T10" s="91"/>
      <c r="U10" s="91" t="str">
        <f>Commodities!$AC$13&amp;"_"&amp;RIGHT(Commodities!$D$340,3)&amp;"_"&amp;$U$3&amp;"_IM02"</f>
        <v>TER_TP_SC_ELC_N_IM02</v>
      </c>
      <c r="V10" s="91" t="s">
        <v>1080</v>
      </c>
      <c r="W10" s="92" t="str">
        <f>General!$B$2</f>
        <v>PJ</v>
      </c>
      <c r="X10" s="92" t="str">
        <f>General!$B$5</f>
        <v>GW</v>
      </c>
      <c r="Y10" s="92" t="s">
        <v>44</v>
      </c>
      <c r="Z10" s="92"/>
      <c r="AA10" s="91"/>
      <c r="AE10" s="144"/>
    </row>
    <row r="11" spans="2:33" s="78" customFormat="1" ht="13.8" x14ac:dyDescent="0.25">
      <c r="B11" s="91" t="str">
        <f t="shared" si="0"/>
        <v>TER_TP_SC_ELC_N_IM02</v>
      </c>
      <c r="C11" s="91" t="str">
        <f t="shared" si="1"/>
        <v>Private (Commercial) SpCool A/C (Class A+) (N)</v>
      </c>
      <c r="D11" s="91" t="str">
        <f>Commodities!$D$340</f>
        <v>TERELC</v>
      </c>
      <c r="E11" s="91" t="str">
        <f>E10</f>
        <v>TER_TP_SC</v>
      </c>
      <c r="F11" s="130">
        <f t="shared" si="2"/>
        <v>2030</v>
      </c>
      <c r="G11" s="92">
        <f>BASE_YEAR+13</f>
        <v>2030</v>
      </c>
      <c r="H11" s="131">
        <f>IFERROR(VLOOKUP(IF(LEN($B11)=18,RIGHT($B11,8),RIGHT($B11,10)),'DATA '!$B$35:$K$40,H$4,FALSE),"")</f>
        <v>5.4149999999999991</v>
      </c>
      <c r="I11" s="91" t="str">
        <f>IFERROR(VLOOKUP(IF(LEN($B11)=18,RIGHT($B11,8),RIGHT($B11,10)),'DATA '!$B$35:$K$40,I$4,FALSE),"")</f>
        <v/>
      </c>
      <c r="J11" s="131">
        <f>IFERROR(VLOOKUP(IF(LEN($B11)=18,RIGHT($B11,8),RIGHT($B11,10)),'DATA '!$B$35:$K$40,J$4,FALSE),"")</f>
        <v>248</v>
      </c>
      <c r="K11" s="131">
        <f>IFERROR(VLOOKUP(IF(LEN($B11)=18,RIGHT($B11,8),RIGHT($B11,10)),'DATA '!$B$35:$K$40,K$4,FALSE),"")</f>
        <v>11.830633333333333</v>
      </c>
      <c r="L11" s="131" t="str">
        <f>IFERROR(VLOOKUP(IF(LEN($B11)=18,RIGHT($B11,8),RIGHT($B11,10)),'DATA '!$B$35:$K$40,L$4,FALSE),"")</f>
        <v/>
      </c>
      <c r="M11" s="92">
        <v>10</v>
      </c>
      <c r="N11" s="131">
        <v>31.536000000000001</v>
      </c>
      <c r="O11" s="91"/>
      <c r="S11" s="91"/>
      <c r="T11" s="91"/>
      <c r="U11" s="91" t="str">
        <f>Commodities!$AC$13&amp;"_"&amp;RIGHT(Commodities!$D$340,3)&amp;"_"&amp;$U$3&amp;"_AD01"</f>
        <v>TER_TP_SC_ELC_N_AD01</v>
      </c>
      <c r="V11" s="91" t="s">
        <v>1081</v>
      </c>
      <c r="W11" s="92" t="str">
        <f>General!$B$2</f>
        <v>PJ</v>
      </c>
      <c r="X11" s="92" t="str">
        <f>General!$B$5</f>
        <v>GW</v>
      </c>
      <c r="Y11" s="92" t="s">
        <v>44</v>
      </c>
      <c r="Z11" s="92"/>
      <c r="AA11" s="91"/>
      <c r="AE11" s="144"/>
    </row>
    <row r="12" spans="2:33" s="78" customFormat="1" ht="13.8" x14ac:dyDescent="0.25">
      <c r="B12" s="91" t="str">
        <f t="shared" si="0"/>
        <v>TER_TP_SC_ELC_N_AD01</v>
      </c>
      <c r="C12" s="91" t="str">
        <f t="shared" si="1"/>
        <v>Private (Commercial) SpCool A/C (Class A++) (N)</v>
      </c>
      <c r="D12" s="91" t="str">
        <f>Commodities!$D$340</f>
        <v>TERELC</v>
      </c>
      <c r="E12" s="91" t="str">
        <f>E11</f>
        <v>TER_TP_SC</v>
      </c>
      <c r="F12" s="130">
        <f t="shared" si="2"/>
        <v>2040</v>
      </c>
      <c r="G12" s="92">
        <v>2040</v>
      </c>
      <c r="H12" s="131">
        <f>IFERROR(VLOOKUP(IF(LEN($B12)=18,RIGHT($B12,8),RIGHT($B12,10)),'DATA '!$B$35:$K$40,H$4,FALSE),"")</f>
        <v>5.6999999999999993</v>
      </c>
      <c r="I12" s="91" t="str">
        <f>IFERROR(VLOOKUP(IF(LEN($B12)=18,RIGHT($B12,8),RIGHT($B12,10)),'DATA '!$B$35:$K$40,I$4,FALSE),"")</f>
        <v/>
      </c>
      <c r="J12" s="131">
        <f>IFERROR(VLOOKUP(IF(LEN($B12)=18,RIGHT($B12,8),RIGHT($B12,10)),'DATA '!$B$35:$K$40,J$4,FALSE),"")</f>
        <v>266.66666666666669</v>
      </c>
      <c r="K12" s="131">
        <f>IFERROR(VLOOKUP(IF(LEN($B12)=18,RIGHT($B12,8),RIGHT($B12,10)),'DATA '!$B$35:$K$40,K$4,FALSE),"")</f>
        <v>11.056666666666665</v>
      </c>
      <c r="L12" s="131" t="str">
        <f>IFERROR(VLOOKUP(IF(LEN($B12)=18,RIGHT($B12,8),RIGHT($B12,10)),'DATA '!$B$35:$K$40,L$4,FALSE),"")</f>
        <v/>
      </c>
      <c r="M12" s="92">
        <v>15</v>
      </c>
      <c r="N12" s="131">
        <v>31.536000000000001</v>
      </c>
      <c r="O12" s="91"/>
      <c r="S12" s="86"/>
      <c r="T12" s="86"/>
      <c r="U12" s="86" t="str">
        <f>Commodities!$AC$13&amp;"_"&amp;RIGHT(Commodities!$D$340,3)&amp;"_"&amp;$U$3&amp;"_ST03"</f>
        <v>TER_TP_SC_ELC_N_ST03</v>
      </c>
      <c r="V12" s="86" t="s">
        <v>1082</v>
      </c>
      <c r="W12" s="87" t="str">
        <f>General!$B$2</f>
        <v>PJ</v>
      </c>
      <c r="X12" s="87" t="str">
        <f>General!$B$5</f>
        <v>GW</v>
      </c>
      <c r="Y12" s="87" t="s">
        <v>44</v>
      </c>
      <c r="Z12" s="87"/>
      <c r="AA12" s="86"/>
      <c r="AE12" s="144"/>
    </row>
    <row r="13" spans="2:33" s="78" customFormat="1" ht="13.8" x14ac:dyDescent="0.25">
      <c r="B13" s="86" t="str">
        <f t="shared" si="0"/>
        <v>TER_TP_SC_ELC_N_ST03</v>
      </c>
      <c r="C13" s="86" t="str">
        <f t="shared" si="1"/>
        <v>Private (Commercial) SpCool Central A/C (N)</v>
      </c>
      <c r="D13" s="86" t="str">
        <f>Commodities!$D$340</f>
        <v>TERELC</v>
      </c>
      <c r="E13" s="86" t="str">
        <f>E12</f>
        <v>TER_TP_SC</v>
      </c>
      <c r="F13" s="133">
        <f>G13</f>
        <v>2040</v>
      </c>
      <c r="G13" s="87">
        <v>2040</v>
      </c>
      <c r="H13" s="134">
        <f>IFERROR(VLOOKUP(IF(LEN($B13)=18,RIGHT($B13,8),RIGHT($B13,10)),'DATA '!$B$35:$K$40,H$4,FALSE),"")</f>
        <v>6</v>
      </c>
      <c r="I13" s="86" t="str">
        <f>IFERROR(VLOOKUP(IF(LEN($B13)=18,RIGHT($B13,8),RIGHT($B13,10)),'DATA '!$B$35:$K$40,I$4,FALSE),"")</f>
        <v/>
      </c>
      <c r="J13" s="134">
        <f>IFERROR(VLOOKUP(IF(LEN($B13)=18,RIGHT($B13,8),RIGHT($B13,10)),'DATA '!$B$35:$K$40,J$4,FALSE),"")</f>
        <v>344.44444444444446</v>
      </c>
      <c r="K13" s="134">
        <f>IFERROR(VLOOKUP(IF(LEN($B13)=18,RIGHT($B13,8),RIGHT($B13,10)),'DATA '!$B$35:$K$40,K$4,FALSE),"")</f>
        <v>10.333333333333332</v>
      </c>
      <c r="L13" s="134" t="str">
        <f>IFERROR(VLOOKUP(IF(LEN($B13)=18,RIGHT($B13,8),RIGHT($B13,10)),'DATA '!$B$35:$K$40,L$4,FALSE),"")</f>
        <v/>
      </c>
      <c r="M13" s="87">
        <v>15</v>
      </c>
      <c r="N13" s="134">
        <v>31.536000000000001</v>
      </c>
      <c r="O13" s="91"/>
      <c r="S13" s="91"/>
      <c r="T13" s="91"/>
      <c r="U13" s="91" t="str">
        <f>Commodities!$AC$14&amp;"_"&amp;RIGHT(Commodities!$D$340,3)&amp;"_"&amp;$U$3&amp;"_ST01"</f>
        <v>TER_TS_SC_ELC_N_ST01</v>
      </c>
      <c r="V13" s="91" t="s">
        <v>1071</v>
      </c>
      <c r="W13" s="92" t="str">
        <f>General!$B$2</f>
        <v>PJ</v>
      </c>
      <c r="X13" s="92" t="str">
        <f>General!$B$5</f>
        <v>GW</v>
      </c>
      <c r="Y13" s="92" t="s">
        <v>44</v>
      </c>
      <c r="Z13" s="92"/>
      <c r="AA13" s="91"/>
      <c r="AE13" s="144"/>
    </row>
    <row r="14" spans="2:33" s="78" customFormat="1" ht="13.8" x14ac:dyDescent="0.25">
      <c r="B14" s="91" t="str">
        <f t="shared" si="0"/>
        <v>TER_TS_SC_ELC_N_ST01</v>
      </c>
      <c r="C14" s="91" t="str">
        <f t="shared" si="1"/>
        <v>Services (Public) SpCool A/C (Class B) (N)</v>
      </c>
      <c r="D14" s="91" t="str">
        <f>Commodities!$D$340</f>
        <v>TERELC</v>
      </c>
      <c r="E14" s="91" t="str">
        <f>Commodities!$AC$14</f>
        <v>TER_TS_SC</v>
      </c>
      <c r="F14" s="130">
        <f>G14</f>
        <v>2018</v>
      </c>
      <c r="G14" s="92">
        <f>BASE_YEAR+1</f>
        <v>2018</v>
      </c>
      <c r="H14" s="131">
        <f>IFERROR(VLOOKUP(IF(LEN($B14)=18,RIGHT($B14,8),RIGHT($B14,10)),'DATA '!$B$35:$K$40,H$4,FALSE),"")</f>
        <v>4.6027499999999995</v>
      </c>
      <c r="I14" s="91" t="str">
        <f>IFERROR(VLOOKUP(IF(LEN($B14)=18,RIGHT($B14,8),RIGHT($B14,10)),'DATA '!$B$35:$K$40,I$4,FALSE),"")</f>
        <v/>
      </c>
      <c r="J14" s="131">
        <f>IFERROR(VLOOKUP(IF(LEN($B14)=18,RIGHT($B14,8),RIGHT($B14,10)),'DATA '!$B$35:$K$40,J$4,FALSE),"")</f>
        <v>214.49519999999995</v>
      </c>
      <c r="K14" s="131">
        <f>IFERROR(VLOOKUP(IF(LEN($B14)=18,RIGHT($B14,8),RIGHT($B14,10)),'DATA '!$B$35:$K$40,K$4,FALSE),"")</f>
        <v>12.658777666666669</v>
      </c>
      <c r="L14" s="131" t="str">
        <f>IFERROR(VLOOKUP(IF(LEN($B14)=18,RIGHT($B14,8),RIGHT($B14,10)),'DATA '!$B$35:$K$40,L$4,FALSE),"")</f>
        <v/>
      </c>
      <c r="M14" s="92">
        <v>10</v>
      </c>
      <c r="N14" s="131">
        <v>31.536000000000001</v>
      </c>
      <c r="O14" s="91"/>
      <c r="S14" s="91"/>
      <c r="T14" s="91"/>
      <c r="U14" s="91" t="str">
        <f>Commodities!$AC$14&amp;"_"&amp;RIGHT(Commodities!$D$340,3)&amp;"_"&amp;$U$3&amp;"_ST02"</f>
        <v>TER_TS_SC_ELC_N_ST02</v>
      </c>
      <c r="V14" s="91" t="s">
        <v>1072</v>
      </c>
      <c r="W14" s="92" t="str">
        <f>General!$B$2</f>
        <v>PJ</v>
      </c>
      <c r="X14" s="92" t="str">
        <f>General!$B$5</f>
        <v>GW</v>
      </c>
      <c r="Y14" s="92" t="s">
        <v>44</v>
      </c>
      <c r="Z14" s="92"/>
      <c r="AA14" s="91"/>
      <c r="AE14" s="144"/>
    </row>
    <row r="15" spans="2:33" s="78" customFormat="1" ht="13.8" x14ac:dyDescent="0.25">
      <c r="B15" s="91" t="str">
        <f t="shared" si="0"/>
        <v>TER_TS_SC_ELC_N_ST02</v>
      </c>
      <c r="C15" s="91" t="str">
        <f t="shared" si="1"/>
        <v>Services (Public) SpCool Fans (N)</v>
      </c>
      <c r="D15" s="91" t="str">
        <f>Commodities!$D$340</f>
        <v>TERELC</v>
      </c>
      <c r="E15" s="91" t="str">
        <f>E14</f>
        <v>TER_TS_SC</v>
      </c>
      <c r="F15" s="130">
        <f t="shared" si="2"/>
        <v>2018</v>
      </c>
      <c r="G15" s="92">
        <f>BASE_YEAR+1</f>
        <v>2018</v>
      </c>
      <c r="H15" s="131">
        <f>IFERROR(VLOOKUP(IF(LEN($B15)=18,RIGHT($B15,8),RIGHT($B15,10)),'DATA '!$B$35:$K$40,H$4,FALSE),"")</f>
        <v>0.2</v>
      </c>
      <c r="I15" s="91" t="str">
        <f>IFERROR(VLOOKUP(IF(LEN($B15)=18,RIGHT($B15,8),RIGHT($B15,10)),'DATA '!$B$35:$K$40,I$4,FALSE),"")</f>
        <v/>
      </c>
      <c r="J15" s="131">
        <f>IFERROR(VLOOKUP(IF(LEN($B15)=18,RIGHT($B15,8),RIGHT($B15,10)),'DATA '!$B$35:$K$40,J$4,FALSE),"")</f>
        <v>55.555555555555557</v>
      </c>
      <c r="K15" s="131" t="str">
        <f>IFERROR(VLOOKUP(IF(LEN($B15)=18,RIGHT($B15,8),RIGHT($B15,10)),'DATA '!$B$35:$K$40,K$4,FALSE),"")</f>
        <v/>
      </c>
      <c r="L15" s="131" t="str">
        <f>IFERROR(VLOOKUP(IF(LEN($B15)=18,RIGHT($B15,8),RIGHT($B15,10)),'DATA '!$B$35:$K$40,L$4,FALSE),"")</f>
        <v/>
      </c>
      <c r="M15" s="92">
        <v>10</v>
      </c>
      <c r="N15" s="131">
        <v>31.536000000000001</v>
      </c>
      <c r="O15" s="91"/>
      <c r="S15" s="91"/>
      <c r="T15" s="91"/>
      <c r="U15" s="91" t="str">
        <f>Commodities!$AC$14&amp;"_"&amp;RIGHT(Commodities!$D$340,3)&amp;"_"&amp;$U$3&amp;"_IM01"</f>
        <v>TER_TS_SC_ELC_N_IM01</v>
      </c>
      <c r="V15" s="91" t="s">
        <v>1073</v>
      </c>
      <c r="W15" s="92" t="str">
        <f>General!$B$2</f>
        <v>PJ</v>
      </c>
      <c r="X15" s="92" t="str">
        <f>General!$B$5</f>
        <v>GW</v>
      </c>
      <c r="Y15" s="92" t="s">
        <v>44</v>
      </c>
      <c r="Z15" s="92"/>
      <c r="AA15" s="91"/>
      <c r="AE15" s="144"/>
    </row>
    <row r="16" spans="2:33" s="78" customFormat="1" ht="13.8" x14ac:dyDescent="0.25">
      <c r="B16" s="91" t="str">
        <f t="shared" si="0"/>
        <v>TER_TS_SC_ELC_N_IM01</v>
      </c>
      <c r="C16" s="91" t="str">
        <f t="shared" si="1"/>
        <v>Services (Public) SpCool A/C (Class A) (N)</v>
      </c>
      <c r="D16" s="91" t="str">
        <f>Commodities!$D$340</f>
        <v>TERELC</v>
      </c>
      <c r="E16" s="91" t="str">
        <f>E15</f>
        <v>TER_TS_SC</v>
      </c>
      <c r="F16" s="130">
        <f t="shared" si="2"/>
        <v>2020</v>
      </c>
      <c r="G16" s="92">
        <f>BASE_YEAR+3</f>
        <v>2020</v>
      </c>
      <c r="H16" s="131">
        <f>IFERROR(VLOOKUP(IF(LEN($B16)=18,RIGHT($B16,8),RIGHT($B16,10)),'DATA '!$B$35:$K$40,H$4,FALSE),"")</f>
        <v>5.1442499999999987</v>
      </c>
      <c r="I16" s="91" t="str">
        <f>IFERROR(VLOOKUP(IF(LEN($B16)=18,RIGHT($B16,8),RIGHT($B16,10)),'DATA '!$B$35:$K$40,I$4,FALSE),"")</f>
        <v/>
      </c>
      <c r="J16" s="131">
        <f>IFERROR(VLOOKUP(IF(LEN($B16)=18,RIGHT($B16,8),RIGHT($B16,10)),'DATA '!$B$35:$K$40,J$4,FALSE),"")</f>
        <v>230.63999999999996</v>
      </c>
      <c r="K16" s="131">
        <f>IFERROR(VLOOKUP(IF(LEN($B16)=18,RIGHT($B16,8),RIGHT($B16,10)),'DATA '!$B$35:$K$40,K$4,FALSE),"")</f>
        <v>12.658777666666669</v>
      </c>
      <c r="L16" s="131" t="str">
        <f>IFERROR(VLOOKUP(IF(LEN($B16)=18,RIGHT($B16,8),RIGHT($B16,10)),'DATA '!$B$35:$K$40,L$4,FALSE),"")</f>
        <v/>
      </c>
      <c r="M16" s="92">
        <v>10</v>
      </c>
      <c r="N16" s="131">
        <v>31.536000000000001</v>
      </c>
      <c r="O16" s="91"/>
      <c r="S16" s="91"/>
      <c r="T16" s="91"/>
      <c r="U16" s="91" t="str">
        <f>Commodities!$AC$14&amp;"_"&amp;RIGHT(Commodities!$D$340,3)&amp;"_"&amp;$U$3&amp;"_IM02"</f>
        <v>TER_TS_SC_ELC_N_IM02</v>
      </c>
      <c r="V16" s="91" t="s">
        <v>1074</v>
      </c>
      <c r="W16" s="92" t="str">
        <f>General!$B$2</f>
        <v>PJ</v>
      </c>
      <c r="X16" s="92" t="str">
        <f>General!$B$5</f>
        <v>GW</v>
      </c>
      <c r="Y16" s="92" t="s">
        <v>44</v>
      </c>
      <c r="Z16" s="92"/>
      <c r="AA16" s="91"/>
      <c r="AE16" s="144"/>
    </row>
    <row r="17" spans="2:31" s="78" customFormat="1" ht="13.8" x14ac:dyDescent="0.25">
      <c r="B17" s="91" t="str">
        <f t="shared" si="0"/>
        <v>TER_TS_SC_ELC_N_IM02</v>
      </c>
      <c r="C17" s="91" t="str">
        <f t="shared" si="1"/>
        <v>Services (Public) SpCool A/C (Class A+) (N)</v>
      </c>
      <c r="D17" s="91" t="str">
        <f>Commodities!$D$340</f>
        <v>TERELC</v>
      </c>
      <c r="E17" s="91" t="str">
        <f>E16</f>
        <v>TER_TS_SC</v>
      </c>
      <c r="F17" s="130">
        <f t="shared" si="2"/>
        <v>2030</v>
      </c>
      <c r="G17" s="92">
        <f>BASE_YEAR+13</f>
        <v>2030</v>
      </c>
      <c r="H17" s="131">
        <f>IFERROR(VLOOKUP(IF(LEN($B17)=18,RIGHT($B17,8),RIGHT($B17,10)),'DATA '!$B$35:$K$40,H$4,FALSE),"")</f>
        <v>5.4149999999999991</v>
      </c>
      <c r="I17" s="91" t="str">
        <f>IFERROR(VLOOKUP(IF(LEN($B17)=18,RIGHT($B17,8),RIGHT($B17,10)),'DATA '!$B$35:$K$40,I$4,FALSE),"")</f>
        <v/>
      </c>
      <c r="J17" s="131">
        <f>IFERROR(VLOOKUP(IF(LEN($B17)=18,RIGHT($B17,8),RIGHT($B17,10)),'DATA '!$B$35:$K$40,J$4,FALSE),"")</f>
        <v>248</v>
      </c>
      <c r="K17" s="131">
        <f>IFERROR(VLOOKUP(IF(LEN($B17)=18,RIGHT($B17,8),RIGHT($B17,10)),'DATA '!$B$35:$K$40,K$4,FALSE),"")</f>
        <v>11.830633333333333</v>
      </c>
      <c r="L17" s="131" t="str">
        <f>IFERROR(VLOOKUP(IF(LEN($B17)=18,RIGHT($B17,8),RIGHT($B17,10)),'DATA '!$B$35:$K$40,L$4,FALSE),"")</f>
        <v/>
      </c>
      <c r="M17" s="92">
        <v>10</v>
      </c>
      <c r="N17" s="131">
        <v>31.536000000000001</v>
      </c>
      <c r="O17" s="91"/>
      <c r="S17" s="91"/>
      <c r="T17" s="91"/>
      <c r="U17" s="91" t="str">
        <f>Commodities!$AC$14&amp;"_"&amp;RIGHT(Commodities!$D$340,3)&amp;"_"&amp;$U$3&amp;"_AD01"</f>
        <v>TER_TS_SC_ELC_N_AD01</v>
      </c>
      <c r="V17" s="91" t="s">
        <v>1075</v>
      </c>
      <c r="W17" s="92" t="str">
        <f>General!$B$2</f>
        <v>PJ</v>
      </c>
      <c r="X17" s="92" t="str">
        <f>General!$B$5</f>
        <v>GW</v>
      </c>
      <c r="Y17" s="92" t="s">
        <v>44</v>
      </c>
      <c r="Z17" s="92"/>
      <c r="AA17" s="91"/>
      <c r="AE17" s="144"/>
    </row>
    <row r="18" spans="2:31" s="78" customFormat="1" ht="13.8" x14ac:dyDescent="0.25">
      <c r="B18" s="91" t="str">
        <f t="shared" si="0"/>
        <v>TER_TS_SC_ELC_N_AD01</v>
      </c>
      <c r="C18" s="91" t="str">
        <f t="shared" si="1"/>
        <v>Services (Public) SpCool A/C (Class A++) (N)</v>
      </c>
      <c r="D18" s="91" t="str">
        <f>Commodities!$D$340</f>
        <v>TERELC</v>
      </c>
      <c r="E18" s="91" t="str">
        <f>E17</f>
        <v>TER_TS_SC</v>
      </c>
      <c r="F18" s="130">
        <f t="shared" si="2"/>
        <v>2040</v>
      </c>
      <c r="G18" s="92">
        <v>2040</v>
      </c>
      <c r="H18" s="131">
        <f>IFERROR(VLOOKUP(IF(LEN($B18)=18,RIGHT($B18,8),RIGHT($B18,10)),'DATA '!$B$35:$K$40,H$4,FALSE),"")</f>
        <v>5.6999999999999993</v>
      </c>
      <c r="I18" s="91" t="str">
        <f>IFERROR(VLOOKUP(IF(LEN($B18)=18,RIGHT($B18,8),RIGHT($B18,10)),'DATA '!$B$35:$K$40,I$4,FALSE),"")</f>
        <v/>
      </c>
      <c r="J18" s="131">
        <f>IFERROR(VLOOKUP(IF(LEN($B18)=18,RIGHT($B18,8),RIGHT($B18,10)),'DATA '!$B$35:$K$40,J$4,FALSE),"")</f>
        <v>266.66666666666669</v>
      </c>
      <c r="K18" s="131">
        <f>IFERROR(VLOOKUP(IF(LEN($B18)=18,RIGHT($B18,8),RIGHT($B18,10)),'DATA '!$B$35:$K$40,K$4,FALSE),"")</f>
        <v>11.056666666666665</v>
      </c>
      <c r="L18" s="131" t="str">
        <f>IFERROR(VLOOKUP(IF(LEN($B18)=18,RIGHT($B18,8),RIGHT($B18,10)),'DATA '!$B$35:$K$40,L$4,FALSE),"")</f>
        <v/>
      </c>
      <c r="M18" s="92">
        <v>15</v>
      </c>
      <c r="N18" s="131">
        <v>31.536000000000001</v>
      </c>
      <c r="O18" s="91"/>
      <c r="S18" s="86"/>
      <c r="T18" s="86"/>
      <c r="U18" s="86" t="str">
        <f>Commodities!$AC$14&amp;"_"&amp;RIGHT(Commodities!$D$340,3)&amp;"_"&amp;$U$3&amp;"_ST03"</f>
        <v>TER_TS_SC_ELC_N_ST03</v>
      </c>
      <c r="V18" s="86" t="s">
        <v>1076</v>
      </c>
      <c r="W18" s="87" t="str">
        <f>General!$B$2</f>
        <v>PJ</v>
      </c>
      <c r="X18" s="87" t="str">
        <f>General!$B$5</f>
        <v>GW</v>
      </c>
      <c r="Y18" s="87" t="s">
        <v>44</v>
      </c>
      <c r="Z18" s="87"/>
      <c r="AA18" s="86"/>
      <c r="AE18" s="144"/>
    </row>
    <row r="19" spans="2:31" s="78" customFormat="1" ht="13.8" x14ac:dyDescent="0.25">
      <c r="B19" s="86" t="str">
        <f t="shared" si="0"/>
        <v>TER_TS_SC_ELC_N_ST03</v>
      </c>
      <c r="C19" s="86" t="str">
        <f t="shared" si="1"/>
        <v>Services (Public)  SpCool Central A/C (N)</v>
      </c>
      <c r="D19" s="86" t="str">
        <f>Commodities!$D$340</f>
        <v>TERELC</v>
      </c>
      <c r="E19" s="86" t="str">
        <f>E18</f>
        <v>TER_TS_SC</v>
      </c>
      <c r="F19" s="133">
        <f>G19</f>
        <v>2040</v>
      </c>
      <c r="G19" s="87">
        <v>2040</v>
      </c>
      <c r="H19" s="134">
        <f>IFERROR(VLOOKUP(IF(LEN($B19)=18,RIGHT($B19,8),RIGHT($B19,10)),'DATA '!$B$35:$K$40,H$4,FALSE),"")</f>
        <v>6</v>
      </c>
      <c r="I19" s="86" t="str">
        <f>IFERROR(VLOOKUP(IF(LEN($B19)=18,RIGHT($B19,8),RIGHT($B19,10)),'DATA '!$B$35:$K$40,I$4,FALSE),"")</f>
        <v/>
      </c>
      <c r="J19" s="134">
        <f>IFERROR(VLOOKUP(IF(LEN($B19)=18,RIGHT($B19,8),RIGHT($B19,10)),'DATA '!$B$35:$K$40,J$4,FALSE),"")</f>
        <v>344.44444444444446</v>
      </c>
      <c r="K19" s="134">
        <f>IFERROR(VLOOKUP(IF(LEN($B19)=18,RIGHT($B19,8),RIGHT($B19,10)),'DATA '!$B$35:$K$40,K$4,FALSE),"")</f>
        <v>10.333333333333332</v>
      </c>
      <c r="L19" s="134" t="str">
        <f>IFERROR(VLOOKUP(IF(LEN($B19)=18,RIGHT($B19,8),RIGHT($B19,10)),'DATA '!$B$35:$K$40,L$4,FALSE),"")</f>
        <v/>
      </c>
      <c r="M19" s="87">
        <v>15</v>
      </c>
      <c r="N19" s="134">
        <v>31.536000000000001</v>
      </c>
      <c r="O19" s="91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E19" s="14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G29"/>
  <sheetViews>
    <sheetView zoomScale="70" zoomScaleNormal="70" workbookViewId="0">
      <selection activeCell="A4" sqref="A1:XFD1048576"/>
    </sheetView>
  </sheetViews>
  <sheetFormatPr defaultRowHeight="13.2" x14ac:dyDescent="0.25"/>
  <cols>
    <col min="1" max="1" width="4.6640625" style="117" customWidth="1"/>
    <col min="2" max="2" width="33.33203125" style="117" customWidth="1"/>
    <col min="3" max="3" width="55.6640625" style="117" bestFit="1" customWidth="1"/>
    <col min="4" max="4" width="25" style="117" customWidth="1"/>
    <col min="5" max="5" width="18.88671875" style="117" bestFit="1" customWidth="1"/>
    <col min="6" max="6" width="6.6640625" style="117" bestFit="1" customWidth="1"/>
    <col min="7" max="7" width="11.88671875" style="117" bestFit="1" customWidth="1"/>
    <col min="8" max="8" width="10" style="117" bestFit="1" customWidth="1"/>
    <col min="9" max="9" width="28.44140625" style="117" bestFit="1" customWidth="1"/>
    <col min="10" max="10" width="16.6640625" style="117" bestFit="1" customWidth="1"/>
    <col min="11" max="11" width="14.44140625" style="117" bestFit="1" customWidth="1"/>
    <col min="12" max="12" width="16.44140625" style="117" bestFit="1" customWidth="1"/>
    <col min="13" max="13" width="19" style="117" bestFit="1" customWidth="1"/>
    <col min="14" max="14" width="18.33203125" style="117" bestFit="1" customWidth="1"/>
    <col min="15" max="15" width="25.5546875" style="117" bestFit="1" customWidth="1"/>
    <col min="16" max="16" width="8.88671875" style="117"/>
    <col min="17" max="17" width="13.6640625" style="117" customWidth="1"/>
    <col min="18" max="19" width="8.88671875" style="117"/>
    <col min="20" max="20" width="22.88671875" style="117" customWidth="1"/>
    <col min="21" max="21" width="14.33203125" style="117" bestFit="1" customWidth="1"/>
    <col min="22" max="22" width="31.33203125" style="117" bestFit="1" customWidth="1"/>
    <col min="23" max="23" width="80.5546875" style="117" customWidth="1"/>
    <col min="24" max="24" width="11.5546875" style="117" bestFit="1" customWidth="1"/>
    <col min="25" max="25" width="13.44140625" style="117" bestFit="1" customWidth="1"/>
    <col min="26" max="27" width="26.44140625" style="117" bestFit="1" customWidth="1"/>
    <col min="28" max="28" width="16.5546875" style="117" bestFit="1" customWidth="1"/>
    <col min="29" max="16384" width="8.88671875" style="117"/>
  </cols>
  <sheetData>
    <row r="1" spans="2:33" s="78" customFormat="1" ht="17.399999999999999" x14ac:dyDescent="0.3">
      <c r="B1" s="97" t="s">
        <v>737</v>
      </c>
      <c r="C1" s="97"/>
      <c r="D1" s="97"/>
      <c r="E1" s="97"/>
      <c r="F1" s="97"/>
      <c r="G1" s="97"/>
      <c r="H1" s="97"/>
      <c r="I1" s="97"/>
      <c r="P1" s="91"/>
      <c r="T1" s="78" t="s">
        <v>724</v>
      </c>
    </row>
    <row r="2" spans="2:33" s="78" customFormat="1" ht="17.399999999999999" x14ac:dyDescent="0.3">
      <c r="B2" s="97" t="s">
        <v>754</v>
      </c>
      <c r="C2" s="97"/>
      <c r="D2" s="97"/>
      <c r="E2" s="97"/>
      <c r="F2" s="97"/>
      <c r="G2" s="97"/>
      <c r="H2" s="97"/>
      <c r="I2" s="97"/>
      <c r="P2" s="91"/>
    </row>
    <row r="3" spans="2:33" s="78" customFormat="1" ht="13.8" x14ac:dyDescent="0.25">
      <c r="B3" s="98"/>
      <c r="D3" s="93"/>
      <c r="E3" s="93"/>
      <c r="F3" s="93"/>
      <c r="G3" s="93"/>
      <c r="J3" s="119"/>
      <c r="K3" s="119"/>
      <c r="L3" s="119"/>
      <c r="M3" s="119"/>
      <c r="N3" s="99"/>
      <c r="P3" s="91"/>
      <c r="T3" s="100" t="s">
        <v>726</v>
      </c>
      <c r="U3" s="100"/>
      <c r="V3" s="100" t="s">
        <v>727</v>
      </c>
      <c r="W3" s="100"/>
      <c r="X3" s="100"/>
      <c r="Y3" s="100"/>
      <c r="Z3" s="100"/>
      <c r="AA3" s="100"/>
      <c r="AB3" s="100"/>
      <c r="AE3" s="91"/>
      <c r="AF3" s="91"/>
      <c r="AG3" s="91"/>
    </row>
    <row r="4" spans="2:33" s="78" customFormat="1" ht="13.8" x14ac:dyDescent="0.25">
      <c r="E4" s="120"/>
      <c r="F4" s="101" t="s">
        <v>0</v>
      </c>
      <c r="G4" s="101"/>
      <c r="H4" s="119">
        <v>4</v>
      </c>
      <c r="I4" s="119"/>
      <c r="K4" s="78">
        <v>7</v>
      </c>
      <c r="L4" s="78">
        <v>8</v>
      </c>
      <c r="M4" s="78">
        <v>9</v>
      </c>
      <c r="N4" s="78">
        <v>10</v>
      </c>
      <c r="P4" s="91"/>
      <c r="T4" s="102" t="s">
        <v>17</v>
      </c>
      <c r="U4" s="102"/>
      <c r="V4" s="100"/>
      <c r="W4" s="100"/>
      <c r="X4" s="100"/>
      <c r="Y4" s="100"/>
      <c r="Z4" s="100"/>
      <c r="AA4" s="100"/>
      <c r="AB4" s="100"/>
      <c r="AE4" s="123"/>
      <c r="AF4" s="91"/>
      <c r="AG4" s="91"/>
    </row>
    <row r="5" spans="2:33" s="78" customFormat="1" ht="13.8" x14ac:dyDescent="0.25">
      <c r="B5" s="103" t="s">
        <v>1</v>
      </c>
      <c r="C5" s="103" t="s">
        <v>728</v>
      </c>
      <c r="D5" s="103" t="s">
        <v>3</v>
      </c>
      <c r="E5" s="103" t="s">
        <v>4</v>
      </c>
      <c r="F5" s="104" t="s">
        <v>739</v>
      </c>
      <c r="G5" s="140" t="s">
        <v>14</v>
      </c>
      <c r="H5" s="105" t="s">
        <v>16</v>
      </c>
      <c r="I5" s="105" t="str">
        <f>"SHARE~"&amp;D15</f>
        <v>SHARE~TERRESSOL</v>
      </c>
      <c r="J5" s="105" t="s">
        <v>46</v>
      </c>
      <c r="K5" s="105" t="s">
        <v>36</v>
      </c>
      <c r="L5" s="105" t="s">
        <v>5</v>
      </c>
      <c r="M5" s="105" t="s">
        <v>34</v>
      </c>
      <c r="N5" s="105" t="s">
        <v>47</v>
      </c>
      <c r="O5" s="105" t="s">
        <v>48</v>
      </c>
      <c r="P5" s="91"/>
      <c r="Q5" s="142" t="s">
        <v>740</v>
      </c>
      <c r="R5" s="142"/>
      <c r="T5" s="80" t="s">
        <v>15</v>
      </c>
      <c r="U5" s="80" t="s">
        <v>50</v>
      </c>
      <c r="V5" s="80" t="s">
        <v>1</v>
      </c>
      <c r="W5" s="80" t="s">
        <v>2</v>
      </c>
      <c r="X5" s="80" t="s">
        <v>18</v>
      </c>
      <c r="Y5" s="80" t="s">
        <v>19</v>
      </c>
      <c r="Z5" s="80" t="s">
        <v>20</v>
      </c>
      <c r="AA5" s="80" t="s">
        <v>21</v>
      </c>
      <c r="AB5" s="80" t="s">
        <v>22</v>
      </c>
      <c r="AE5" s="125"/>
      <c r="AF5" s="91"/>
      <c r="AG5" s="91"/>
    </row>
    <row r="6" spans="2:33" s="78" customFormat="1" ht="28.2" thickBot="1" x14ac:dyDescent="0.3">
      <c r="B6" s="106" t="s">
        <v>729</v>
      </c>
      <c r="C6" s="106" t="s">
        <v>28</v>
      </c>
      <c r="D6" s="106" t="s">
        <v>32</v>
      </c>
      <c r="E6" s="106" t="s">
        <v>33</v>
      </c>
      <c r="F6" s="107"/>
      <c r="G6" s="108" t="s">
        <v>35</v>
      </c>
      <c r="H6" s="106" t="s">
        <v>753</v>
      </c>
      <c r="I6" s="106" t="s">
        <v>755</v>
      </c>
      <c r="J6" s="106" t="s">
        <v>744</v>
      </c>
      <c r="K6" s="108" t="s">
        <v>747</v>
      </c>
      <c r="L6" s="106" t="s">
        <v>37</v>
      </c>
      <c r="M6" s="106" t="s">
        <v>38</v>
      </c>
      <c r="N6" s="106" t="s">
        <v>716</v>
      </c>
      <c r="O6" s="106" t="s">
        <v>748</v>
      </c>
      <c r="P6" s="91"/>
      <c r="T6" s="126" t="s">
        <v>730</v>
      </c>
      <c r="U6" s="126" t="s">
        <v>53</v>
      </c>
      <c r="V6" s="126" t="s">
        <v>27</v>
      </c>
      <c r="W6" s="126" t="s">
        <v>28</v>
      </c>
      <c r="X6" s="126" t="s">
        <v>29</v>
      </c>
      <c r="Y6" s="126" t="s">
        <v>30</v>
      </c>
      <c r="Z6" s="126" t="s">
        <v>731</v>
      </c>
      <c r="AA6" s="126" t="s">
        <v>732</v>
      </c>
      <c r="AB6" s="126" t="s">
        <v>31</v>
      </c>
      <c r="AE6" s="127"/>
      <c r="AF6" s="91"/>
      <c r="AG6" s="91"/>
    </row>
    <row r="7" spans="2:33" s="78" customFormat="1" ht="13.8" x14ac:dyDescent="0.25">
      <c r="B7" s="145" t="s">
        <v>751</v>
      </c>
      <c r="C7" s="128"/>
      <c r="D7" s="128"/>
      <c r="E7" s="128" t="s">
        <v>733</v>
      </c>
      <c r="F7" s="129"/>
      <c r="G7" s="128"/>
      <c r="H7" s="128" t="s">
        <v>749</v>
      </c>
      <c r="I7" s="128" t="s">
        <v>749</v>
      </c>
      <c r="J7" s="128" t="s">
        <v>749</v>
      </c>
      <c r="K7" s="128" t="str">
        <f>General!$D$26</f>
        <v>$/kW</v>
      </c>
      <c r="L7" s="128" t="str">
        <f>General!$D$26</f>
        <v>$/kW</v>
      </c>
      <c r="M7" s="128" t="str">
        <f>General!$D$15</f>
        <v>$/GJ</v>
      </c>
      <c r="N7" s="112" t="str">
        <f>General!$D$21</f>
        <v>PJ/year</v>
      </c>
      <c r="O7" s="128" t="str">
        <f>General!$E$16</f>
        <v>PJ/GW</v>
      </c>
      <c r="P7" s="91"/>
      <c r="Q7" s="91"/>
      <c r="R7" s="91"/>
      <c r="S7" s="91"/>
      <c r="T7" s="91" t="s">
        <v>750</v>
      </c>
      <c r="U7" s="91"/>
      <c r="V7" s="91" t="str">
        <f>Commodities!$AC$11&amp;"_"&amp;RIGHT(Commodities!$D$340,3)&amp;"_"&amp;$V$3&amp;"_ST"</f>
        <v>TER_TP_WH_ELC_N_ST</v>
      </c>
      <c r="W7" s="91" t="s">
        <v>1083</v>
      </c>
      <c r="X7" s="92" t="str">
        <f>General!$B$2</f>
        <v>PJ</v>
      </c>
      <c r="Y7" s="92" t="str">
        <f>General!$B$5</f>
        <v>GW</v>
      </c>
      <c r="Z7" s="92" t="s">
        <v>44</v>
      </c>
      <c r="AA7" s="92"/>
      <c r="AB7" s="91"/>
      <c r="AE7" s="143"/>
      <c r="AF7" s="91"/>
      <c r="AG7" s="91"/>
    </row>
    <row r="8" spans="2:33" s="78" customFormat="1" ht="13.8" x14ac:dyDescent="0.25">
      <c r="B8" s="91" t="str">
        <f t="shared" ref="B8:B9" si="0">V7</f>
        <v>TER_TP_WH_ELC_N_ST</v>
      </c>
      <c r="C8" s="91" t="str">
        <f t="shared" ref="C8:C9" si="1">W7</f>
        <v>Private (Commercial) WaterHeat Electric Standard (N)</v>
      </c>
      <c r="D8" s="91" t="str">
        <f>Commodities!$D$340</f>
        <v>TERELC</v>
      </c>
      <c r="E8" s="91" t="str">
        <f>Commodities!$AC$11</f>
        <v>TER_TP_WH</v>
      </c>
      <c r="F8" s="130">
        <f>G8</f>
        <v>2018</v>
      </c>
      <c r="G8" s="146">
        <f>BASE_YEAR+1</f>
        <v>2018</v>
      </c>
      <c r="H8" s="147">
        <f>IFERROR(VLOOKUP(IF(LEN($B8)=18,RIGHT($B8,8),RIGHT($B8,10)),'DATA '!$B$44:$K$51,H$4,FALSE),"")</f>
        <v>0.9</v>
      </c>
      <c r="I8" s="147"/>
      <c r="J8" s="89"/>
      <c r="K8" s="147">
        <f>IFERROR(VLOOKUP(IF(LEN($B8)=18,RIGHT($B8,8),RIGHT($B8,10)),'DATA '!$B$44:$K$51,K$4,FALSE),"")</f>
        <v>177.75939393939393</v>
      </c>
      <c r="L8" s="147">
        <f>IFERROR(VLOOKUP(IF(LEN($B8)=18,RIGHT($B8,8),RIGHT($B8,10)),'DATA '!$B$44:$K$51,L$4,FALSE),"")</f>
        <v>8.8879696969696962</v>
      </c>
      <c r="M8" s="90"/>
      <c r="N8" s="92">
        <f>IFERROR(VLOOKUP(IF(LEN($B8)=18,RIGHT($B8,8),RIGHT($B8,10)),'DATA '!$B$44:$K$51,N$4,FALSE),"")</f>
        <v>15</v>
      </c>
      <c r="O8" s="147">
        <v>31.536000000000001</v>
      </c>
      <c r="P8" s="91"/>
      <c r="T8" s="91"/>
      <c r="U8" s="91"/>
      <c r="V8" s="91" t="str">
        <f>Commodities!$AC$11&amp;"_"&amp;RIGHT(Commodities!$D$340,3)&amp;"_"&amp;$V$3&amp;"_IM"</f>
        <v>TER_TP_WH_ELC_N_IM</v>
      </c>
      <c r="W8" s="91" t="s">
        <v>1084</v>
      </c>
      <c r="X8" s="92" t="str">
        <f>General!$B$2</f>
        <v>PJ</v>
      </c>
      <c r="Y8" s="92" t="str">
        <f>General!$B$5</f>
        <v>GW</v>
      </c>
      <c r="Z8" s="92" t="s">
        <v>44</v>
      </c>
      <c r="AA8" s="92"/>
      <c r="AB8" s="91"/>
      <c r="AE8" s="143"/>
      <c r="AF8" s="91"/>
      <c r="AG8" s="91"/>
    </row>
    <row r="9" spans="2:33" s="78" customFormat="1" ht="13.8" x14ac:dyDescent="0.25">
      <c r="B9" s="91" t="str">
        <f t="shared" si="0"/>
        <v>TER_TP_WH_ELC_N_IM</v>
      </c>
      <c r="C9" s="91" t="str">
        <f t="shared" si="1"/>
        <v>Private (Commercial) WaterHeat Electric Improved (N)</v>
      </c>
      <c r="D9" s="91" t="str">
        <f>Commodities!$D$340</f>
        <v>TERELC</v>
      </c>
      <c r="E9" s="91" t="str">
        <f>E8</f>
        <v>TER_TP_WH</v>
      </c>
      <c r="F9" s="130">
        <f t="shared" ref="F9:F16" si="2">G9</f>
        <v>2025</v>
      </c>
      <c r="G9" s="148">
        <v>2025</v>
      </c>
      <c r="H9" s="131">
        <f>IFERROR(VLOOKUP(IF(LEN($B9)=18,RIGHT($B9,8),RIGHT($B9,10)),'DATA '!$B$44:$K$51,H$4,FALSE),"")</f>
        <v>0.94500000000000006</v>
      </c>
      <c r="I9" s="131"/>
      <c r="J9" s="91"/>
      <c r="K9" s="131">
        <f>IFERROR(VLOOKUP(IF(LEN($B9)=18,RIGHT($B9,8),RIGHT($B9,10)),'DATA '!$B$44:$K$51,K$4,FALSE),"")</f>
        <v>190.2025515151515</v>
      </c>
      <c r="L9" s="131">
        <f>IFERROR(VLOOKUP(IF(LEN($B9)=18,RIGHT($B9,8),RIGHT($B9,10)),'DATA '!$B$44:$K$51,L$4,FALSE),"")</f>
        <v>8.2658118181818168</v>
      </c>
      <c r="M9" s="92"/>
      <c r="N9" s="92">
        <f>IFERROR(VLOOKUP(IF(LEN($B9)=18,RIGHT($B9,8),RIGHT($B9,10)),'DATA '!$B$44:$K$51,N$4,FALSE),"")</f>
        <v>15</v>
      </c>
      <c r="O9" s="131">
        <v>31.536000000000001</v>
      </c>
      <c r="P9" s="91"/>
      <c r="T9" s="91"/>
      <c r="U9" s="91"/>
      <c r="V9" s="91" t="str">
        <f>Commodities!$AC$11&amp;"_"&amp;LEFT(RIGHT(Commodities!$D$165,6),3)&amp;"_"&amp;$V$3&amp;"_ST"</f>
        <v>TER_TP_WH_GAS_N_ST</v>
      </c>
      <c r="W9" s="91" t="s">
        <v>1085</v>
      </c>
      <c r="X9" s="92" t="str">
        <f>General!$B$2</f>
        <v>PJ</v>
      </c>
      <c r="Y9" s="92" t="str">
        <f>General!$B$5</f>
        <v>GW</v>
      </c>
      <c r="Z9" s="92" t="s">
        <v>44</v>
      </c>
      <c r="AA9" s="92"/>
      <c r="AB9" s="91"/>
      <c r="AE9" s="143"/>
      <c r="AF9" s="91"/>
      <c r="AG9" s="91"/>
    </row>
    <row r="10" spans="2:33" s="78" customFormat="1" ht="13.8" x14ac:dyDescent="0.25">
      <c r="B10" s="91" t="str">
        <f t="shared" ref="B10:C14" si="3">V9</f>
        <v>TER_TP_WH_GAS_N_ST</v>
      </c>
      <c r="C10" s="91" t="str">
        <f t="shared" si="3"/>
        <v>Private (Commercial) WaterHear Gas Standard (N)</v>
      </c>
      <c r="D10" s="91" t="str">
        <f>Commodities!$D$197</f>
        <v>TERGASNAT</v>
      </c>
      <c r="E10" s="91" t="str">
        <f>E8</f>
        <v>TER_TP_WH</v>
      </c>
      <c r="F10" s="130">
        <f t="shared" si="2"/>
        <v>2018</v>
      </c>
      <c r="G10" s="148">
        <v>2018</v>
      </c>
      <c r="H10" s="131">
        <f>IFERROR(VLOOKUP(IF(LEN($B10)=18,RIGHT($B10,8),RIGHT($B10,10)),'DATA '!$B$44:$K$51,H$4,FALSE),"")</f>
        <v>0.9</v>
      </c>
      <c r="I10" s="131"/>
      <c r="J10" s="91"/>
      <c r="K10" s="131">
        <f>IFERROR(VLOOKUP(IF(LEN($B10)=18,RIGHT($B10,8),RIGHT($B10,10)),'DATA '!$B$44:$K$51,K$4,FALSE),"")</f>
        <v>127.71714029603373</v>
      </c>
      <c r="L10" s="131">
        <f>IFERROR(VLOOKUP(IF(LEN($B10)=18,RIGHT($B10,8),RIGHT($B10,10)),'DATA '!$B$44:$K$51,L$4,FALSE),"")</f>
        <v>4.9892962600770518</v>
      </c>
      <c r="M10" s="92"/>
      <c r="N10" s="92">
        <f>IFERROR(VLOOKUP(IF(LEN($B10)=18,RIGHT($B10,8),RIGHT($B10,10)),'DATA '!$B$44:$K$51,N$4,FALSE),"")</f>
        <v>20</v>
      </c>
      <c r="O10" s="131">
        <v>31.536000000000001</v>
      </c>
      <c r="P10" s="91"/>
      <c r="T10" s="91"/>
      <c r="U10" s="91"/>
      <c r="V10" s="91" t="str">
        <f>Commodities!$AC$11&amp;"_"&amp;LEFT(RIGHT(Commodities!$D$165,6),3)&amp;"_"&amp;$V$3&amp;"_IM"</f>
        <v>TER_TP_WH_GAS_N_IM</v>
      </c>
      <c r="W10" s="91" t="s">
        <v>1086</v>
      </c>
      <c r="X10" s="92" t="str">
        <f>General!$B$2</f>
        <v>PJ</v>
      </c>
      <c r="Y10" s="92" t="str">
        <f>General!$B$5</f>
        <v>GW</v>
      </c>
      <c r="Z10" s="92" t="s">
        <v>44</v>
      </c>
      <c r="AA10" s="92"/>
      <c r="AB10" s="91"/>
      <c r="AE10" s="144"/>
    </row>
    <row r="11" spans="2:33" s="78" customFormat="1" ht="13.8" x14ac:dyDescent="0.25">
      <c r="B11" s="91" t="str">
        <f t="shared" si="3"/>
        <v>TER_TP_WH_GAS_N_IM</v>
      </c>
      <c r="C11" s="91" t="str">
        <f t="shared" si="3"/>
        <v>Private (Commercial) WaterHear Gas Improved (N)</v>
      </c>
      <c r="D11" s="91" t="str">
        <f>Commodities!$D$197</f>
        <v>TERGASNAT</v>
      </c>
      <c r="E11" s="91" t="str">
        <f>E8</f>
        <v>TER_TP_WH</v>
      </c>
      <c r="F11" s="130">
        <f t="shared" si="2"/>
        <v>2025</v>
      </c>
      <c r="G11" s="148">
        <f>BASE_YEAR+8</f>
        <v>2025</v>
      </c>
      <c r="H11" s="131">
        <f>IFERROR(VLOOKUP(IF(LEN($B11)=18,RIGHT($B11,8),RIGHT($B11,10)),'DATA '!$B$44:$K$51,H$4,FALSE),"")</f>
        <v>0.94500000000000006</v>
      </c>
      <c r="I11" s="131"/>
      <c r="J11" s="91"/>
      <c r="K11" s="131">
        <f>IFERROR(VLOOKUP(IF(LEN($B11)=18,RIGHT($B11,8),RIGHT($B11,10)),'DATA '!$B$44:$K$51,K$4,FALSE),"")</f>
        <v>136.6573401167561</v>
      </c>
      <c r="L11" s="131">
        <f>IFERROR(VLOOKUP(IF(LEN($B11)=18,RIGHT($B11,8),RIGHT($B11,10)),'DATA '!$B$44:$K$51,L$4,FALSE),"")</f>
        <v>4.6400455218716576</v>
      </c>
      <c r="M11" s="92"/>
      <c r="N11" s="92">
        <f>IFERROR(VLOOKUP(IF(LEN($B11)=18,RIGHT($B11,8),RIGHT($B11,10)),'DATA '!$B$44:$K$51,N$4,FALSE),"")</f>
        <v>20</v>
      </c>
      <c r="O11" s="131">
        <v>31.536000000000001</v>
      </c>
      <c r="P11" s="91"/>
      <c r="T11" s="91"/>
      <c r="U11" s="91"/>
      <c r="V11" s="91" t="str">
        <f>Commodities!$AC$11&amp;"_"&amp;LEFT(RIGHT(Commodities!$D$165,6),3)&amp;"_"&amp;$V$3&amp;"_AD"</f>
        <v>TER_TP_WH_GAS_N_AD</v>
      </c>
      <c r="W11" s="91" t="s">
        <v>1087</v>
      </c>
      <c r="X11" s="92" t="str">
        <f>General!$B$2</f>
        <v>PJ</v>
      </c>
      <c r="Y11" s="92" t="str">
        <f>General!$B$5</f>
        <v>GW</v>
      </c>
      <c r="Z11" s="92" t="s">
        <v>44</v>
      </c>
      <c r="AA11" s="92"/>
      <c r="AB11" s="91"/>
      <c r="AE11" s="144"/>
    </row>
    <row r="12" spans="2:33" s="78" customFormat="1" ht="13.8" x14ac:dyDescent="0.25">
      <c r="B12" s="91" t="str">
        <f t="shared" si="3"/>
        <v>TER_TP_WH_GAS_N_AD</v>
      </c>
      <c r="C12" s="91" t="str">
        <f t="shared" si="3"/>
        <v>Private (Commercial) WaterHear Advanced Gas (N)</v>
      </c>
      <c r="D12" s="91" t="str">
        <f>Commodities!$D$197</f>
        <v>TERGASNAT</v>
      </c>
      <c r="E12" s="91" t="str">
        <f>E8</f>
        <v>TER_TP_WH</v>
      </c>
      <c r="F12" s="130">
        <f t="shared" si="2"/>
        <v>2035</v>
      </c>
      <c r="G12" s="148">
        <v>2035</v>
      </c>
      <c r="H12" s="131">
        <f>IFERROR(VLOOKUP(IF(LEN($B12)=18,RIGHT($B12,8),RIGHT($B12,10)),'DATA '!$B$44:$K$51,H$4,FALSE),"")</f>
        <v>0.99225000000000008</v>
      </c>
      <c r="I12" s="131"/>
      <c r="J12" s="91"/>
      <c r="K12" s="131">
        <f>IFERROR(VLOOKUP(IF(LEN($B12)=18,RIGHT($B12,8),RIGHT($B12,10)),'DATA '!$B$44:$K$51,K$4,FALSE),"")</f>
        <v>146.22335392492906</v>
      </c>
      <c r="L12" s="131">
        <f>IFERROR(VLOOKUP(IF(LEN($B12)=18,RIGHT($B12,8),RIGHT($B12,10)),'DATA '!$B$44:$K$51,L$4,FALSE),"")</f>
        <v>4.3152423353406411</v>
      </c>
      <c r="M12" s="92"/>
      <c r="N12" s="92">
        <f>IFERROR(VLOOKUP(IF(LEN($B12)=18,RIGHT($B12,8),RIGHT($B12,10)),'DATA '!$B$44:$K$51,N$4,FALSE),"")</f>
        <v>20</v>
      </c>
      <c r="O12" s="131">
        <v>31.536000000000001</v>
      </c>
      <c r="P12" s="91"/>
      <c r="T12" s="91"/>
      <c r="U12" s="91"/>
      <c r="V12" s="91" t="str">
        <f>Commodities!$AC$11&amp;"_"&amp;RIGHT(Commodities!$D$346,3)&amp;"_"&amp;$V$3&amp;"_IM"</f>
        <v>TER_TP_WH_LTH_N_IM</v>
      </c>
      <c r="W12" s="91" t="s">
        <v>1088</v>
      </c>
      <c r="X12" s="92" t="str">
        <f>General!$B$2</f>
        <v>PJ</v>
      </c>
      <c r="Y12" s="92" t="str">
        <f>General!$B$5</f>
        <v>GW</v>
      </c>
      <c r="Z12" s="92" t="s">
        <v>44</v>
      </c>
      <c r="AA12" s="92"/>
      <c r="AB12" s="91"/>
      <c r="AE12" s="144"/>
    </row>
    <row r="13" spans="2:33" s="78" customFormat="1" ht="13.8" x14ac:dyDescent="0.25">
      <c r="B13" s="91" t="str">
        <f t="shared" si="3"/>
        <v>TER_TP_WH_LTH_N_IM</v>
      </c>
      <c r="C13" s="91" t="str">
        <f t="shared" si="3"/>
        <v>Private (Commercial) WaterHear Dist. Heating Improved (N)</v>
      </c>
      <c r="D13" s="91" t="str">
        <f>Commodities!$D$346</f>
        <v>TERLTH</v>
      </c>
      <c r="E13" s="91" t="str">
        <f>E8</f>
        <v>TER_TP_WH</v>
      </c>
      <c r="F13" s="130">
        <f>G13</f>
        <v>2018</v>
      </c>
      <c r="G13" s="148">
        <f>BASE_YEAR+1</f>
        <v>2018</v>
      </c>
      <c r="H13" s="131">
        <f>IFERROR(VLOOKUP(IF(LEN($B13)=18,RIGHT($B13,8),RIGHT($B13,10)),'DATA '!$B$44:$K$51,H$4,FALSE),"")</f>
        <v>0.89249999999999996</v>
      </c>
      <c r="I13" s="131"/>
      <c r="J13" s="91"/>
      <c r="K13" s="131">
        <f>IFERROR(VLOOKUP(IF(LEN($B13)=18,RIGHT($B13,8),RIGHT($B13,10)),'DATA '!$B$44:$K$51,K$4,FALSE),"")</f>
        <v>105.35000000000001</v>
      </c>
      <c r="L13" s="131">
        <f>IFERROR(VLOOKUP(IF(LEN($B13)=18,RIGHT($B13,8),RIGHT($B13,10)),'DATA '!$B$44:$K$51,L$4,FALSE),"")</f>
        <v>10.26</v>
      </c>
      <c r="M13" s="92"/>
      <c r="N13" s="92">
        <f>IFERROR(VLOOKUP(IF(LEN($B13)=18,RIGHT($B13,8),RIGHT($B13,10)),'DATA '!$B$44:$K$51,N$4,FALSE),"")</f>
        <v>20</v>
      </c>
      <c r="O13" s="131">
        <v>31.536000000000001</v>
      </c>
      <c r="P13" s="91"/>
      <c r="T13" s="91"/>
      <c r="U13" s="91"/>
      <c r="V13" s="91" t="str">
        <f>Commodities!$AC$11&amp;"_"&amp;RIGHT(Commodities!$D$211,3)&amp;"_"&amp;$V$3&amp;"_IM01"</f>
        <v>TER_TP_WH_SOL_N_IM01</v>
      </c>
      <c r="W13" s="91" t="s">
        <v>1089</v>
      </c>
      <c r="X13" s="92" t="str">
        <f>General!$B$2</f>
        <v>PJ</v>
      </c>
      <c r="Y13" s="92" t="str">
        <f>General!$B$5</f>
        <v>GW</v>
      </c>
      <c r="Z13" s="92" t="s">
        <v>44</v>
      </c>
      <c r="AA13" s="92"/>
      <c r="AB13" s="91"/>
      <c r="AE13" s="144"/>
    </row>
    <row r="14" spans="2:33" s="78" customFormat="1" ht="13.8" x14ac:dyDescent="0.25">
      <c r="B14" s="91" t="str">
        <f t="shared" si="3"/>
        <v>TER_TP_WH_SOL_N_IM01</v>
      </c>
      <c r="C14" s="91" t="str">
        <f t="shared" si="3"/>
        <v>Private (Commercial) WaterHeat Solar-Electric Improved (N)</v>
      </c>
      <c r="D14" s="91" t="str">
        <f>Commodities!$D$340</f>
        <v>TERELC</v>
      </c>
      <c r="E14" s="91" t="str">
        <f>E8</f>
        <v>TER_TP_WH</v>
      </c>
      <c r="F14" s="130">
        <f>G14</f>
        <v>2020</v>
      </c>
      <c r="G14" s="148">
        <v>2020</v>
      </c>
      <c r="H14" s="131">
        <f>IFERROR(VLOOKUP(IF(LEN($B14)=18,RIGHT($B14,8),RIGHT($B14,10)),'DATA '!$B$44:$K$51,H$4,FALSE),"")</f>
        <v>0.9</v>
      </c>
      <c r="I14" s="131"/>
      <c r="J14" s="91"/>
      <c r="K14" s="131">
        <f>IFERROR(VLOOKUP(IF(LEN($B14)=18,RIGHT($B14,8),RIGHT($B14,10)),'DATA '!$B$44:$K$51,K$4,FALSE),"")</f>
        <v>858.9065255731922</v>
      </c>
      <c r="L14" s="131">
        <f>IFERROR(VLOOKUP(IF(LEN($B14)=18,RIGHT($B14,8),RIGHT($B14,10)),'DATA '!$B$44:$K$51,L$4,FALSE),"")</f>
        <v>16.319444444444446</v>
      </c>
      <c r="M14" s="92"/>
      <c r="N14" s="92">
        <f>IFERROR(VLOOKUP(IF(LEN($B14)=18,RIGHT($B14,8),RIGHT($B14,10)),'DATA '!$B$44:$K$51,N$4,FALSE),"")</f>
        <v>15</v>
      </c>
      <c r="O14" s="131">
        <v>31.536000000000001</v>
      </c>
      <c r="P14" s="91"/>
      <c r="T14" s="86"/>
      <c r="U14" s="86"/>
      <c r="V14" s="86" t="str">
        <f>Commodities!$AC$11&amp;"_"&amp;RIGHT(Commodities!$D$211,3)&amp;"_"&amp;$V$3&amp;"_IM02"</f>
        <v>TER_TP_WH_SOL_N_IM02</v>
      </c>
      <c r="W14" s="86" t="s">
        <v>1090</v>
      </c>
      <c r="X14" s="87" t="str">
        <f>General!$B$2</f>
        <v>PJ</v>
      </c>
      <c r="Y14" s="87" t="str">
        <f>General!$B$5</f>
        <v>GW</v>
      </c>
      <c r="Z14" s="87" t="s">
        <v>44</v>
      </c>
      <c r="AA14" s="87"/>
      <c r="AB14" s="86"/>
      <c r="AE14" s="144"/>
    </row>
    <row r="15" spans="2:33" s="78" customFormat="1" ht="13.8" x14ac:dyDescent="0.25">
      <c r="B15" s="91"/>
      <c r="C15" s="91"/>
      <c r="D15" s="91" t="str">
        <f>Commodities!$D$211</f>
        <v>TERRESSOL</v>
      </c>
      <c r="E15" s="91"/>
      <c r="F15" s="130">
        <f>F14</f>
        <v>2020</v>
      </c>
      <c r="G15" s="148"/>
      <c r="H15" s="131" t="str">
        <f>IFERROR(VLOOKUP(IF(LEN($B15)=18,RIGHT($B15,8),RIGHT($B15,10)),'DATA '!$B$44:$K$51,H$4,FALSE),"")</f>
        <v/>
      </c>
      <c r="I15" s="131">
        <v>0.5</v>
      </c>
      <c r="J15" s="91"/>
      <c r="K15" s="131" t="str">
        <f>IFERROR(VLOOKUP(IF(LEN($B15)=18,RIGHT($B15,8),RIGHT($B15,10)),'DATA '!$B$44:$K$51,K$4,FALSE),"")</f>
        <v/>
      </c>
      <c r="L15" s="131" t="str">
        <f>IFERROR(VLOOKUP(IF(LEN($B15)=18,RIGHT($B15,8),RIGHT($B15,10)),'DATA '!$B$44:$K$51,L$4,FALSE),"")</f>
        <v/>
      </c>
      <c r="M15" s="92"/>
      <c r="N15" s="92" t="str">
        <f>IFERROR(VLOOKUP(IF(LEN($B15)=18,RIGHT($B15,8),RIGHT($B15,10)),'DATA '!$B$44:$K$51,N$4,FALSE),"")</f>
        <v/>
      </c>
      <c r="O15" s="131"/>
      <c r="P15" s="91"/>
      <c r="T15" s="91"/>
      <c r="U15" s="91"/>
      <c r="V15" s="91" t="str">
        <f>Commodities!$AC$12&amp;"_"&amp;RIGHT(Commodities!$D$340,3)&amp;"_"&amp;$V$3&amp;"_ST"</f>
        <v>TER_TS_WH_ELC_N_ST</v>
      </c>
      <c r="W15" s="91" t="s">
        <v>1110</v>
      </c>
      <c r="X15" s="92" t="str">
        <f>General!$B$2</f>
        <v>PJ</v>
      </c>
      <c r="Y15" s="92" t="str">
        <f>General!$B$5</f>
        <v>GW</v>
      </c>
      <c r="Z15" s="92" t="s">
        <v>44</v>
      </c>
      <c r="AA15" s="92"/>
      <c r="AB15" s="91"/>
      <c r="AE15" s="144"/>
    </row>
    <row r="16" spans="2:33" s="78" customFormat="1" ht="13.8" x14ac:dyDescent="0.25">
      <c r="B16" s="91" t="str">
        <f>V14</f>
        <v>TER_TP_WH_SOL_N_IM02</v>
      </c>
      <c r="C16" s="91" t="str">
        <f>W14</f>
        <v>Private (Commercial) WaterHeat Solar-Gas Improved (N)</v>
      </c>
      <c r="D16" s="91" t="str">
        <f>Commodities!$D$197</f>
        <v>TERGASNAT</v>
      </c>
      <c r="E16" s="91" t="str">
        <f>E8</f>
        <v>TER_TP_WH</v>
      </c>
      <c r="F16" s="130">
        <f t="shared" si="2"/>
        <v>2025</v>
      </c>
      <c r="G16" s="148">
        <v>2025</v>
      </c>
      <c r="H16" s="131">
        <f>IFERROR(VLOOKUP(IF(LEN($B16)=18,RIGHT($B16,8),RIGHT($B16,10)),'DATA '!$B$44:$K$51,H$4,FALSE),"")</f>
        <v>0.9</v>
      </c>
      <c r="I16" s="131"/>
      <c r="J16" s="91"/>
      <c r="K16" s="131">
        <f>IFERROR(VLOOKUP(IF(LEN($B16)=18,RIGHT($B16,8),RIGHT($B16,10)),'DATA '!$B$44:$K$51,K$4,FALSE),"")</f>
        <v>919.02998236331575</v>
      </c>
      <c r="L16" s="131">
        <f>IFERROR(VLOOKUP(IF(LEN($B16)=18,RIGHT($B16,8),RIGHT($B16,10)),'DATA '!$B$44:$K$51,L$4,FALSE),"")</f>
        <v>21.308740704521497</v>
      </c>
      <c r="M16" s="92"/>
      <c r="N16" s="92">
        <f>IFERROR(VLOOKUP(IF(LEN($B16)=18,RIGHT($B16,8),RIGHT($B16,10)),'DATA '!$B$44:$K$51,N$4,FALSE),"")</f>
        <v>15</v>
      </c>
      <c r="O16" s="131">
        <v>31.536000000000001</v>
      </c>
      <c r="P16" s="91"/>
      <c r="T16" s="91"/>
      <c r="U16" s="91"/>
      <c r="V16" s="91" t="str">
        <f>Commodities!$AC$12&amp;"_"&amp;RIGHT(Commodities!$D$340,3)&amp;"_"&amp;$V$3&amp;"_IM"</f>
        <v>TER_TS_WH_ELC_N_IM</v>
      </c>
      <c r="W16" s="91" t="s">
        <v>1111</v>
      </c>
      <c r="X16" s="92" t="str">
        <f>General!$B$2</f>
        <v>PJ</v>
      </c>
      <c r="Y16" s="92" t="str">
        <f>General!$B$5</f>
        <v>GW</v>
      </c>
      <c r="Z16" s="92" t="s">
        <v>44</v>
      </c>
      <c r="AA16" s="92"/>
      <c r="AB16" s="91"/>
      <c r="AE16" s="144"/>
    </row>
    <row r="17" spans="1:31" s="78" customFormat="1" ht="13.8" x14ac:dyDescent="0.25">
      <c r="B17" s="86"/>
      <c r="C17" s="86"/>
      <c r="D17" s="86" t="str">
        <f>Commodities!$D$211</f>
        <v>TERRESSOL</v>
      </c>
      <c r="E17" s="86"/>
      <c r="F17" s="133">
        <f>F16</f>
        <v>2025</v>
      </c>
      <c r="G17" s="149"/>
      <c r="H17" s="134" t="str">
        <f>IFERROR(VLOOKUP(IF(LEN($B17)=18,RIGHT($B17,8),RIGHT($B17,10)),'DATA '!$B$44:$K$51,H$4,FALSE),"")</f>
        <v/>
      </c>
      <c r="I17" s="134">
        <v>0.35</v>
      </c>
      <c r="J17" s="86"/>
      <c r="K17" s="134" t="str">
        <f>IFERROR(VLOOKUP(IF(LEN($B17)=18,RIGHT($B17,8),RIGHT($B17,10)),'DATA '!$B$44:$K$51,K$4,FALSE),"")</f>
        <v/>
      </c>
      <c r="L17" s="134" t="str">
        <f>IFERROR(VLOOKUP(IF(LEN($B17)=18,RIGHT($B17,8),RIGHT($B17,10)),'DATA '!$B$44:$K$51,L$4,FALSE),"")</f>
        <v/>
      </c>
      <c r="M17" s="87"/>
      <c r="N17" s="87" t="str">
        <f>IFERROR(VLOOKUP(IF(LEN($B17)=18,RIGHT($B17,8),RIGHT($B17,10)),'DATA '!$B$44:$K$51,N$4,FALSE),"")</f>
        <v/>
      </c>
      <c r="O17" s="134"/>
      <c r="P17" s="91"/>
      <c r="T17" s="91"/>
      <c r="U17" s="91"/>
      <c r="V17" s="91" t="str">
        <f>Commodities!$AC$12&amp;"_"&amp;RIGHT(Commodities!$D$166,3)&amp;"_"&amp;$V$3&amp;"_ST"</f>
        <v>TER_TS_WH_LOG_N_ST</v>
      </c>
      <c r="W17" s="91" t="s">
        <v>1112</v>
      </c>
      <c r="X17" s="92" t="str">
        <f>General!$B$2</f>
        <v>PJ</v>
      </c>
      <c r="Y17" s="92" t="str">
        <f>General!$B$5</f>
        <v>GW</v>
      </c>
      <c r="Z17" s="92" t="s">
        <v>44</v>
      </c>
      <c r="AA17" s="92"/>
      <c r="AB17" s="91"/>
      <c r="AE17" s="144"/>
    </row>
    <row r="18" spans="1:31" ht="13.8" x14ac:dyDescent="0.25">
      <c r="A18" s="78"/>
      <c r="B18" s="91" t="str">
        <f t="shared" ref="B18:B26" si="4">V15</f>
        <v>TER_TS_WH_ELC_N_ST</v>
      </c>
      <c r="C18" s="91" t="str">
        <f t="shared" ref="C18:C26" si="5">W15</f>
        <v>Services (Public) WaterHeat Electric Standard (N)</v>
      </c>
      <c r="D18" s="91" t="str">
        <f>Commodities!$D$340</f>
        <v>TERELC</v>
      </c>
      <c r="E18" s="91" t="str">
        <f>Commodities!$AC$12</f>
        <v>TER_TS_WH</v>
      </c>
      <c r="F18" s="130">
        <f>G18</f>
        <v>2018</v>
      </c>
      <c r="G18" s="146">
        <f>BASE_YEAR+1</f>
        <v>2018</v>
      </c>
      <c r="H18" s="147">
        <f>IFERROR(VLOOKUP(IF(LEN($B18)=18,RIGHT($B18,8),RIGHT($B18,10)),'DATA '!$B$44:$K$51,H$4,FALSE),"")</f>
        <v>0.9</v>
      </c>
      <c r="I18" s="147"/>
      <c r="J18" s="89"/>
      <c r="K18" s="147">
        <f>IFERROR(VLOOKUP(IF(LEN($B18)=18,RIGHT($B18,8),RIGHT($B18,10)),'DATA '!$B$44:$K$51,K$4,FALSE),"")</f>
        <v>177.75939393939393</v>
      </c>
      <c r="L18" s="147">
        <f>IFERROR(VLOOKUP(IF(LEN($B18)=18,RIGHT($B18,8),RIGHT($B18,10)),'DATA '!$B$44:$K$51,L$4,FALSE),"")</f>
        <v>8.8879696969696962</v>
      </c>
      <c r="M18" s="90"/>
      <c r="N18" s="90">
        <f>IFERROR(VLOOKUP(IF(LEN($B18)=18,RIGHT($B18,8),RIGHT($B18,10)),'DATA '!$B$44:$K$51,N$4,FALSE),"")</f>
        <v>15</v>
      </c>
      <c r="O18" s="147">
        <v>31.536000000000001</v>
      </c>
      <c r="T18" s="91"/>
      <c r="U18" s="91"/>
      <c r="V18" s="91" t="str">
        <f>Commodities!$AC$12&amp;"_"&amp;RIGHT(Commodities!$D$166,3)&amp;"_"&amp;$V$3&amp;"_IM"</f>
        <v>TER_TS_WH_LOG_N_IM</v>
      </c>
      <c r="W18" s="91" t="s">
        <v>1113</v>
      </c>
      <c r="X18" s="92" t="str">
        <f>General!$B$2</f>
        <v>PJ</v>
      </c>
      <c r="Y18" s="92" t="str">
        <f>General!$B$5</f>
        <v>GW</v>
      </c>
      <c r="Z18" s="92" t="s">
        <v>44</v>
      </c>
      <c r="AA18" s="92"/>
      <c r="AB18" s="91"/>
      <c r="AC18" s="78"/>
    </row>
    <row r="19" spans="1:31" ht="13.8" x14ac:dyDescent="0.25">
      <c r="A19" s="78"/>
      <c r="B19" s="91" t="str">
        <f t="shared" si="4"/>
        <v>TER_TS_WH_ELC_N_IM</v>
      </c>
      <c r="C19" s="91" t="str">
        <f t="shared" si="5"/>
        <v>Services (Public) WaterHeat Electric Improved (N)</v>
      </c>
      <c r="D19" s="91" t="str">
        <f>Commodities!$D$340</f>
        <v>TERELC</v>
      </c>
      <c r="E19" s="91" t="str">
        <f>E18</f>
        <v>TER_TS_WH</v>
      </c>
      <c r="F19" s="130">
        <f t="shared" ref="F19:F24" si="6">G19</f>
        <v>2025</v>
      </c>
      <c r="G19" s="148">
        <v>2025</v>
      </c>
      <c r="H19" s="131">
        <f>IFERROR(VLOOKUP(IF(LEN($B19)=18,RIGHT($B19,8),RIGHT($B19,10)),'DATA '!$B$44:$K$51,H$4,FALSE),"")</f>
        <v>0.94500000000000006</v>
      </c>
      <c r="I19" s="131"/>
      <c r="J19" s="91"/>
      <c r="K19" s="131">
        <f>IFERROR(VLOOKUP(IF(LEN($B19)=18,RIGHT($B19,8),RIGHT($B19,10)),'DATA '!$B$44:$K$51,K$4,FALSE),"")</f>
        <v>190.2025515151515</v>
      </c>
      <c r="L19" s="131">
        <f>IFERROR(VLOOKUP(IF(LEN($B19)=18,RIGHT($B19,8),RIGHT($B19,10)),'DATA '!$B$44:$K$51,L$4,FALSE),"")</f>
        <v>8.2658118181818168</v>
      </c>
      <c r="M19" s="92"/>
      <c r="N19" s="92">
        <f>IFERROR(VLOOKUP(IF(LEN($B19)=18,RIGHT($B19,8),RIGHT($B19,10)),'DATA '!$B$44:$K$51,N$4,FALSE),"")</f>
        <v>15</v>
      </c>
      <c r="O19" s="131">
        <v>31.536000000000001</v>
      </c>
      <c r="T19" s="91"/>
      <c r="U19" s="91"/>
      <c r="V19" s="91" t="str">
        <f>Commodities!$AC$12&amp;"_"&amp;LEFT(RIGHT(Commodities!$D$165,6),3)&amp;"_"&amp;$V$3&amp;"_ST"</f>
        <v>TER_TS_WH_GAS_N_ST</v>
      </c>
      <c r="W19" s="91" t="s">
        <v>1114</v>
      </c>
      <c r="X19" s="92" t="str">
        <f>General!$B$2</f>
        <v>PJ</v>
      </c>
      <c r="Y19" s="92" t="str">
        <f>General!$B$5</f>
        <v>GW</v>
      </c>
      <c r="Z19" s="92" t="s">
        <v>44</v>
      </c>
      <c r="AA19" s="92"/>
      <c r="AB19" s="91"/>
      <c r="AC19" s="78"/>
    </row>
    <row r="20" spans="1:31" ht="13.8" x14ac:dyDescent="0.25">
      <c r="B20" s="91" t="str">
        <f t="shared" si="4"/>
        <v>TER_TS_WH_LOG_N_ST</v>
      </c>
      <c r="C20" s="91" t="str">
        <f t="shared" si="5"/>
        <v>Services (Public) WaterHeat Wood Standard (N)</v>
      </c>
      <c r="D20" s="91" t="str">
        <f>Commodities!$D$198</f>
        <v>TERBIOLOG</v>
      </c>
      <c r="E20" s="91" t="str">
        <f>E19</f>
        <v>TER_TS_WH</v>
      </c>
      <c r="F20" s="130">
        <f t="shared" si="6"/>
        <v>2020</v>
      </c>
      <c r="G20" s="148">
        <f>BASE_YEAR+3</f>
        <v>2020</v>
      </c>
      <c r="H20" s="131">
        <v>0.8</v>
      </c>
      <c r="I20" s="131"/>
      <c r="J20" s="91"/>
      <c r="K20" s="131">
        <v>200</v>
      </c>
      <c r="L20" s="131">
        <v>5</v>
      </c>
      <c r="M20" s="92"/>
      <c r="N20" s="92">
        <v>20</v>
      </c>
      <c r="O20" s="131">
        <v>31.536000000000001</v>
      </c>
      <c r="T20" s="91"/>
      <c r="U20" s="91"/>
      <c r="V20" s="91" t="str">
        <f>Commodities!$AC$12&amp;"_"&amp;LEFT(RIGHT(Commodities!$D$165,6),3)&amp;"_"&amp;$V$3&amp;"_IM"</f>
        <v>TER_TS_WH_GAS_N_IM</v>
      </c>
      <c r="W20" s="91" t="s">
        <v>1115</v>
      </c>
      <c r="X20" s="92" t="str">
        <f>General!$B$2</f>
        <v>PJ</v>
      </c>
      <c r="Y20" s="92" t="str">
        <f>General!$B$5</f>
        <v>GW</v>
      </c>
      <c r="Z20" s="92" t="s">
        <v>44</v>
      </c>
      <c r="AA20" s="92"/>
      <c r="AB20" s="91"/>
    </row>
    <row r="21" spans="1:31" ht="13.8" x14ac:dyDescent="0.25">
      <c r="B21" s="91" t="str">
        <f t="shared" si="4"/>
        <v>TER_TS_WH_LOG_N_IM</v>
      </c>
      <c r="C21" s="91" t="str">
        <f t="shared" si="5"/>
        <v>Services (Public) WaterHeat Wood Improved (N)</v>
      </c>
      <c r="D21" s="91" t="str">
        <f>Commodities!$D$198</f>
        <v>TERBIOLOG</v>
      </c>
      <c r="E21" s="91" t="str">
        <f>E20</f>
        <v>TER_TS_WH</v>
      </c>
      <c r="F21" s="130">
        <f t="shared" si="6"/>
        <v>2025</v>
      </c>
      <c r="G21" s="148">
        <f>BASE_YEAR+8</f>
        <v>2025</v>
      </c>
      <c r="H21" s="131">
        <v>0.8</v>
      </c>
      <c r="I21" s="131"/>
      <c r="J21" s="91"/>
      <c r="K21" s="131">
        <v>200</v>
      </c>
      <c r="L21" s="131">
        <v>5</v>
      </c>
      <c r="M21" s="92"/>
      <c r="N21" s="92">
        <v>20</v>
      </c>
      <c r="O21" s="131">
        <v>31.536000000000001</v>
      </c>
      <c r="T21" s="91"/>
      <c r="U21" s="91"/>
      <c r="V21" s="91" t="str">
        <f>Commodities!$AC$12&amp;"_"&amp;LEFT(RIGHT(Commodities!$D$165,6),3)&amp;"_"&amp;$V$3&amp;"_AD"</f>
        <v>TER_TS_WH_GAS_N_AD</v>
      </c>
      <c r="W21" s="91" t="s">
        <v>1116</v>
      </c>
      <c r="X21" s="92" t="str">
        <f>General!$B$2</f>
        <v>PJ</v>
      </c>
      <c r="Y21" s="92" t="str">
        <f>General!$B$5</f>
        <v>GW</v>
      </c>
      <c r="Z21" s="92" t="s">
        <v>44</v>
      </c>
      <c r="AA21" s="92"/>
      <c r="AB21" s="91"/>
    </row>
    <row r="22" spans="1:31" ht="13.8" x14ac:dyDescent="0.25">
      <c r="B22" s="91" t="str">
        <f t="shared" si="4"/>
        <v>TER_TS_WH_GAS_N_ST</v>
      </c>
      <c r="C22" s="91" t="str">
        <f t="shared" si="5"/>
        <v>Services (Public) WaterHear Gas Standard (N)</v>
      </c>
      <c r="D22" s="91" t="str">
        <f>Commodities!$D$197</f>
        <v>TERGASNAT</v>
      </c>
      <c r="E22" s="91" t="str">
        <f>E18</f>
        <v>TER_TS_WH</v>
      </c>
      <c r="F22" s="130">
        <f t="shared" si="6"/>
        <v>2018</v>
      </c>
      <c r="G22" s="148">
        <v>2018</v>
      </c>
      <c r="H22" s="131">
        <f>IFERROR(VLOOKUP(IF(LEN($B22)=18,RIGHT($B22,8),RIGHT($B22,10)),'DATA '!$B$44:$K$51,H$4,FALSE),"")</f>
        <v>0.9</v>
      </c>
      <c r="I22" s="131"/>
      <c r="J22" s="91"/>
      <c r="K22" s="131">
        <f>IFERROR(VLOOKUP(IF(LEN($B22)=18,RIGHT($B22,8),RIGHT($B22,10)),'DATA '!$B$44:$K$51,K$4,FALSE),"")</f>
        <v>127.71714029603373</v>
      </c>
      <c r="L22" s="131">
        <f>IFERROR(VLOOKUP(IF(LEN($B22)=18,RIGHT($B22,8),RIGHT($B22,10)),'DATA '!$B$44:$K$51,L$4,FALSE),"")</f>
        <v>4.9892962600770518</v>
      </c>
      <c r="M22" s="92"/>
      <c r="N22" s="92">
        <f>IFERROR(VLOOKUP(IF(LEN($B22)=18,RIGHT($B22,8),RIGHT($B22,10)),'DATA '!$B$44:$K$51,N$4,FALSE),"")</f>
        <v>20</v>
      </c>
      <c r="O22" s="131">
        <v>31.536000000000001</v>
      </c>
      <c r="T22" s="91"/>
      <c r="U22" s="91"/>
      <c r="V22" s="91" t="str">
        <f>Commodities!$AC$12&amp;"_"&amp;RIGHT(Commodities!$D$346,3)&amp;"_"&amp;$V$3&amp;"_IM"</f>
        <v>TER_TS_WH_LTH_N_IM</v>
      </c>
      <c r="W22" s="91" t="s">
        <v>1117</v>
      </c>
      <c r="X22" s="92" t="str">
        <f>General!$B$2</f>
        <v>PJ</v>
      </c>
      <c r="Y22" s="92" t="str">
        <f>General!$B$5</f>
        <v>GW</v>
      </c>
      <c r="Z22" s="92" t="s">
        <v>44</v>
      </c>
      <c r="AA22" s="92"/>
      <c r="AB22" s="91"/>
    </row>
    <row r="23" spans="1:31" ht="13.8" x14ac:dyDescent="0.25">
      <c r="B23" s="91" t="str">
        <f t="shared" si="4"/>
        <v>TER_TS_WH_GAS_N_IM</v>
      </c>
      <c r="C23" s="91" t="str">
        <f t="shared" si="5"/>
        <v>Services (Public) WaterHear Gas Improved (N)</v>
      </c>
      <c r="D23" s="91" t="str">
        <f>Commodities!$D$197</f>
        <v>TERGASNAT</v>
      </c>
      <c r="E23" s="91" t="str">
        <f>E18</f>
        <v>TER_TS_WH</v>
      </c>
      <c r="F23" s="130">
        <f t="shared" si="6"/>
        <v>2025</v>
      </c>
      <c r="G23" s="148">
        <f>BASE_YEAR+8</f>
        <v>2025</v>
      </c>
      <c r="H23" s="131">
        <f>IFERROR(VLOOKUP(IF(LEN($B23)=18,RIGHT($B23,8),RIGHT($B23,10)),'DATA '!$B$44:$K$51,H$4,FALSE),"")</f>
        <v>0.94500000000000006</v>
      </c>
      <c r="I23" s="131"/>
      <c r="J23" s="91"/>
      <c r="K23" s="131">
        <f>IFERROR(VLOOKUP(IF(LEN($B23)=18,RIGHT($B23,8),RIGHT($B23,10)),'DATA '!$B$44:$K$51,K$4,FALSE),"")</f>
        <v>136.6573401167561</v>
      </c>
      <c r="L23" s="131">
        <f>IFERROR(VLOOKUP(IF(LEN($B23)=18,RIGHT($B23,8),RIGHT($B23,10)),'DATA '!$B$44:$K$51,L$4,FALSE),"")</f>
        <v>4.6400455218716576</v>
      </c>
      <c r="M23" s="92"/>
      <c r="N23" s="92">
        <f>IFERROR(VLOOKUP(IF(LEN($B23)=18,RIGHT($B23,8),RIGHT($B23,10)),'DATA '!$B$44:$K$51,N$4,FALSE),"")</f>
        <v>20</v>
      </c>
      <c r="O23" s="131">
        <v>31.536000000000001</v>
      </c>
      <c r="T23" s="91"/>
      <c r="U23" s="91"/>
      <c r="V23" s="91" t="str">
        <f>Commodities!$AC$12&amp;"_"&amp;RIGHT(Commodities!$D$211,3)&amp;"_"&amp;$V$3&amp;"_IM01"</f>
        <v>TER_TS_WH_SOL_N_IM01</v>
      </c>
      <c r="W23" s="91" t="s">
        <v>1118</v>
      </c>
      <c r="X23" s="92" t="str">
        <f>General!$B$2</f>
        <v>PJ</v>
      </c>
      <c r="Y23" s="92" t="str">
        <f>General!$B$5</f>
        <v>GW</v>
      </c>
      <c r="Z23" s="92" t="s">
        <v>44</v>
      </c>
      <c r="AA23" s="92"/>
      <c r="AB23" s="91"/>
    </row>
    <row r="24" spans="1:31" ht="13.8" x14ac:dyDescent="0.25">
      <c r="B24" s="91" t="str">
        <f t="shared" si="4"/>
        <v>TER_TS_WH_GAS_N_AD</v>
      </c>
      <c r="C24" s="91" t="str">
        <f t="shared" si="5"/>
        <v>Services (Public) WaterHear Advanced Gas (N)</v>
      </c>
      <c r="D24" s="91" t="str">
        <f>Commodities!$D$197</f>
        <v>TERGASNAT</v>
      </c>
      <c r="E24" s="91" t="str">
        <f>E18</f>
        <v>TER_TS_WH</v>
      </c>
      <c r="F24" s="130">
        <f t="shared" si="6"/>
        <v>2035</v>
      </c>
      <c r="G24" s="148">
        <v>2035</v>
      </c>
      <c r="H24" s="131">
        <f>IFERROR(VLOOKUP(IF(LEN($B24)=18,RIGHT($B24,8),RIGHT($B24,10)),'DATA '!$B$44:$K$51,H$4,FALSE),"")</f>
        <v>0.99225000000000008</v>
      </c>
      <c r="I24" s="131"/>
      <c r="J24" s="91"/>
      <c r="K24" s="131">
        <f>IFERROR(VLOOKUP(IF(LEN($B24)=18,RIGHT($B24,8),RIGHT($B24,10)),'DATA '!$B$44:$K$51,K$4,FALSE),"")</f>
        <v>146.22335392492906</v>
      </c>
      <c r="L24" s="131">
        <f>IFERROR(VLOOKUP(IF(LEN($B24)=18,RIGHT($B24,8),RIGHT($B24,10)),'DATA '!$B$44:$K$51,L$4,FALSE),"")</f>
        <v>4.3152423353406411</v>
      </c>
      <c r="M24" s="92"/>
      <c r="N24" s="92">
        <f>IFERROR(VLOOKUP(IF(LEN($B24)=18,RIGHT($B24,8),RIGHT($B24,10)),'DATA '!$B$44:$K$51,N$4,FALSE),"")</f>
        <v>20</v>
      </c>
      <c r="O24" s="131">
        <v>31.536000000000001</v>
      </c>
      <c r="T24" s="86"/>
      <c r="U24" s="86"/>
      <c r="V24" s="86" t="str">
        <f>Commodities!$AC$12&amp;"_"&amp;RIGHT(Commodities!$D$211,3)&amp;"_"&amp;$V$3&amp;"_IM02"</f>
        <v>TER_TS_WH_SOL_N_IM02</v>
      </c>
      <c r="W24" s="86" t="s">
        <v>1119</v>
      </c>
      <c r="X24" s="87" t="str">
        <f>General!$B$2</f>
        <v>PJ</v>
      </c>
      <c r="Y24" s="87" t="str">
        <f>General!$B$5</f>
        <v>GW</v>
      </c>
      <c r="Z24" s="87" t="s">
        <v>44</v>
      </c>
      <c r="AA24" s="87"/>
      <c r="AB24" s="86"/>
    </row>
    <row r="25" spans="1:31" ht="13.8" x14ac:dyDescent="0.25">
      <c r="B25" s="91" t="str">
        <f t="shared" si="4"/>
        <v>TER_TS_WH_LTH_N_IM</v>
      </c>
      <c r="C25" s="91" t="str">
        <f t="shared" si="5"/>
        <v>Services (Public) WaterHear Dist. Heating Improved (N)</v>
      </c>
      <c r="D25" s="91" t="str">
        <f>Commodities!$D$346</f>
        <v>TERLTH</v>
      </c>
      <c r="E25" s="91" t="str">
        <f>E18</f>
        <v>TER_TS_WH</v>
      </c>
      <c r="F25" s="130">
        <f>G25</f>
        <v>2018</v>
      </c>
      <c r="G25" s="148">
        <f>G18</f>
        <v>2018</v>
      </c>
      <c r="H25" s="131">
        <f>IFERROR(VLOOKUP(IF(LEN($B25)=18,RIGHT($B25,8),RIGHT($B25,10)),'DATA '!$B$44:$K$51,H$4,FALSE),"")</f>
        <v>0.89249999999999996</v>
      </c>
      <c r="I25" s="131"/>
      <c r="J25" s="91"/>
      <c r="K25" s="131">
        <f>IFERROR(VLOOKUP(IF(LEN($B25)=18,RIGHT($B25,8),RIGHT($B25,10)),'DATA '!$B$44:$K$51,K$4,FALSE),"")</f>
        <v>105.35000000000001</v>
      </c>
      <c r="L25" s="131">
        <f>IFERROR(VLOOKUP(IF(LEN($B25)=18,RIGHT($B25,8),RIGHT($B25,10)),'DATA '!$B$44:$K$51,L$4,FALSE),"")</f>
        <v>10.26</v>
      </c>
      <c r="M25" s="92"/>
      <c r="N25" s="92">
        <f>IFERROR(VLOOKUP(IF(LEN($B25)=18,RIGHT($B25,8),RIGHT($B25,10)),'DATA '!$B$44:$K$51,N$4,FALSE),"")</f>
        <v>20</v>
      </c>
      <c r="O25" s="131">
        <v>31.536000000000001</v>
      </c>
    </row>
    <row r="26" spans="1:31" ht="13.8" x14ac:dyDescent="0.25">
      <c r="B26" s="91" t="str">
        <f t="shared" si="4"/>
        <v>TER_TS_WH_SOL_N_IM01</v>
      </c>
      <c r="C26" s="91" t="str">
        <f t="shared" si="5"/>
        <v>Services (Public) WaterHeat Solar-Electric Improved (N)</v>
      </c>
      <c r="D26" s="91" t="str">
        <f>Commodities!$D$340</f>
        <v>TERELC</v>
      </c>
      <c r="E26" s="91" t="str">
        <f>E18</f>
        <v>TER_TS_WH</v>
      </c>
      <c r="F26" s="130">
        <f>G26</f>
        <v>2020</v>
      </c>
      <c r="G26" s="148">
        <v>2020</v>
      </c>
      <c r="H26" s="131">
        <f>IFERROR(VLOOKUP(IF(LEN($B26)=18,RIGHT($B26,8),RIGHT($B26,10)),'DATA '!$B$44:$K$51,H$4,FALSE),"")</f>
        <v>0.9</v>
      </c>
      <c r="I26" s="131"/>
      <c r="J26" s="91"/>
      <c r="K26" s="131">
        <f>IFERROR(VLOOKUP(IF(LEN($B26)=18,RIGHT($B26,8),RIGHT($B26,10)),'DATA '!$B$44:$K$51,K$4,FALSE),"")</f>
        <v>858.9065255731922</v>
      </c>
      <c r="L26" s="131">
        <f>IFERROR(VLOOKUP(IF(LEN($B26)=18,RIGHT($B26,8),RIGHT($B26,10)),'DATA '!$B$44:$K$51,L$4,FALSE),"")</f>
        <v>16.319444444444446</v>
      </c>
      <c r="M26" s="92"/>
      <c r="N26" s="92">
        <f>IFERROR(VLOOKUP(IF(LEN($B26)=18,RIGHT($B26,8),RIGHT($B26,10)),'DATA '!$B$44:$K$51,N$4,FALSE),"")</f>
        <v>15</v>
      </c>
      <c r="O26" s="131">
        <v>31.536000000000001</v>
      </c>
    </row>
    <row r="27" spans="1:31" ht="13.8" x14ac:dyDescent="0.25">
      <c r="B27" s="91"/>
      <c r="C27" s="91"/>
      <c r="D27" s="91" t="str">
        <f>Commodities!$D$211</f>
        <v>TERRESSOL</v>
      </c>
      <c r="E27" s="91"/>
      <c r="F27" s="130">
        <f>F26</f>
        <v>2020</v>
      </c>
      <c r="G27" s="148"/>
      <c r="H27" s="131" t="str">
        <f>IFERROR(VLOOKUP(IF(LEN($B27)=18,RIGHT($B27,8),RIGHT($B27,10)),'DATA '!$B$44:$K$51,H$4,FALSE),"")</f>
        <v/>
      </c>
      <c r="I27" s="131">
        <v>0.3</v>
      </c>
      <c r="J27" s="91"/>
      <c r="K27" s="131" t="str">
        <f>IFERROR(VLOOKUP(IF(LEN($B27)=18,RIGHT($B27,8),RIGHT($B27,10)),'DATA '!$B$44:$K$51,K$4,FALSE),"")</f>
        <v/>
      </c>
      <c r="L27" s="131" t="str">
        <f>IFERROR(VLOOKUP(IF(LEN($B27)=18,RIGHT($B27,8),RIGHT($B27,10)),'DATA '!$B$44:$K$51,L$4,FALSE),"")</f>
        <v/>
      </c>
      <c r="M27" s="92"/>
      <c r="N27" s="92" t="str">
        <f>IFERROR(VLOOKUP(IF(LEN($B27)=18,RIGHT($B27,8),RIGHT($B27,10)),'DATA '!$B$44:$K$51,N$4,FALSE),"")</f>
        <v/>
      </c>
      <c r="O27" s="131"/>
    </row>
    <row r="28" spans="1:31" ht="13.8" x14ac:dyDescent="0.25">
      <c r="B28" s="91" t="str">
        <f>V24</f>
        <v>TER_TS_WH_SOL_N_IM02</v>
      </c>
      <c r="C28" s="91" t="str">
        <f>W24</f>
        <v>Services (Public) WaterHeat Solar-Gas Improved (N)</v>
      </c>
      <c r="D28" s="91" t="str">
        <f>Commodities!$D$197</f>
        <v>TERGASNAT</v>
      </c>
      <c r="E28" s="91" t="str">
        <f>E18</f>
        <v>TER_TS_WH</v>
      </c>
      <c r="F28" s="130">
        <f>G28</f>
        <v>2025</v>
      </c>
      <c r="G28" s="148">
        <v>2025</v>
      </c>
      <c r="H28" s="131">
        <f>IFERROR(VLOOKUP(IF(LEN($B28)=18,RIGHT($B28,8),RIGHT($B28,10)),'DATA '!$B$44:$K$51,H$4,FALSE),"")</f>
        <v>0.9</v>
      </c>
      <c r="I28" s="131"/>
      <c r="J28" s="91"/>
      <c r="K28" s="131">
        <f>IFERROR(VLOOKUP(IF(LEN($B28)=18,RIGHT($B28,8),RIGHT($B28,10)),'DATA '!$B$44:$K$51,K$4,FALSE),"")</f>
        <v>919.02998236331575</v>
      </c>
      <c r="L28" s="131">
        <f>IFERROR(VLOOKUP(IF(LEN($B28)=18,RIGHT($B28,8),RIGHT($B28,10)),'DATA '!$B$44:$K$51,L$4,FALSE),"")</f>
        <v>21.308740704521497</v>
      </c>
      <c r="M28" s="92"/>
      <c r="N28" s="92">
        <f>IFERROR(VLOOKUP(IF(LEN($B28)=18,RIGHT($B28,8),RIGHT($B28,10)),'DATA '!$B$44:$K$51,N$4,FALSE),"")</f>
        <v>15</v>
      </c>
      <c r="O28" s="131">
        <v>31.536000000000001</v>
      </c>
    </row>
    <row r="29" spans="1:31" ht="13.8" x14ac:dyDescent="0.25">
      <c r="B29" s="86"/>
      <c r="C29" s="86"/>
      <c r="D29" s="86" t="str">
        <f>Commodities!$D$211</f>
        <v>TERRESSOL</v>
      </c>
      <c r="E29" s="86"/>
      <c r="F29" s="133">
        <f>F28</f>
        <v>2025</v>
      </c>
      <c r="G29" s="149"/>
      <c r="H29" s="134" t="str">
        <f>IFERROR(VLOOKUP(IF(LEN($B29)=18,RIGHT($B29,8),RIGHT($B29,10)),'DATA '!$B$44:$K$51,H$4,FALSE),"")</f>
        <v/>
      </c>
      <c r="I29" s="134">
        <v>0.35</v>
      </c>
      <c r="J29" s="86"/>
      <c r="K29" s="134" t="str">
        <f>IFERROR(VLOOKUP(IF(LEN($B29)=18,RIGHT($B29,8),RIGHT($B29,10)),'DATA '!$B$44:$K$51,K$4,FALSE),"")</f>
        <v/>
      </c>
      <c r="L29" s="134" t="str">
        <f>IFERROR(VLOOKUP(IF(LEN($B29)=18,RIGHT($B29,8),RIGHT($B29,10)),'DATA '!$B$44:$K$51,L$4,FALSE),"")</f>
        <v/>
      </c>
      <c r="M29" s="87"/>
      <c r="N29" s="87" t="str">
        <f>IFERROR(VLOOKUP(IF(LEN($B29)=18,RIGHT($B29,8),RIGHT($B29,10)),'DATA '!$B$44:$K$51,N$4,FALSE),"")</f>
        <v/>
      </c>
      <c r="O29" s="134"/>
    </row>
  </sheetData>
  <autoFilter ref="V5:Z24" xr:uid="{00000000-0009-0000-0000-00000500000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F92"/>
  <sheetViews>
    <sheetView zoomScale="70" zoomScaleNormal="70" workbookViewId="0">
      <selection activeCell="A4" sqref="A1:XFD1048576"/>
    </sheetView>
  </sheetViews>
  <sheetFormatPr defaultRowHeight="13.2" x14ac:dyDescent="0.25"/>
  <cols>
    <col min="1" max="1" width="2.6640625" style="117" customWidth="1"/>
    <col min="2" max="2" width="31.33203125" style="117" customWidth="1"/>
    <col min="3" max="3" width="55.5546875" style="117" customWidth="1"/>
    <col min="4" max="4" width="32.5546875" style="117" customWidth="1"/>
    <col min="5" max="5" width="18.88671875" style="117" bestFit="1" customWidth="1"/>
    <col min="6" max="6" width="7.5546875" style="117" customWidth="1"/>
    <col min="7" max="7" width="11.88671875" style="117" bestFit="1" customWidth="1"/>
    <col min="8" max="8" width="25.88671875" style="117" bestFit="1" customWidth="1"/>
    <col min="9" max="9" width="16.5546875" style="117" bestFit="1" customWidth="1"/>
    <col min="10" max="10" width="14.44140625" style="117" bestFit="1" customWidth="1"/>
    <col min="11" max="11" width="16.44140625" style="117" bestFit="1" customWidth="1"/>
    <col min="12" max="12" width="19" style="117" bestFit="1" customWidth="1"/>
    <col min="13" max="13" width="18.109375" style="117" bestFit="1" customWidth="1"/>
    <col min="14" max="14" width="25.5546875" style="117" bestFit="1" customWidth="1"/>
    <col min="15" max="16" width="8.88671875" style="117"/>
    <col min="17" max="17" width="50" style="117" bestFit="1" customWidth="1"/>
    <col min="18" max="18" width="13.88671875" style="117" bestFit="1" customWidth="1"/>
    <col min="19" max="19" width="29.33203125" style="117" bestFit="1" customWidth="1"/>
    <col min="20" max="20" width="116.5546875" style="117" bestFit="1" customWidth="1"/>
    <col min="21" max="21" width="13.44140625" style="117" customWidth="1"/>
    <col min="22" max="22" width="19.109375" style="117" customWidth="1"/>
    <col min="23" max="23" width="33.44140625" style="117" bestFit="1" customWidth="1"/>
    <col min="24" max="24" width="26.44140625" style="117" bestFit="1" customWidth="1"/>
    <col min="25" max="25" width="16.5546875" style="117" bestFit="1" customWidth="1"/>
    <col min="26" max="26" width="8.88671875" style="117"/>
    <col min="27" max="27" width="72.6640625" style="117" bestFit="1" customWidth="1"/>
    <col min="28" max="16384" width="8.88671875" style="117"/>
  </cols>
  <sheetData>
    <row r="1" spans="1:32" s="78" customFormat="1" ht="17.399999999999999" x14ac:dyDescent="0.3">
      <c r="B1" s="97" t="s">
        <v>737</v>
      </c>
      <c r="C1" s="97"/>
      <c r="D1" s="97"/>
      <c r="E1" s="97"/>
      <c r="F1" s="97"/>
      <c r="G1" s="97"/>
      <c r="H1" s="97"/>
      <c r="I1" s="85"/>
      <c r="O1" s="91"/>
      <c r="Q1" s="78" t="s">
        <v>724</v>
      </c>
    </row>
    <row r="2" spans="1:32" s="78" customFormat="1" ht="17.399999999999999" x14ac:dyDescent="0.3">
      <c r="B2" s="97" t="s">
        <v>756</v>
      </c>
      <c r="C2" s="97"/>
      <c r="D2" s="97"/>
      <c r="E2" s="97"/>
      <c r="F2" s="97"/>
      <c r="G2" s="97"/>
      <c r="H2" s="97"/>
      <c r="I2" s="85"/>
      <c r="O2" s="91"/>
    </row>
    <row r="3" spans="1:32" s="78" customFormat="1" ht="13.8" x14ac:dyDescent="0.25">
      <c r="B3" s="98"/>
      <c r="D3" s="93"/>
      <c r="E3" s="93"/>
      <c r="F3" s="93"/>
      <c r="G3" s="93"/>
      <c r="I3" s="92"/>
      <c r="J3" s="119"/>
      <c r="K3" s="119"/>
      <c r="L3" s="119"/>
      <c r="M3" s="99"/>
      <c r="O3" s="91"/>
      <c r="Q3" s="100" t="s">
        <v>726</v>
      </c>
      <c r="R3" s="100"/>
      <c r="S3" s="100" t="s">
        <v>727</v>
      </c>
      <c r="T3" s="100"/>
      <c r="U3" s="100"/>
      <c r="V3" s="100"/>
      <c r="W3" s="100"/>
      <c r="X3" s="100"/>
      <c r="Y3" s="100"/>
      <c r="AD3" s="91"/>
      <c r="AE3" s="91"/>
      <c r="AF3" s="91"/>
    </row>
    <row r="4" spans="1:32" s="78" customFormat="1" ht="13.8" x14ac:dyDescent="0.25">
      <c r="E4" s="120"/>
      <c r="F4" s="101" t="s">
        <v>0</v>
      </c>
      <c r="G4" s="101"/>
      <c r="H4" s="119"/>
      <c r="I4" s="85"/>
      <c r="J4" s="78">
        <v>7</v>
      </c>
      <c r="K4" s="78">
        <v>8</v>
      </c>
      <c r="L4" s="78">
        <v>9</v>
      </c>
      <c r="O4" s="91"/>
      <c r="Q4" s="102" t="s">
        <v>17</v>
      </c>
      <c r="R4" s="102"/>
      <c r="S4" s="100"/>
      <c r="T4" s="100"/>
      <c r="U4" s="100"/>
      <c r="V4" s="100"/>
      <c r="W4" s="100"/>
      <c r="X4" s="100"/>
      <c r="Y4" s="100"/>
      <c r="AD4" s="123"/>
      <c r="AE4" s="91"/>
      <c r="AF4" s="91"/>
    </row>
    <row r="5" spans="1:32" s="78" customFormat="1" ht="13.8" x14ac:dyDescent="0.25">
      <c r="B5" s="103" t="s">
        <v>1</v>
      </c>
      <c r="C5" s="103" t="s">
        <v>728</v>
      </c>
      <c r="D5" s="103" t="s">
        <v>3</v>
      </c>
      <c r="E5" s="103" t="s">
        <v>4</v>
      </c>
      <c r="F5" s="104" t="s">
        <v>739</v>
      </c>
      <c r="G5" s="140" t="s">
        <v>14</v>
      </c>
      <c r="H5" s="105" t="s">
        <v>757</v>
      </c>
      <c r="I5" s="105" t="s">
        <v>46</v>
      </c>
      <c r="J5" s="141" t="s">
        <v>36</v>
      </c>
      <c r="K5" s="105" t="s">
        <v>5</v>
      </c>
      <c r="L5" s="105" t="s">
        <v>34</v>
      </c>
      <c r="M5" s="105" t="s">
        <v>47</v>
      </c>
      <c r="N5" s="105" t="s">
        <v>48</v>
      </c>
      <c r="O5" s="91"/>
      <c r="Q5" s="80" t="s">
        <v>15</v>
      </c>
      <c r="R5" s="80" t="s">
        <v>50</v>
      </c>
      <c r="S5" s="80" t="s">
        <v>1</v>
      </c>
      <c r="T5" s="80" t="s">
        <v>2</v>
      </c>
      <c r="U5" s="80" t="s">
        <v>18</v>
      </c>
      <c r="V5" s="80" t="s">
        <v>19</v>
      </c>
      <c r="W5" s="80" t="s">
        <v>20</v>
      </c>
      <c r="X5" s="80" t="s">
        <v>21</v>
      </c>
      <c r="Y5" s="80" t="s">
        <v>22</v>
      </c>
      <c r="AA5" s="124"/>
      <c r="AD5" s="125"/>
      <c r="AE5" s="91"/>
      <c r="AF5" s="91"/>
    </row>
    <row r="6" spans="1:32" s="78" customFormat="1" ht="14.4" thickBot="1" x14ac:dyDescent="0.3">
      <c r="B6" s="106" t="s">
        <v>729</v>
      </c>
      <c r="C6" s="106" t="s">
        <v>28</v>
      </c>
      <c r="D6" s="106" t="s">
        <v>32</v>
      </c>
      <c r="E6" s="106" t="s">
        <v>33</v>
      </c>
      <c r="F6" s="107"/>
      <c r="G6" s="108" t="s">
        <v>35</v>
      </c>
      <c r="H6" s="106" t="s">
        <v>758</v>
      </c>
      <c r="I6" s="106" t="s">
        <v>744</v>
      </c>
      <c r="J6" s="108" t="s">
        <v>747</v>
      </c>
      <c r="K6" s="106" t="s">
        <v>37</v>
      </c>
      <c r="L6" s="106" t="s">
        <v>38</v>
      </c>
      <c r="M6" s="106" t="s">
        <v>716</v>
      </c>
      <c r="N6" s="106" t="s">
        <v>748</v>
      </c>
      <c r="O6" s="91"/>
      <c r="Q6" s="126" t="s">
        <v>730</v>
      </c>
      <c r="R6" s="126" t="s">
        <v>53</v>
      </c>
      <c r="S6" s="126" t="s">
        <v>27</v>
      </c>
      <c r="T6" s="126" t="s">
        <v>28</v>
      </c>
      <c r="U6" s="126" t="s">
        <v>29</v>
      </c>
      <c r="V6" s="126" t="s">
        <v>30</v>
      </c>
      <c r="W6" s="126" t="s">
        <v>731</v>
      </c>
      <c r="X6" s="126" t="s">
        <v>732</v>
      </c>
      <c r="Y6" s="126" t="s">
        <v>31</v>
      </c>
      <c r="Z6" s="85"/>
      <c r="AA6" s="109"/>
      <c r="AD6" s="127"/>
      <c r="AE6" s="91"/>
      <c r="AF6" s="91"/>
    </row>
    <row r="7" spans="1:32" s="78" customFormat="1" ht="13.8" x14ac:dyDescent="0.25">
      <c r="B7" s="111"/>
      <c r="C7" s="112"/>
      <c r="D7" s="112"/>
      <c r="E7" s="112" t="s">
        <v>733</v>
      </c>
      <c r="F7" s="113"/>
      <c r="G7" s="112"/>
      <c r="H7" s="112" t="str">
        <f>General!$D$19</f>
        <v>TJ/unit</v>
      </c>
      <c r="I7" s="112" t="s">
        <v>749</v>
      </c>
      <c r="J7" s="112" t="str">
        <f>General!$D$27</f>
        <v>000$/unit</v>
      </c>
      <c r="K7" s="112" t="str">
        <f>General!$D$27</f>
        <v>000$/unit</v>
      </c>
      <c r="L7" s="112" t="str">
        <f>General!$D$15</f>
        <v>$/GJ</v>
      </c>
      <c r="M7" s="112" t="str">
        <f>General!$D$20</f>
        <v>Years</v>
      </c>
      <c r="N7" s="112"/>
      <c r="O7" s="91"/>
      <c r="P7" s="91"/>
      <c r="Q7" s="91" t="s">
        <v>750</v>
      </c>
      <c r="R7" s="91"/>
      <c r="S7" s="91" t="str">
        <f>Commodities!$AC$15&amp;"_"&amp;RIGHT(Commodities!$D$198,3)&amp;"_"&amp;$S$3&amp;"_ST"</f>
        <v>TER_TP_CK_LOG_N_ST</v>
      </c>
      <c r="T7" s="91" t="s">
        <v>881</v>
      </c>
      <c r="U7" s="92" t="str">
        <f>General!$B$2</f>
        <v>PJ</v>
      </c>
      <c r="V7" s="92" t="str">
        <f>General!$D$18</f>
        <v>000s_Units</v>
      </c>
      <c r="W7" s="92"/>
      <c r="X7" s="92"/>
      <c r="Y7" s="91"/>
      <c r="AD7" s="143"/>
      <c r="AE7" s="91"/>
      <c r="AF7" s="91"/>
    </row>
    <row r="8" spans="1:32" s="78" customFormat="1" ht="13.8" x14ac:dyDescent="0.25">
      <c r="B8" s="91" t="str">
        <f t="shared" ref="B8:B27" si="0">S7</f>
        <v>TER_TP_CK_LOG_N_ST</v>
      </c>
      <c r="C8" s="91" t="str">
        <f t="shared" ref="C8:C27" si="1">T7</f>
        <v>Commercial and Public Cook Wood Standard (N)</v>
      </c>
      <c r="D8" s="91" t="str">
        <f>Commodities!$D$198</f>
        <v>TERBIOLOG</v>
      </c>
      <c r="E8" s="91" t="str">
        <f>Commodities!AC15</f>
        <v>TER_TP_CK</v>
      </c>
      <c r="F8" s="130">
        <f>G8</f>
        <v>2100</v>
      </c>
      <c r="G8" s="146">
        <v>2100</v>
      </c>
      <c r="H8" s="147"/>
      <c r="I8" s="90"/>
      <c r="J8" s="154">
        <f>(IFERROR(VLOOKUP(IF(LEN($B8)=18,RIGHT($B8,8),RIGHT($B8,10)),'DATA '!$B$55:$K$66,J$4,FALSE),""))*0.001</f>
        <v>0.46417337486319227</v>
      </c>
      <c r="K8" s="154">
        <f>(IFERROR(VLOOKUP(IF(LEN($B8)=18,RIGHT($B8,8),RIGHT($B8,10)),'DATA '!$B$55:$K$66,K$4,FALSE),""))*0.001</f>
        <v>1.1604334371579809E-2</v>
      </c>
      <c r="L8" s="147">
        <f>IFERROR(VLOOKUP(IF(LEN($B8)=18,RIGHT($B8,8),RIGHT($B8,10)),'DATA '!$B$55:$K$66,L$4,FALSE),"")</f>
        <v>0</v>
      </c>
      <c r="M8" s="90">
        <v>15</v>
      </c>
      <c r="N8" s="147"/>
      <c r="O8" s="91"/>
      <c r="Q8" s="91"/>
      <c r="R8" s="91"/>
      <c r="S8" s="91" t="str">
        <f>Commodities!$AC$15&amp;"_"&amp;LEFT(RIGHT(Commodities!$D$197,6),3)&amp;"_"&amp;$S$3&amp;"_ST"</f>
        <v>TER_TP_CK_GAS_N_ST</v>
      </c>
      <c r="T8" s="91" t="s">
        <v>1091</v>
      </c>
      <c r="U8" s="92" t="str">
        <f>General!$B$2</f>
        <v>PJ</v>
      </c>
      <c r="V8" s="92" t="str">
        <f>General!$D$18</f>
        <v>000s_Units</v>
      </c>
      <c r="W8" s="119" t="s">
        <v>841</v>
      </c>
      <c r="X8" s="92"/>
      <c r="Y8" s="91"/>
      <c r="AD8" s="143"/>
      <c r="AE8" s="91"/>
      <c r="AF8" s="91"/>
    </row>
    <row r="9" spans="1:32" s="78" customFormat="1" ht="13.8" x14ac:dyDescent="0.25">
      <c r="B9" s="91" t="str">
        <f t="shared" si="0"/>
        <v>TER_TP_CK_GAS_N_ST</v>
      </c>
      <c r="C9" s="91" t="str">
        <f t="shared" si="1"/>
        <v>Private (Commercial) Cook Gas Standard (N)</v>
      </c>
      <c r="D9" s="91" t="str">
        <f>Commodities!$D$197</f>
        <v>TERGASNAT</v>
      </c>
      <c r="E9" s="91" t="str">
        <f>E8</f>
        <v>TER_TP_CK</v>
      </c>
      <c r="F9" s="130">
        <f>G9</f>
        <v>2018</v>
      </c>
      <c r="G9" s="148">
        <f>BASE_YEAR+1</f>
        <v>2018</v>
      </c>
      <c r="H9" s="131"/>
      <c r="I9" s="92"/>
      <c r="J9" s="155">
        <f>(IFERROR(VLOOKUP(IF(LEN($B9)=18,RIGHT($B9,8),RIGHT($B9,10)),'DATA '!$B$55:$K$66,J$4,FALSE),""))*0.001</f>
        <v>0.40555555555555561</v>
      </c>
      <c r="K9" s="155">
        <f>(IFERROR(VLOOKUP(IF(LEN($B9)=18,RIGHT($B9,8),RIGHT($B9,10)),'DATA '!$B$55:$K$66,K$4,FALSE),""))*0.001</f>
        <v>1.013888888888889E-2</v>
      </c>
      <c r="L9" s="131">
        <f>IFERROR(VLOOKUP(IF(LEN($B9)=18,RIGHT($B9,8),RIGHT($B9,10)),'DATA '!$B$55:$K$66,L$4,FALSE),"")</f>
        <v>0</v>
      </c>
      <c r="M9" s="92">
        <v>15</v>
      </c>
      <c r="N9" s="131"/>
      <c r="O9" s="91"/>
      <c r="Q9" s="91"/>
      <c r="R9" s="91"/>
      <c r="S9" s="91" t="str">
        <f>Commodities!$AC$15&amp;"_"&amp;LEFT(RIGHT(Commodities!$D$197,6),3)&amp;"_"&amp;$S$3&amp;"_IM"</f>
        <v>TER_TP_CK_GAS_N_IM</v>
      </c>
      <c r="T9" s="91" t="s">
        <v>1092</v>
      </c>
      <c r="U9" s="92" t="str">
        <f>General!$B$2</f>
        <v>PJ</v>
      </c>
      <c r="V9" s="92" t="str">
        <f>General!$D$18</f>
        <v>000s_Units</v>
      </c>
      <c r="W9" s="119" t="s">
        <v>841</v>
      </c>
      <c r="X9" s="92"/>
      <c r="Y9" s="91"/>
      <c r="AD9" s="143"/>
      <c r="AE9" s="91"/>
      <c r="AF9" s="91"/>
    </row>
    <row r="10" spans="1:32" s="78" customFormat="1" ht="13.8" x14ac:dyDescent="0.25">
      <c r="B10" s="91" t="str">
        <f t="shared" si="0"/>
        <v>TER_TP_CK_GAS_N_IM</v>
      </c>
      <c r="C10" s="91" t="str">
        <f t="shared" si="1"/>
        <v>Private (Commercial) Cook Gas Improved (N)</v>
      </c>
      <c r="D10" s="91" t="str">
        <f>Commodities!$D$197</f>
        <v>TERGASNAT</v>
      </c>
      <c r="E10" s="91" t="str">
        <f t="shared" ref="E10:E17" si="2">E9</f>
        <v>TER_TP_CK</v>
      </c>
      <c r="F10" s="130">
        <f t="shared" ref="F10:F17" si="3">G10</f>
        <v>2025</v>
      </c>
      <c r="G10" s="148">
        <v>2025</v>
      </c>
      <c r="H10" s="131"/>
      <c r="I10" s="92"/>
      <c r="J10" s="155">
        <f>(IFERROR(VLOOKUP(IF(LEN($B10)=18,RIGHT($B10,8),RIGHT($B10,10)),'DATA '!$B$55:$K$66,J$4,FALSE),""))*0.001</f>
        <v>0.43394444444444447</v>
      </c>
      <c r="K10" s="155">
        <f>(IFERROR(VLOOKUP(IF(LEN($B10)=18,RIGHT($B10,8),RIGHT($B10,10)),'DATA '!$B$55:$K$66,K$4,FALSE),""))*0.001</f>
        <v>1.0848611111111111E-2</v>
      </c>
      <c r="L10" s="131">
        <f>IFERROR(VLOOKUP(IF(LEN($B10)=18,RIGHT($B10,8),RIGHT($B10,10)),'DATA '!$B$55:$K$66,L$4,FALSE),"")</f>
        <v>0</v>
      </c>
      <c r="M10" s="92">
        <v>15</v>
      </c>
      <c r="N10" s="131"/>
      <c r="O10" s="91"/>
      <c r="Q10" s="91"/>
      <c r="R10" s="91"/>
      <c r="S10" s="91" t="str">
        <f>Commodities!$AC$15&amp;"_"&amp;LEFT(RIGHT(Commodities!$D$197,6),3)&amp;"_"&amp;$S$3&amp;"_AD"</f>
        <v>TER_TP_CK_GAS_N_AD</v>
      </c>
      <c r="T10" s="91" t="s">
        <v>1093</v>
      </c>
      <c r="U10" s="92" t="str">
        <f>General!$B$2</f>
        <v>PJ</v>
      </c>
      <c r="V10" s="92" t="str">
        <f>General!$D$18</f>
        <v>000s_Units</v>
      </c>
      <c r="W10" s="119" t="s">
        <v>841</v>
      </c>
      <c r="X10" s="92"/>
      <c r="Y10" s="91"/>
      <c r="AD10" s="144"/>
    </row>
    <row r="11" spans="1:32" s="78" customFormat="1" ht="13.8" x14ac:dyDescent="0.25">
      <c r="B11" s="91" t="str">
        <f t="shared" si="0"/>
        <v>TER_TP_CK_GAS_N_AD</v>
      </c>
      <c r="C11" s="91" t="str">
        <f t="shared" si="1"/>
        <v>Private (Commercial) Cook Gas Advanced (N)</v>
      </c>
      <c r="D11" s="91" t="str">
        <f>Commodities!$D$197</f>
        <v>TERGASNAT</v>
      </c>
      <c r="E11" s="91" t="str">
        <f t="shared" si="2"/>
        <v>TER_TP_CK</v>
      </c>
      <c r="F11" s="130">
        <f t="shared" si="3"/>
        <v>2035</v>
      </c>
      <c r="G11" s="148">
        <v>2035</v>
      </c>
      <c r="H11" s="131"/>
      <c r="I11" s="92"/>
      <c r="J11" s="155">
        <f>(IFERROR(VLOOKUP(IF(LEN($B11)=18,RIGHT($B11,8),RIGHT($B11,10)),'DATA '!$B$55:$K$66,J$4,FALSE),""))*0.001</f>
        <v>0.46432055555555557</v>
      </c>
      <c r="K11" s="155">
        <f>(IFERROR(VLOOKUP(IF(LEN($B11)=18,RIGHT($B11,8),RIGHT($B11,10)),'DATA '!$B$55:$K$66,K$4,FALSE),""))*0.001</f>
        <v>1.1608013888888892E-2</v>
      </c>
      <c r="L11" s="131">
        <f>IFERROR(VLOOKUP(IF(LEN($B11)=18,RIGHT($B11,8),RIGHT($B11,10)),'DATA '!$B$55:$K$66,L$4,FALSE),"")</f>
        <v>0</v>
      </c>
      <c r="M11" s="92">
        <v>15</v>
      </c>
      <c r="N11" s="131"/>
      <c r="O11" s="91"/>
      <c r="Q11" s="91"/>
      <c r="R11" s="91"/>
      <c r="S11" s="91" t="str">
        <f>Commodities!$AC$15&amp;"_"&amp;RIGHT(Commodities!$D$192,3)&amp;"_"&amp;$S$3&amp;"_ST"</f>
        <v>TER_TP_CK_LPG_N_ST</v>
      </c>
      <c r="T11" s="91" t="s">
        <v>1094</v>
      </c>
      <c r="U11" s="92" t="str">
        <f>General!$B$2</f>
        <v>PJ</v>
      </c>
      <c r="V11" s="92" t="str">
        <f>General!$D$18</f>
        <v>000s_Units</v>
      </c>
      <c r="W11" s="92"/>
      <c r="X11" s="92"/>
      <c r="Y11" s="91"/>
      <c r="AD11" s="144"/>
    </row>
    <row r="12" spans="1:32" s="78" customFormat="1" ht="13.8" x14ac:dyDescent="0.25">
      <c r="B12" s="91" t="str">
        <f t="shared" si="0"/>
        <v>TER_TP_CK_LPG_N_ST</v>
      </c>
      <c r="C12" s="91" t="str">
        <f t="shared" si="1"/>
        <v>Private (Commercial) Cook LPG Standard (N)</v>
      </c>
      <c r="D12" s="91" t="str">
        <f>Commodities!$D$192</f>
        <v>TEROILLPG</v>
      </c>
      <c r="E12" s="91" t="str">
        <f t="shared" si="2"/>
        <v>TER_TP_CK</v>
      </c>
      <c r="F12" s="130">
        <f>G12</f>
        <v>2018</v>
      </c>
      <c r="G12" s="148">
        <f>BASE_YEAR+1</f>
        <v>2018</v>
      </c>
      <c r="H12" s="131"/>
      <c r="I12" s="92"/>
      <c r="J12" s="155">
        <f>(IFERROR(VLOOKUP(IF(LEN($B12)=18,RIGHT($B12,8),RIGHT($B12,10)),'DATA '!$B$55:$K$66,J$4,FALSE),""))*0.001</f>
        <v>0.40555555555555561</v>
      </c>
      <c r="K12" s="155">
        <f>(IFERROR(VLOOKUP(IF(LEN($B12)=18,RIGHT($B12,8),RIGHT($B12,10)),'DATA '!$B$55:$K$66,K$4,FALSE),""))*0.001</f>
        <v>1.013888888888889E-2</v>
      </c>
      <c r="L12" s="131">
        <f>IFERROR(VLOOKUP(IF(LEN($B12)=18,RIGHT($B12,8),RIGHT($B12,10)),'DATA '!$B$55:$K$66,L$4,FALSE),"")</f>
        <v>0</v>
      </c>
      <c r="M12" s="92">
        <v>15</v>
      </c>
      <c r="N12" s="131"/>
      <c r="O12" s="91"/>
      <c r="Q12" s="91"/>
      <c r="R12" s="91"/>
      <c r="S12" s="91" t="str">
        <f>Commodities!$AC$15&amp;"_"&amp;RIGHT(Commodities!$D$192,3)&amp;"_"&amp;$S$3&amp;"_IM"</f>
        <v>TER_TP_CK_LPG_N_IM</v>
      </c>
      <c r="T12" s="91" t="s">
        <v>1095</v>
      </c>
      <c r="U12" s="92" t="str">
        <f>General!$B$2</f>
        <v>PJ</v>
      </c>
      <c r="V12" s="92" t="str">
        <f>General!$D$18</f>
        <v>000s_Units</v>
      </c>
      <c r="W12" s="92"/>
      <c r="X12" s="92"/>
      <c r="Y12" s="91"/>
      <c r="AD12" s="144"/>
    </row>
    <row r="13" spans="1:32" s="78" customFormat="1" ht="13.8" x14ac:dyDescent="0.25">
      <c r="A13" s="117"/>
      <c r="B13" s="91" t="str">
        <f t="shared" si="0"/>
        <v>TER_TP_CK_LPG_N_IM</v>
      </c>
      <c r="C13" s="91" t="str">
        <f t="shared" si="1"/>
        <v>Private (Commercial) Cook LPG Improved (N)</v>
      </c>
      <c r="D13" s="91" t="str">
        <f>Commodities!$D$192</f>
        <v>TEROILLPG</v>
      </c>
      <c r="E13" s="91" t="str">
        <f t="shared" si="2"/>
        <v>TER_TP_CK</v>
      </c>
      <c r="F13" s="130">
        <f t="shared" si="3"/>
        <v>2025</v>
      </c>
      <c r="G13" s="148">
        <v>2025</v>
      </c>
      <c r="H13" s="131"/>
      <c r="I13" s="156"/>
      <c r="J13" s="155">
        <f>(IFERROR(VLOOKUP(IF(LEN($B13)=18,RIGHT($B13,8),RIGHT($B13,10)),'DATA '!$B$55:$K$66,J$4,FALSE),""))*0.001</f>
        <v>0.43394444444444447</v>
      </c>
      <c r="K13" s="155">
        <f>(IFERROR(VLOOKUP(IF(LEN($B13)=18,RIGHT($B13,8),RIGHT($B13,10)),'DATA '!$B$55:$K$66,K$4,FALSE),""))*0.001</f>
        <v>1.0848611111111111E-2</v>
      </c>
      <c r="L13" s="131">
        <f>IFERROR(VLOOKUP(IF(LEN($B13)=18,RIGHT($B13,8),RIGHT($B13,10)),'DATA '!$B$55:$K$66,L$4,FALSE),"")</f>
        <v>0</v>
      </c>
      <c r="M13" s="92">
        <v>15</v>
      </c>
      <c r="N13" s="131"/>
      <c r="O13" s="117"/>
      <c r="Q13" s="91"/>
      <c r="R13" s="91"/>
      <c r="S13" s="91" t="str">
        <f>Commodities!$AC$15&amp;"_"&amp;RIGHT(Commodities!$D$192,3)&amp;"_"&amp;$S$3&amp;"_AD"</f>
        <v>TER_TP_CK_LPG_N_AD</v>
      </c>
      <c r="T13" s="91" t="s">
        <v>1096</v>
      </c>
      <c r="U13" s="92" t="str">
        <f>General!$B$2</f>
        <v>PJ</v>
      </c>
      <c r="V13" s="92" t="str">
        <f>General!$D$18</f>
        <v>000s_Units</v>
      </c>
      <c r="W13" s="92"/>
      <c r="X13" s="92"/>
      <c r="Y13" s="91"/>
      <c r="AD13" s="144"/>
    </row>
    <row r="14" spans="1:32" s="78" customFormat="1" ht="13.8" x14ac:dyDescent="0.25">
      <c r="A14" s="117"/>
      <c r="B14" s="91" t="str">
        <f t="shared" si="0"/>
        <v>TER_TP_CK_LPG_N_AD</v>
      </c>
      <c r="C14" s="91" t="str">
        <f t="shared" si="1"/>
        <v>Private (Commercial) Cook LPG Advanced (N)</v>
      </c>
      <c r="D14" s="91" t="str">
        <f>Commodities!$D$192</f>
        <v>TEROILLPG</v>
      </c>
      <c r="E14" s="91" t="str">
        <f t="shared" si="2"/>
        <v>TER_TP_CK</v>
      </c>
      <c r="F14" s="130">
        <f t="shared" si="3"/>
        <v>2035</v>
      </c>
      <c r="G14" s="148">
        <v>2035</v>
      </c>
      <c r="H14" s="131"/>
      <c r="I14" s="156"/>
      <c r="J14" s="155">
        <f>(IFERROR(VLOOKUP(IF(LEN($B14)=18,RIGHT($B14,8),RIGHT($B14,10)),'DATA '!$B$55:$K$66,J$4,FALSE),""))*0.001</f>
        <v>0.46432055555555557</v>
      </c>
      <c r="K14" s="155">
        <f>(IFERROR(VLOOKUP(IF(LEN($B14)=18,RIGHT($B14,8),RIGHT($B14,10)),'DATA '!$B$55:$K$66,K$4,FALSE),""))*0.001</f>
        <v>1.1608013888888892E-2</v>
      </c>
      <c r="L14" s="131">
        <f>IFERROR(VLOOKUP(IF(LEN($B14)=18,RIGHT($B14,8),RIGHT($B14,10)),'DATA '!$B$55:$K$66,L$4,FALSE),"")</f>
        <v>0</v>
      </c>
      <c r="M14" s="92">
        <v>15</v>
      </c>
      <c r="N14" s="131"/>
      <c r="O14" s="117"/>
      <c r="Q14" s="91"/>
      <c r="R14" s="91"/>
      <c r="S14" s="91" t="str">
        <f>Commodities!$AC$15&amp;"_"&amp;RIGHT(Commodities!$D$340,3)&amp;"_"&amp;$S$3&amp;"_ST"</f>
        <v>TER_TP_CK_ELC_N_ST</v>
      </c>
      <c r="T14" s="91" t="s">
        <v>1097</v>
      </c>
      <c r="U14" s="92" t="str">
        <f>General!$B$2</f>
        <v>PJ</v>
      </c>
      <c r="V14" s="92" t="str">
        <f>General!$D$18</f>
        <v>000s_Units</v>
      </c>
      <c r="W14" s="92" t="s">
        <v>44</v>
      </c>
      <c r="X14" s="92"/>
      <c r="Y14" s="91"/>
      <c r="AD14" s="144"/>
    </row>
    <row r="15" spans="1:32" ht="13.8" x14ac:dyDescent="0.25">
      <c r="B15" s="91" t="str">
        <f t="shared" si="0"/>
        <v>TER_TP_CK_ELC_N_ST</v>
      </c>
      <c r="C15" s="91" t="str">
        <f t="shared" si="1"/>
        <v>Private (Commercial) Cook Electric Standard (N)</v>
      </c>
      <c r="D15" s="91" t="str">
        <f>Commodities!D$340</f>
        <v>TERELC</v>
      </c>
      <c r="E15" s="91" t="str">
        <f t="shared" si="2"/>
        <v>TER_TP_CK</v>
      </c>
      <c r="F15" s="130">
        <f>G15</f>
        <v>2018</v>
      </c>
      <c r="G15" s="148">
        <f>BASE_YEAR+1</f>
        <v>2018</v>
      </c>
      <c r="H15" s="131"/>
      <c r="I15" s="156"/>
      <c r="J15" s="155">
        <f>(IFERROR(VLOOKUP(IF(LEN($B15)=18,RIGHT($B15,8),RIGHT($B15,10)),'DATA '!$B$55:$K$66,J$4,FALSE),""))*0.001</f>
        <v>0.42333333333333339</v>
      </c>
      <c r="K15" s="155">
        <f>(IFERROR(VLOOKUP(IF(LEN($B15)=18,RIGHT($B15,8),RIGHT($B15,10)),'DATA '!$B$55:$K$66,K$4,FALSE),""))*0.001</f>
        <v>3.175E-2</v>
      </c>
      <c r="L15" s="131">
        <f>IFERROR(VLOOKUP(IF(LEN($B15)=18,RIGHT($B15,8),RIGHT($B15,10)),'DATA '!$B$55:$K$66,L$4,FALSE),"")</f>
        <v>0</v>
      </c>
      <c r="M15" s="92">
        <v>15</v>
      </c>
      <c r="N15" s="131"/>
      <c r="Q15" s="91"/>
      <c r="R15" s="91"/>
      <c r="S15" s="91" t="str">
        <f>Commodities!$AC$15&amp;"_"&amp;RIGHT(Commodities!$D$340,3)&amp;"_"&amp;$S$3&amp;"_IM"</f>
        <v>TER_TP_CK_ELC_N_IM</v>
      </c>
      <c r="T15" s="91" t="s">
        <v>1098</v>
      </c>
      <c r="U15" s="92" t="str">
        <f>General!$B$2</f>
        <v>PJ</v>
      </c>
      <c r="V15" s="92" t="str">
        <f>General!$D$18</f>
        <v>000s_Units</v>
      </c>
      <c r="W15" s="92" t="s">
        <v>44</v>
      </c>
      <c r="X15" s="92"/>
      <c r="Y15" s="91"/>
      <c r="Z15" s="78"/>
      <c r="AA15" s="78"/>
      <c r="AB15" s="78"/>
      <c r="AC15" s="78"/>
    </row>
    <row r="16" spans="1:32" ht="13.8" x14ac:dyDescent="0.25">
      <c r="B16" s="91" t="str">
        <f t="shared" si="0"/>
        <v>TER_TP_CK_ELC_N_IM</v>
      </c>
      <c r="C16" s="91" t="str">
        <f t="shared" si="1"/>
        <v>Private (Commercial) Cook Electric Improved (N)</v>
      </c>
      <c r="D16" s="91" t="str">
        <f>Commodities!D$340</f>
        <v>TERELC</v>
      </c>
      <c r="E16" s="91" t="str">
        <f t="shared" si="2"/>
        <v>TER_TP_CK</v>
      </c>
      <c r="F16" s="130">
        <f t="shared" si="3"/>
        <v>2025</v>
      </c>
      <c r="G16" s="148">
        <v>2025</v>
      </c>
      <c r="H16" s="131"/>
      <c r="I16" s="156"/>
      <c r="J16" s="155">
        <f>(IFERROR(VLOOKUP(IF(LEN($B16)=18,RIGHT($B16,8),RIGHT($B16,10)),'DATA '!$B$55:$K$66,J$4,FALSE),""))*0.001</f>
        <v>0.45296666666666668</v>
      </c>
      <c r="K16" s="155">
        <f>(IFERROR(VLOOKUP(IF(LEN($B16)=18,RIGHT($B16,8),RIGHT($B16,10)),'DATA '!$B$55:$K$66,K$4,FALSE),""))*0.001</f>
        <v>3.3972500000000003E-2</v>
      </c>
      <c r="L16" s="131">
        <f>IFERROR(VLOOKUP(IF(LEN($B16)=18,RIGHT($B16,8),RIGHT($B16,10)),'DATA '!$B$55:$K$66,L$4,FALSE),"")</f>
        <v>0</v>
      </c>
      <c r="M16" s="92">
        <v>15</v>
      </c>
      <c r="N16" s="131"/>
      <c r="Q16" s="86"/>
      <c r="R16" s="86"/>
      <c r="S16" s="86" t="str">
        <f>Commodities!$AC$15&amp;"_"&amp;RIGHT(Commodities!$D$340,3)&amp;"_"&amp;$S$3&amp;"_AD"</f>
        <v>TER_TP_CK_ELC_N_AD</v>
      </c>
      <c r="T16" s="86" t="s">
        <v>1099</v>
      </c>
      <c r="U16" s="87" t="str">
        <f>General!$B$2</f>
        <v>PJ</v>
      </c>
      <c r="V16" s="87" t="str">
        <f>General!$D$18</f>
        <v>000s_Units</v>
      </c>
      <c r="W16" s="87" t="s">
        <v>44</v>
      </c>
      <c r="X16" s="87"/>
      <c r="Y16" s="86"/>
      <c r="Z16" s="86"/>
      <c r="AA16" s="78"/>
    </row>
    <row r="17" spans="2:27" ht="13.8" x14ac:dyDescent="0.25">
      <c r="B17" s="86" t="str">
        <f t="shared" si="0"/>
        <v>TER_TP_CK_ELC_N_AD</v>
      </c>
      <c r="C17" s="86" t="str">
        <f t="shared" si="1"/>
        <v>Private (Commercial) Cook Electric Advanced (N)</v>
      </c>
      <c r="D17" s="86" t="str">
        <f>Commodities!D$340</f>
        <v>TERELC</v>
      </c>
      <c r="E17" s="86" t="str">
        <f t="shared" si="2"/>
        <v>TER_TP_CK</v>
      </c>
      <c r="F17" s="133">
        <f t="shared" si="3"/>
        <v>2035</v>
      </c>
      <c r="G17" s="149">
        <v>2035</v>
      </c>
      <c r="H17" s="134"/>
      <c r="I17" s="157"/>
      <c r="J17" s="158">
        <f>(IFERROR(VLOOKUP(IF(LEN($B17)=18,RIGHT($B17,8),RIGHT($B17,10)),'DATA '!$B$55:$K$66,J$4,FALSE),""))*0.001</f>
        <v>0.48467433333333337</v>
      </c>
      <c r="K17" s="158">
        <f>(IFERROR(VLOOKUP(IF(LEN($B17)=18,RIGHT($B17,8),RIGHT($B17,10)),'DATA '!$B$55:$K$66,K$4,FALSE),""))*0.001</f>
        <v>3.635057500000001E-2</v>
      </c>
      <c r="L17" s="134">
        <f>IFERROR(VLOOKUP(IF(LEN($B17)=18,RIGHT($B17,8),RIGHT($B17,10)),'DATA '!$B$55:$K$66,L$4,FALSE),"")</f>
        <v>0</v>
      </c>
      <c r="M17" s="87">
        <v>15</v>
      </c>
      <c r="N17" s="134"/>
      <c r="Q17" s="91"/>
      <c r="R17" s="91"/>
      <c r="S17" s="91" t="str">
        <f>Commodities!$AC$16&amp;"_"&amp;RIGHT(Commodities!$D$198,3)&amp;"_"&amp;$S$3&amp;"_ST"</f>
        <v>TER_TS_CK_LOG_N_ST</v>
      </c>
      <c r="T17" s="91" t="s">
        <v>1120</v>
      </c>
      <c r="U17" s="92" t="str">
        <f>General!$B$2</f>
        <v>PJ</v>
      </c>
      <c r="V17" s="92" t="str">
        <f>General!$D$18</f>
        <v>000s_Units</v>
      </c>
      <c r="W17" s="92"/>
      <c r="X17" s="92"/>
      <c r="Y17" s="91"/>
      <c r="AA17" s="78"/>
    </row>
    <row r="18" spans="2:27" ht="13.8" x14ac:dyDescent="0.25">
      <c r="B18" s="91" t="str">
        <f t="shared" si="0"/>
        <v>TER_TS_CK_LOG_N_ST</v>
      </c>
      <c r="C18" s="91" t="str">
        <f t="shared" si="1"/>
        <v>Services (Public) Cook Wood Standard (N)</v>
      </c>
      <c r="D18" s="91" t="str">
        <f>Commodities!$D$198</f>
        <v>TERBIOLOG</v>
      </c>
      <c r="E18" s="91" t="str">
        <f>Commodities!AC16</f>
        <v>TER_TS_CK</v>
      </c>
      <c r="F18" s="130">
        <f t="shared" ref="F18:F27" si="4">G18</f>
        <v>2100</v>
      </c>
      <c r="G18" s="146">
        <v>2100</v>
      </c>
      <c r="H18" s="131"/>
      <c r="I18" s="92"/>
      <c r="J18" s="155">
        <f>(IFERROR(VLOOKUP(IF(LEN($B18)=18,RIGHT($B18,8),RIGHT($B18,10)),'DATA '!$B$55:$K$66,J$4,FALSE),""))*0.001</f>
        <v>0.46417337486319227</v>
      </c>
      <c r="K18" s="155">
        <f>(IFERROR(VLOOKUP(IF(LEN($B18)=18,RIGHT($B18,8),RIGHT($B18,10)),'DATA '!$B$55:$K$66,K$4,FALSE),""))*0.001</f>
        <v>1.1604334371579809E-2</v>
      </c>
      <c r="L18" s="131">
        <f>IFERROR(VLOOKUP(IF(LEN($B18)=18,RIGHT($B18,8),RIGHT($B18,10)),'DATA '!$B$55:$K$66,L$4,FALSE),"")</f>
        <v>0</v>
      </c>
      <c r="M18" s="92">
        <v>15</v>
      </c>
      <c r="N18" s="131"/>
      <c r="Q18" s="91"/>
      <c r="R18" s="91"/>
      <c r="S18" s="91" t="str">
        <f>Commodities!$AC$16&amp;"_"&amp;LEFT(RIGHT(Commodities!$D$197,6),3)&amp;"_"&amp;$S$3&amp;"_ST"</f>
        <v>TER_TS_CK_GAS_N_ST</v>
      </c>
      <c r="T18" s="91" t="s">
        <v>1121</v>
      </c>
      <c r="U18" s="92" t="str">
        <f>General!$B$2</f>
        <v>PJ</v>
      </c>
      <c r="V18" s="92" t="str">
        <f>General!$D$18</f>
        <v>000s_Units</v>
      </c>
      <c r="W18" s="119" t="s">
        <v>841</v>
      </c>
      <c r="X18" s="92"/>
      <c r="Y18" s="91"/>
      <c r="AA18" s="78"/>
    </row>
    <row r="19" spans="2:27" ht="13.8" x14ac:dyDescent="0.25">
      <c r="B19" s="91" t="str">
        <f t="shared" si="0"/>
        <v>TER_TS_CK_GAS_N_ST</v>
      </c>
      <c r="C19" s="91" t="str">
        <f t="shared" si="1"/>
        <v>Services (Public) Cook Gas Standard (N)</v>
      </c>
      <c r="D19" s="91" t="str">
        <f>Commodities!$D$197</f>
        <v>TERGASNAT</v>
      </c>
      <c r="E19" s="91" t="str">
        <f>E18</f>
        <v>TER_TS_CK</v>
      </c>
      <c r="F19" s="130">
        <f t="shared" si="4"/>
        <v>2018</v>
      </c>
      <c r="G19" s="148">
        <f>BASE_YEAR+1</f>
        <v>2018</v>
      </c>
      <c r="H19" s="131"/>
      <c r="I19" s="92"/>
      <c r="J19" s="155">
        <f>(IFERROR(VLOOKUP(IF(LEN($B19)=18,RIGHT($B19,8),RIGHT($B19,10)),'DATA '!$B$55:$K$66,J$4,FALSE),""))*0.001</f>
        <v>0.40555555555555561</v>
      </c>
      <c r="K19" s="155">
        <f>(IFERROR(VLOOKUP(IF(LEN($B19)=18,RIGHT($B19,8),RIGHT($B19,10)),'DATA '!$B$55:$K$66,K$4,FALSE),""))*0.001</f>
        <v>1.013888888888889E-2</v>
      </c>
      <c r="L19" s="131">
        <f>IFERROR(VLOOKUP(IF(LEN($B19)=18,RIGHT($B19,8),RIGHT($B19,10)),'DATA '!$B$55:$K$66,L$4,FALSE),"")</f>
        <v>0</v>
      </c>
      <c r="M19" s="92">
        <v>15</v>
      </c>
      <c r="N19" s="131"/>
      <c r="Q19" s="91"/>
      <c r="R19" s="91"/>
      <c r="S19" s="91" t="str">
        <f>Commodities!$AC$16&amp;"_"&amp;LEFT(RIGHT(Commodities!$D$197,6),3)&amp;"_"&amp;$S$3&amp;"_IM"</f>
        <v>TER_TS_CK_GAS_N_IM</v>
      </c>
      <c r="T19" s="91" t="s">
        <v>1122</v>
      </c>
      <c r="U19" s="92" t="str">
        <f>General!$B$2</f>
        <v>PJ</v>
      </c>
      <c r="V19" s="92" t="str">
        <f>General!$D$18</f>
        <v>000s_Units</v>
      </c>
      <c r="W19" s="119" t="s">
        <v>841</v>
      </c>
      <c r="X19" s="92"/>
      <c r="Y19" s="91"/>
      <c r="AA19" s="78"/>
    </row>
    <row r="20" spans="2:27" ht="13.8" x14ac:dyDescent="0.25">
      <c r="B20" s="91" t="str">
        <f t="shared" si="0"/>
        <v>TER_TS_CK_GAS_N_IM</v>
      </c>
      <c r="C20" s="91" t="str">
        <f t="shared" si="1"/>
        <v>Services (Public) Cook Gas Improved (N)</v>
      </c>
      <c r="D20" s="91" t="str">
        <f>Commodities!$D$197</f>
        <v>TERGASNAT</v>
      </c>
      <c r="E20" s="91" t="str">
        <f t="shared" ref="E20:E27" si="5">E19</f>
        <v>TER_TS_CK</v>
      </c>
      <c r="F20" s="130">
        <f t="shared" si="4"/>
        <v>2025</v>
      </c>
      <c r="G20" s="148">
        <v>2025</v>
      </c>
      <c r="H20" s="131"/>
      <c r="I20" s="92"/>
      <c r="J20" s="155">
        <f>(IFERROR(VLOOKUP(IF(LEN($B20)=18,RIGHT($B20,8),RIGHT($B20,10)),'DATA '!$B$55:$K$66,J$4,FALSE),""))*0.001</f>
        <v>0.43394444444444447</v>
      </c>
      <c r="K20" s="155">
        <f>(IFERROR(VLOOKUP(IF(LEN($B20)=18,RIGHT($B20,8),RIGHT($B20,10)),'DATA '!$B$55:$K$66,K$4,FALSE),""))*0.001</f>
        <v>1.0848611111111111E-2</v>
      </c>
      <c r="L20" s="131">
        <f>IFERROR(VLOOKUP(IF(LEN($B20)=18,RIGHT($B20,8),RIGHT($B20,10)),'DATA '!$B$55:$K$66,L$4,FALSE),"")</f>
        <v>0</v>
      </c>
      <c r="M20" s="92">
        <v>15</v>
      </c>
      <c r="N20" s="131"/>
      <c r="Q20" s="91"/>
      <c r="R20" s="91"/>
      <c r="S20" s="91" t="str">
        <f>Commodities!$AC$16&amp;"_"&amp;LEFT(RIGHT(Commodities!$D$197,6),3)&amp;"_"&amp;$S$3&amp;"_AD"</f>
        <v>TER_TS_CK_GAS_N_AD</v>
      </c>
      <c r="T20" s="91" t="s">
        <v>1123</v>
      </c>
      <c r="U20" s="92" t="str">
        <f>General!$B$2</f>
        <v>PJ</v>
      </c>
      <c r="V20" s="92" t="str">
        <f>General!$D$18</f>
        <v>000s_Units</v>
      </c>
      <c r="W20" s="119" t="s">
        <v>841</v>
      </c>
      <c r="X20" s="92"/>
      <c r="Y20" s="91"/>
      <c r="AA20" s="78"/>
    </row>
    <row r="21" spans="2:27" ht="13.8" x14ac:dyDescent="0.25">
      <c r="B21" s="91" t="str">
        <f t="shared" si="0"/>
        <v>TER_TS_CK_GAS_N_AD</v>
      </c>
      <c r="C21" s="91" t="str">
        <f t="shared" si="1"/>
        <v>Services (Public) Cook Gas Advanced (N)</v>
      </c>
      <c r="D21" s="91" t="str">
        <f>Commodities!$D$197</f>
        <v>TERGASNAT</v>
      </c>
      <c r="E21" s="91" t="str">
        <f t="shared" si="5"/>
        <v>TER_TS_CK</v>
      </c>
      <c r="F21" s="130">
        <f t="shared" si="4"/>
        <v>2035</v>
      </c>
      <c r="G21" s="148">
        <v>2035</v>
      </c>
      <c r="H21" s="131"/>
      <c r="I21" s="92"/>
      <c r="J21" s="155">
        <f>(IFERROR(VLOOKUP(IF(LEN($B21)=18,RIGHT($B21,8),RIGHT($B21,10)),'DATA '!$B$55:$K$66,J$4,FALSE),""))*0.001</f>
        <v>0.46432055555555557</v>
      </c>
      <c r="K21" s="155">
        <f>(IFERROR(VLOOKUP(IF(LEN($B21)=18,RIGHT($B21,8),RIGHT($B21,10)),'DATA '!$B$55:$K$66,K$4,FALSE),""))*0.001</f>
        <v>1.1608013888888892E-2</v>
      </c>
      <c r="L21" s="131">
        <f>IFERROR(VLOOKUP(IF(LEN($B21)=18,RIGHT($B21,8),RIGHT($B21,10)),'DATA '!$B$55:$K$66,L$4,FALSE),"")</f>
        <v>0</v>
      </c>
      <c r="M21" s="92">
        <v>15</v>
      </c>
      <c r="N21" s="131"/>
      <c r="Q21" s="91"/>
      <c r="R21" s="91"/>
      <c r="S21" s="91" t="str">
        <f>Commodities!$AC$16&amp;"_"&amp;RIGHT(Commodities!$D$192,3)&amp;"_"&amp;$S$3&amp;"_ST"</f>
        <v>TER_TS_CK_LPG_N_ST</v>
      </c>
      <c r="T21" s="91" t="s">
        <v>1124</v>
      </c>
      <c r="U21" s="92" t="str">
        <f>General!$B$2</f>
        <v>PJ</v>
      </c>
      <c r="V21" s="92" t="str">
        <f>General!$D$18</f>
        <v>000s_Units</v>
      </c>
      <c r="W21" s="92"/>
      <c r="X21" s="92"/>
      <c r="Y21" s="91"/>
      <c r="AA21" s="78"/>
    </row>
    <row r="22" spans="2:27" ht="13.8" x14ac:dyDescent="0.25">
      <c r="B22" s="91" t="str">
        <f t="shared" si="0"/>
        <v>TER_TS_CK_LPG_N_ST</v>
      </c>
      <c r="C22" s="91" t="str">
        <f t="shared" si="1"/>
        <v>Services (Public) Cook LPG Standard (N)</v>
      </c>
      <c r="D22" s="91" t="str">
        <f>Commodities!$D$192</f>
        <v>TEROILLPG</v>
      </c>
      <c r="E22" s="91" t="str">
        <f t="shared" si="5"/>
        <v>TER_TS_CK</v>
      </c>
      <c r="F22" s="130">
        <f t="shared" si="4"/>
        <v>2018</v>
      </c>
      <c r="G22" s="148">
        <f>BASE_YEAR+1</f>
        <v>2018</v>
      </c>
      <c r="H22" s="131"/>
      <c r="I22" s="92"/>
      <c r="J22" s="155">
        <f>(IFERROR(VLOOKUP(IF(LEN($B22)=18,RIGHT($B22,8),RIGHT($B22,10)),'DATA '!$B$55:$K$66,J$4,FALSE),""))*0.001</f>
        <v>0.40555555555555561</v>
      </c>
      <c r="K22" s="155">
        <f>(IFERROR(VLOOKUP(IF(LEN($B22)=18,RIGHT($B22,8),RIGHT($B22,10)),'DATA '!$B$55:$K$66,K$4,FALSE),""))*0.001</f>
        <v>1.013888888888889E-2</v>
      </c>
      <c r="L22" s="131">
        <f>IFERROR(VLOOKUP(IF(LEN($B22)=18,RIGHT($B22,8),RIGHT($B22,10)),'DATA '!$B$55:$K$66,L$4,FALSE),"")</f>
        <v>0</v>
      </c>
      <c r="M22" s="92">
        <v>15</v>
      </c>
      <c r="N22" s="131"/>
      <c r="Q22" s="91"/>
      <c r="R22" s="91"/>
      <c r="S22" s="91" t="str">
        <f>Commodities!$AC$16&amp;"_"&amp;RIGHT(Commodities!$D$192,3)&amp;"_"&amp;$S$3&amp;"_IM"</f>
        <v>TER_TS_CK_LPG_N_IM</v>
      </c>
      <c r="T22" s="91" t="s">
        <v>1125</v>
      </c>
      <c r="U22" s="92" t="str">
        <f>General!$B$2</f>
        <v>PJ</v>
      </c>
      <c r="V22" s="92" t="str">
        <f>General!$D$18</f>
        <v>000s_Units</v>
      </c>
      <c r="W22" s="92"/>
      <c r="X22" s="92"/>
      <c r="Y22" s="91"/>
      <c r="AA22" s="78"/>
    </row>
    <row r="23" spans="2:27" ht="13.8" x14ac:dyDescent="0.25">
      <c r="B23" s="91" t="str">
        <f t="shared" si="0"/>
        <v>TER_TS_CK_LPG_N_IM</v>
      </c>
      <c r="C23" s="91" t="str">
        <f t="shared" si="1"/>
        <v>Services (Public) Cook LPG Improved (N)</v>
      </c>
      <c r="D23" s="91" t="str">
        <f>Commodities!$D$192</f>
        <v>TEROILLPG</v>
      </c>
      <c r="E23" s="91" t="str">
        <f t="shared" si="5"/>
        <v>TER_TS_CK</v>
      </c>
      <c r="F23" s="130">
        <f t="shared" si="4"/>
        <v>2025</v>
      </c>
      <c r="G23" s="148">
        <v>2025</v>
      </c>
      <c r="H23" s="131"/>
      <c r="I23" s="156"/>
      <c r="J23" s="155">
        <f>(IFERROR(VLOOKUP(IF(LEN($B23)=18,RIGHT($B23,8),RIGHT($B23,10)),'DATA '!$B$55:$K$66,J$4,FALSE),""))*0.001</f>
        <v>0.43394444444444447</v>
      </c>
      <c r="K23" s="155">
        <f>(IFERROR(VLOOKUP(IF(LEN($B23)=18,RIGHT($B23,8),RIGHT($B23,10)),'DATA '!$B$55:$K$66,K$4,FALSE),""))*0.001</f>
        <v>1.0848611111111111E-2</v>
      </c>
      <c r="L23" s="131">
        <f>IFERROR(VLOOKUP(IF(LEN($B23)=18,RIGHT($B23,8),RIGHT($B23,10)),'DATA '!$B$55:$K$66,L$4,FALSE),"")</f>
        <v>0</v>
      </c>
      <c r="M23" s="92">
        <v>15</v>
      </c>
      <c r="N23" s="131"/>
      <c r="Q23" s="91"/>
      <c r="R23" s="91"/>
      <c r="S23" s="91" t="str">
        <f>Commodities!$AC$16&amp;"_"&amp;RIGHT(Commodities!$D$192,3)&amp;"_"&amp;$S$3&amp;"_AD"</f>
        <v>TER_TS_CK_LPG_N_AD</v>
      </c>
      <c r="T23" s="91" t="s">
        <v>1126</v>
      </c>
      <c r="U23" s="92" t="str">
        <f>General!$B$2</f>
        <v>PJ</v>
      </c>
      <c r="V23" s="92" t="str">
        <f>General!$D$18</f>
        <v>000s_Units</v>
      </c>
      <c r="W23" s="92"/>
      <c r="X23" s="92"/>
      <c r="Y23" s="91"/>
      <c r="AA23" s="78"/>
    </row>
    <row r="24" spans="2:27" ht="13.8" x14ac:dyDescent="0.25">
      <c r="B24" s="91" t="str">
        <f t="shared" si="0"/>
        <v>TER_TS_CK_LPG_N_AD</v>
      </c>
      <c r="C24" s="91" t="str">
        <f t="shared" si="1"/>
        <v>Services (Public) Cook LPG Advanced (N)</v>
      </c>
      <c r="D24" s="91" t="str">
        <f>Commodities!$D$192</f>
        <v>TEROILLPG</v>
      </c>
      <c r="E24" s="91" t="str">
        <f t="shared" si="5"/>
        <v>TER_TS_CK</v>
      </c>
      <c r="F24" s="130">
        <f t="shared" si="4"/>
        <v>2035</v>
      </c>
      <c r="G24" s="148">
        <v>2035</v>
      </c>
      <c r="H24" s="131"/>
      <c r="I24" s="156"/>
      <c r="J24" s="155">
        <f>(IFERROR(VLOOKUP(IF(LEN($B24)=18,RIGHT($B24,8),RIGHT($B24,10)),'DATA '!$B$55:$K$66,J$4,FALSE),""))*0.001</f>
        <v>0.46432055555555557</v>
      </c>
      <c r="K24" s="155">
        <f>(IFERROR(VLOOKUP(IF(LEN($B24)=18,RIGHT($B24,8),RIGHT($B24,10)),'DATA '!$B$55:$K$66,K$4,FALSE),""))*0.001</f>
        <v>1.1608013888888892E-2</v>
      </c>
      <c r="L24" s="131">
        <f>IFERROR(VLOOKUP(IF(LEN($B24)=18,RIGHT($B24,8),RIGHT($B24,10)),'DATA '!$B$55:$K$66,L$4,FALSE),"")</f>
        <v>0</v>
      </c>
      <c r="M24" s="92">
        <v>15</v>
      </c>
      <c r="N24" s="131"/>
      <c r="Q24" s="91"/>
      <c r="R24" s="91"/>
      <c r="S24" s="91" t="str">
        <f>Commodities!$AC$16&amp;"_"&amp;RIGHT(Commodities!$D$340,3)&amp;"_"&amp;$S$3&amp;"_ST"</f>
        <v>TER_TS_CK_ELC_N_ST</v>
      </c>
      <c r="T24" s="91" t="s">
        <v>1127</v>
      </c>
      <c r="U24" s="92" t="str">
        <f>General!$B$2</f>
        <v>PJ</v>
      </c>
      <c r="V24" s="92" t="str">
        <f>General!$D$18</f>
        <v>000s_Units</v>
      </c>
      <c r="W24" s="92" t="s">
        <v>44</v>
      </c>
      <c r="X24" s="92"/>
      <c r="Y24" s="91"/>
      <c r="AA24" s="78"/>
    </row>
    <row r="25" spans="2:27" ht="13.8" x14ac:dyDescent="0.25">
      <c r="B25" s="91" t="str">
        <f t="shared" si="0"/>
        <v>TER_TS_CK_ELC_N_ST</v>
      </c>
      <c r="C25" s="91" t="str">
        <f t="shared" si="1"/>
        <v>Services (Public) Cook Electric Standard (N)</v>
      </c>
      <c r="D25" s="91" t="str">
        <f>Commodities!D$340</f>
        <v>TERELC</v>
      </c>
      <c r="E25" s="91" t="str">
        <f t="shared" si="5"/>
        <v>TER_TS_CK</v>
      </c>
      <c r="F25" s="130">
        <f t="shared" si="4"/>
        <v>2018</v>
      </c>
      <c r="G25" s="148">
        <f>BASE_YEAR+1</f>
        <v>2018</v>
      </c>
      <c r="H25" s="131"/>
      <c r="I25" s="156"/>
      <c r="J25" s="155">
        <f>(IFERROR(VLOOKUP(IF(LEN($B25)=18,RIGHT($B25,8),RIGHT($B25,10)),'DATA '!$B$55:$K$66,J$4,FALSE),""))*0.001</f>
        <v>0.42333333333333339</v>
      </c>
      <c r="K25" s="155">
        <f>(IFERROR(VLOOKUP(IF(LEN($B25)=18,RIGHT($B25,8),RIGHT($B25,10)),'DATA '!$B$55:$K$66,K$4,FALSE),""))*0.001</f>
        <v>3.175E-2</v>
      </c>
      <c r="L25" s="131">
        <f>IFERROR(VLOOKUP(IF(LEN($B25)=18,RIGHT($B25,8),RIGHT($B25,10)),'DATA '!$B$55:$K$66,L$4,FALSE),"")</f>
        <v>0</v>
      </c>
      <c r="M25" s="92">
        <v>15</v>
      </c>
      <c r="N25" s="131"/>
      <c r="Q25" s="91"/>
      <c r="R25" s="91"/>
      <c r="S25" s="91" t="str">
        <f>Commodities!$AC$16&amp;"_"&amp;RIGHT(Commodities!$D$340,3)&amp;"_"&amp;$S$3&amp;"_IM"</f>
        <v>TER_TS_CK_ELC_N_IM</v>
      </c>
      <c r="T25" s="91" t="s">
        <v>1128</v>
      </c>
      <c r="U25" s="92" t="str">
        <f>General!$B$2</f>
        <v>PJ</v>
      </c>
      <c r="V25" s="92" t="str">
        <f>General!$D$18</f>
        <v>000s_Units</v>
      </c>
      <c r="W25" s="92" t="s">
        <v>44</v>
      </c>
      <c r="X25" s="92"/>
      <c r="Y25" s="91"/>
      <c r="AA25" s="78"/>
    </row>
    <row r="26" spans="2:27" ht="13.8" x14ac:dyDescent="0.25">
      <c r="B26" s="91" t="str">
        <f t="shared" si="0"/>
        <v>TER_TS_CK_ELC_N_IM</v>
      </c>
      <c r="C26" s="91" t="str">
        <f t="shared" si="1"/>
        <v>Services (Public) Cook Electric Improved (N)</v>
      </c>
      <c r="D26" s="91" t="str">
        <f>Commodities!D$340</f>
        <v>TERELC</v>
      </c>
      <c r="E26" s="91" t="str">
        <f t="shared" si="5"/>
        <v>TER_TS_CK</v>
      </c>
      <c r="F26" s="130">
        <f t="shared" si="4"/>
        <v>2025</v>
      </c>
      <c r="G26" s="148">
        <v>2025</v>
      </c>
      <c r="H26" s="131"/>
      <c r="I26" s="156"/>
      <c r="J26" s="155">
        <f>(IFERROR(VLOOKUP(IF(LEN($B26)=18,RIGHT($B26,8),RIGHT($B26,10)),'DATA '!$B$55:$K$66,J$4,FALSE),""))*0.001</f>
        <v>0.45296666666666668</v>
      </c>
      <c r="K26" s="155">
        <f>(IFERROR(VLOOKUP(IF(LEN($B26)=18,RIGHT($B26,8),RIGHT($B26,10)),'DATA '!$B$55:$K$66,K$4,FALSE),""))*0.001</f>
        <v>3.3972500000000003E-2</v>
      </c>
      <c r="L26" s="131">
        <f>IFERROR(VLOOKUP(IF(LEN($B26)=18,RIGHT($B26,8),RIGHT($B26,10)),'DATA '!$B$55:$K$66,L$4,FALSE),"")</f>
        <v>0</v>
      </c>
      <c r="M26" s="92">
        <v>15</v>
      </c>
      <c r="N26" s="131"/>
      <c r="Q26" s="86"/>
      <c r="R26" s="86"/>
      <c r="S26" s="86" t="str">
        <f>Commodities!$AC$16&amp;"_"&amp;RIGHT(Commodities!$D$340,3)&amp;"_"&amp;$S$3&amp;"_AD"</f>
        <v>TER_TS_CK_ELC_N_AD</v>
      </c>
      <c r="T26" s="86" t="s">
        <v>1129</v>
      </c>
      <c r="U26" s="87" t="str">
        <f>General!$B$2</f>
        <v>PJ</v>
      </c>
      <c r="V26" s="87" t="str">
        <f>General!$D$18</f>
        <v>000s_Units</v>
      </c>
      <c r="W26" s="87" t="s">
        <v>44</v>
      </c>
      <c r="X26" s="87"/>
      <c r="Y26" s="86"/>
      <c r="AA26" s="78"/>
    </row>
    <row r="27" spans="2:27" ht="13.8" x14ac:dyDescent="0.25">
      <c r="B27" s="86" t="str">
        <f t="shared" si="0"/>
        <v>TER_TS_CK_ELC_N_AD</v>
      </c>
      <c r="C27" s="86" t="str">
        <f t="shared" si="1"/>
        <v>Services (Public) Cook Electric Advanced (N)</v>
      </c>
      <c r="D27" s="86" t="str">
        <f>Commodities!D$340</f>
        <v>TERELC</v>
      </c>
      <c r="E27" s="86" t="str">
        <f t="shared" si="5"/>
        <v>TER_TS_CK</v>
      </c>
      <c r="F27" s="133">
        <f t="shared" si="4"/>
        <v>2035</v>
      </c>
      <c r="G27" s="149">
        <v>2035</v>
      </c>
      <c r="H27" s="134"/>
      <c r="I27" s="157"/>
      <c r="J27" s="158">
        <f>(IFERROR(VLOOKUP(IF(LEN($B27)=18,RIGHT($B27,8),RIGHT($B27,10)),'DATA '!$B$55:$K$66,J$4,FALSE),""))*0.001</f>
        <v>0.48467433333333337</v>
      </c>
      <c r="K27" s="158">
        <f>(IFERROR(VLOOKUP(IF(LEN($B27)=18,RIGHT($B27,8),RIGHT($B27,10)),'DATA '!$B$55:$K$66,K$4,FALSE),""))*0.001</f>
        <v>3.635057500000001E-2</v>
      </c>
      <c r="L27" s="134">
        <f>IFERROR(VLOOKUP(IF(LEN($B27)=18,RIGHT($B27,8),RIGHT($B27,10)),'DATA '!$B$55:$K$66,L$4,FALSE),"")</f>
        <v>0</v>
      </c>
      <c r="M27" s="87">
        <v>15</v>
      </c>
      <c r="N27" s="134"/>
      <c r="Q27" s="91"/>
      <c r="R27" s="91"/>
      <c r="S27" s="78" t="str">
        <f>Commodities!$AC$19&amp;"_"&amp;$S$3&amp;"_ST"</f>
        <v>TER_TP_RF_N_ST</v>
      </c>
      <c r="T27" s="78" t="s">
        <v>1100</v>
      </c>
      <c r="U27" s="85" t="str">
        <f>General!$D$18</f>
        <v>000s_Units</v>
      </c>
      <c r="V27" s="85" t="str">
        <f>General!$D$18</f>
        <v>000s_Units</v>
      </c>
      <c r="W27" s="85" t="s">
        <v>44</v>
      </c>
      <c r="X27" s="92"/>
      <c r="Y27" s="91"/>
      <c r="AA27" s="78"/>
    </row>
    <row r="28" spans="2:27" ht="13.8" x14ac:dyDescent="0.25">
      <c r="O28" s="91"/>
      <c r="Q28" s="91"/>
      <c r="R28" s="91"/>
      <c r="S28" s="78" t="str">
        <f>Commodities!$AC$19&amp;"_"&amp;$S$3&amp;"_IM"</f>
        <v>TER_TP_RF_N_IM</v>
      </c>
      <c r="T28" s="78" t="s">
        <v>1101</v>
      </c>
      <c r="U28" s="85" t="str">
        <f>General!$D$18</f>
        <v>000s_Units</v>
      </c>
      <c r="V28" s="85" t="str">
        <f>General!$D$18</f>
        <v>000s_Units</v>
      </c>
      <c r="W28" s="85" t="s">
        <v>44</v>
      </c>
      <c r="X28" s="92"/>
      <c r="Y28" s="91"/>
      <c r="AA28" s="78"/>
    </row>
    <row r="29" spans="2:27" ht="13.8" x14ac:dyDescent="0.25">
      <c r="O29" s="91"/>
      <c r="Q29" s="86"/>
      <c r="R29" s="86"/>
      <c r="S29" s="86" t="str">
        <f>Commodities!$AC$19&amp;"_"&amp;$S$3&amp;"_AD"</f>
        <v>TER_TP_RF_N_AD</v>
      </c>
      <c r="T29" s="86" t="s">
        <v>1102</v>
      </c>
      <c r="U29" s="87" t="str">
        <f>General!$D$18</f>
        <v>000s_Units</v>
      </c>
      <c r="V29" s="87" t="str">
        <f>General!$D$18</f>
        <v>000s_Units</v>
      </c>
      <c r="W29" s="87" t="s">
        <v>44</v>
      </c>
      <c r="X29" s="87"/>
      <c r="Y29" s="86"/>
      <c r="Z29" s="78"/>
      <c r="AA29" s="78"/>
    </row>
    <row r="30" spans="2:27" ht="13.8" x14ac:dyDescent="0.25">
      <c r="O30" s="91"/>
      <c r="Q30" s="91"/>
      <c r="R30" s="91"/>
      <c r="S30" s="78" t="str">
        <f>Commodities!$AC$20&amp;"_"&amp;$S$3&amp;"_ST"</f>
        <v>TER_TS_RF_N_ST</v>
      </c>
      <c r="T30" s="78" t="s">
        <v>1130</v>
      </c>
      <c r="U30" s="85" t="str">
        <f>General!$D$18</f>
        <v>000s_Units</v>
      </c>
      <c r="V30" s="85" t="str">
        <f>General!$D$18</f>
        <v>000s_Units</v>
      </c>
      <c r="W30" s="85" t="s">
        <v>44</v>
      </c>
      <c r="X30" s="92"/>
      <c r="Y30" s="91"/>
      <c r="Z30" s="78"/>
      <c r="AA30" s="78"/>
    </row>
    <row r="31" spans="2:27" ht="13.8" x14ac:dyDescent="0.25">
      <c r="O31" s="91"/>
      <c r="Q31" s="91"/>
      <c r="R31" s="91"/>
      <c r="S31" s="78" t="str">
        <f>Commodities!$AC$20&amp;"_"&amp;$S$3&amp;"_IM"</f>
        <v>TER_TS_RF_N_IM</v>
      </c>
      <c r="T31" s="78" t="s">
        <v>1131</v>
      </c>
      <c r="U31" s="85" t="str">
        <f>General!$D$18</f>
        <v>000s_Units</v>
      </c>
      <c r="V31" s="85" t="str">
        <f>General!$D$18</f>
        <v>000s_Units</v>
      </c>
      <c r="W31" s="85" t="s">
        <v>44</v>
      </c>
      <c r="X31" s="92"/>
      <c r="Y31" s="91"/>
      <c r="AA31" s="78"/>
    </row>
    <row r="32" spans="2:27" ht="17.399999999999999" x14ac:dyDescent="0.3">
      <c r="B32" s="97" t="s">
        <v>759</v>
      </c>
      <c r="C32" s="97"/>
      <c r="D32" s="97"/>
      <c r="E32" s="97"/>
      <c r="F32" s="97"/>
      <c r="G32" s="97"/>
      <c r="H32" s="97"/>
      <c r="I32" s="85"/>
      <c r="J32" s="78"/>
      <c r="K32" s="78"/>
      <c r="L32" s="78"/>
      <c r="M32" s="78"/>
      <c r="N32" s="78"/>
      <c r="O32" s="91"/>
      <c r="Q32" s="86"/>
      <c r="R32" s="86"/>
      <c r="S32" s="86" t="str">
        <f>Commodities!$AC$20&amp;"_"&amp;$S$3&amp;"_AD"</f>
        <v>TER_TS_RF_N_AD</v>
      </c>
      <c r="T32" s="86" t="s">
        <v>1132</v>
      </c>
      <c r="U32" s="87" t="str">
        <f>General!$D$18</f>
        <v>000s_Units</v>
      </c>
      <c r="V32" s="87" t="str">
        <f>General!$D$18</f>
        <v>000s_Units</v>
      </c>
      <c r="W32" s="87" t="s">
        <v>44</v>
      </c>
      <c r="X32" s="87"/>
      <c r="Y32" s="86"/>
      <c r="AA32" s="78"/>
    </row>
    <row r="33" spans="1:27" ht="13.8" x14ac:dyDescent="0.25">
      <c r="B33" s="98"/>
      <c r="C33" s="78"/>
      <c r="D33" s="93"/>
      <c r="E33" s="93"/>
      <c r="F33" s="93"/>
      <c r="G33" s="93"/>
      <c r="H33" s="78"/>
      <c r="I33" s="92"/>
      <c r="J33" s="119"/>
      <c r="K33" s="119"/>
      <c r="L33" s="119"/>
      <c r="M33" s="99"/>
      <c r="N33" s="78"/>
      <c r="O33" s="91"/>
      <c r="Q33" s="91"/>
      <c r="R33" s="91"/>
      <c r="S33" s="91" t="str">
        <f>Commodities!$AC$17&amp;"_"&amp;$S$3&amp;"01"</f>
        <v>TER_TP_LI_N01</v>
      </c>
      <c r="T33" s="91" t="s">
        <v>1103</v>
      </c>
      <c r="U33" s="92" t="str">
        <f>General!$D$24</f>
        <v>000lamps</v>
      </c>
      <c r="V33" s="92" t="str">
        <f>General!$D$24</f>
        <v>000lamps</v>
      </c>
      <c r="W33" s="92" t="s">
        <v>44</v>
      </c>
      <c r="X33" s="92"/>
      <c r="Y33" s="91"/>
      <c r="AA33" s="78"/>
    </row>
    <row r="34" spans="1:27" ht="13.8" x14ac:dyDescent="0.25">
      <c r="B34" s="78"/>
      <c r="C34" s="78"/>
      <c r="D34" s="78"/>
      <c r="E34" s="120"/>
      <c r="F34" s="101" t="s">
        <v>0</v>
      </c>
      <c r="G34" s="101"/>
      <c r="H34" s="119"/>
      <c r="I34" s="85"/>
      <c r="J34" s="78"/>
      <c r="K34" s="78"/>
      <c r="L34" s="78"/>
      <c r="M34" s="78"/>
      <c r="N34" s="78"/>
      <c r="O34" s="91"/>
      <c r="Q34" s="91"/>
      <c r="R34" s="91"/>
      <c r="S34" s="91" t="str">
        <f>Commodities!$AC$17&amp;"_"&amp;$S$3&amp;"02"</f>
        <v>TER_TP_LI_N02</v>
      </c>
      <c r="T34" s="91" t="s">
        <v>1104</v>
      </c>
      <c r="U34" s="92" t="str">
        <f>General!$D$24</f>
        <v>000lamps</v>
      </c>
      <c r="V34" s="92" t="str">
        <f>General!$D$24</f>
        <v>000lamps</v>
      </c>
      <c r="W34" s="92" t="s">
        <v>44</v>
      </c>
      <c r="X34" s="92"/>
      <c r="Y34" s="91"/>
      <c r="AA34" s="78"/>
    </row>
    <row r="35" spans="1:27" ht="13.8" x14ac:dyDescent="0.25">
      <c r="B35" s="103" t="s">
        <v>1</v>
      </c>
      <c r="C35" s="103" t="s">
        <v>728</v>
      </c>
      <c r="D35" s="103" t="s">
        <v>3</v>
      </c>
      <c r="E35" s="103" t="s">
        <v>4</v>
      </c>
      <c r="F35" s="104" t="s">
        <v>739</v>
      </c>
      <c r="G35" s="140" t="s">
        <v>14</v>
      </c>
      <c r="H35" s="105" t="s">
        <v>757</v>
      </c>
      <c r="I35" s="105" t="s">
        <v>46</v>
      </c>
      <c r="J35" s="105" t="s">
        <v>36</v>
      </c>
      <c r="K35" s="105" t="s">
        <v>5</v>
      </c>
      <c r="L35" s="105" t="s">
        <v>34</v>
      </c>
      <c r="M35" s="105" t="s">
        <v>47</v>
      </c>
      <c r="N35" s="105" t="s">
        <v>48</v>
      </c>
      <c r="O35" s="91"/>
      <c r="Q35" s="91"/>
      <c r="R35" s="91"/>
      <c r="S35" s="91" t="str">
        <f>Commodities!$AC$17&amp;"_"&amp;$S$3&amp;"03"</f>
        <v>TER_TP_LI_N03</v>
      </c>
      <c r="T35" s="91" t="s">
        <v>1105</v>
      </c>
      <c r="U35" s="92" t="str">
        <f>General!$D$24</f>
        <v>000lamps</v>
      </c>
      <c r="V35" s="92" t="str">
        <f>General!$D$24</f>
        <v>000lamps</v>
      </c>
      <c r="W35" s="92" t="s">
        <v>44</v>
      </c>
      <c r="X35" s="92"/>
      <c r="Y35" s="91"/>
      <c r="AA35" s="78"/>
    </row>
    <row r="36" spans="1:27" ht="14.4" thickBot="1" x14ac:dyDescent="0.3">
      <c r="B36" s="106" t="s">
        <v>729</v>
      </c>
      <c r="C36" s="106" t="s">
        <v>28</v>
      </c>
      <c r="D36" s="106" t="s">
        <v>32</v>
      </c>
      <c r="E36" s="106" t="s">
        <v>33</v>
      </c>
      <c r="F36" s="107"/>
      <c r="G36" s="108" t="s">
        <v>35</v>
      </c>
      <c r="H36" s="106" t="s">
        <v>758</v>
      </c>
      <c r="I36" s="106" t="s">
        <v>744</v>
      </c>
      <c r="J36" s="108" t="s">
        <v>747</v>
      </c>
      <c r="K36" s="106" t="s">
        <v>37</v>
      </c>
      <c r="L36" s="106" t="s">
        <v>38</v>
      </c>
      <c r="M36" s="106" t="s">
        <v>716</v>
      </c>
      <c r="N36" s="106" t="s">
        <v>748</v>
      </c>
      <c r="O36" s="91"/>
      <c r="Q36" s="86"/>
      <c r="R36" s="86"/>
      <c r="S36" s="86" t="str">
        <f>Commodities!$AC$17&amp;"_"&amp;$S$3&amp;"04"</f>
        <v>TER_TP_LI_N04</v>
      </c>
      <c r="T36" s="86" t="s">
        <v>1106</v>
      </c>
      <c r="U36" s="87" t="str">
        <f>General!$D$24</f>
        <v>000lamps</v>
      </c>
      <c r="V36" s="87" t="str">
        <f>General!$D$24</f>
        <v>000lamps</v>
      </c>
      <c r="W36" s="87" t="s">
        <v>44</v>
      </c>
      <c r="X36" s="87"/>
      <c r="Y36" s="86"/>
      <c r="AA36" s="78"/>
    </row>
    <row r="37" spans="1:27" ht="18" customHeight="1" x14ac:dyDescent="0.25">
      <c r="B37" s="111"/>
      <c r="C37" s="112"/>
      <c r="D37" s="112"/>
      <c r="E37" s="112" t="s">
        <v>733</v>
      </c>
      <c r="F37" s="113"/>
      <c r="G37" s="112"/>
      <c r="H37" s="112" t="str">
        <f>General!$D$19</f>
        <v>TJ/unit</v>
      </c>
      <c r="I37" s="112" t="s">
        <v>749</v>
      </c>
      <c r="J37" s="112" t="str">
        <f>General!$D$27</f>
        <v>000$/unit</v>
      </c>
      <c r="K37" s="112" t="str">
        <f>General!$D$27</f>
        <v>000$/unit</v>
      </c>
      <c r="L37" s="112" t="str">
        <f>General!$D$15</f>
        <v>$/GJ</v>
      </c>
      <c r="M37" s="112" t="str">
        <f>General!$D$20</f>
        <v>Years</v>
      </c>
      <c r="N37" s="112"/>
      <c r="O37" s="91"/>
      <c r="Q37" s="91"/>
      <c r="R37" s="91"/>
      <c r="S37" s="91" t="str">
        <f>Commodities!$AC$18&amp;"_"&amp;$S$3&amp;"01"</f>
        <v>TER_TS_LI_N01</v>
      </c>
      <c r="T37" s="91" t="s">
        <v>1133</v>
      </c>
      <c r="U37" s="92" t="str">
        <f>General!$D$24</f>
        <v>000lamps</v>
      </c>
      <c r="V37" s="92" t="str">
        <f>General!$D$24</f>
        <v>000lamps</v>
      </c>
      <c r="W37" s="92" t="s">
        <v>44</v>
      </c>
      <c r="X37" s="92"/>
      <c r="Y37" s="91"/>
      <c r="AA37" s="78"/>
    </row>
    <row r="38" spans="1:27" ht="18" customHeight="1" x14ac:dyDescent="0.25">
      <c r="B38" s="89" t="str">
        <f t="shared" ref="B38:C43" si="6">S27</f>
        <v>TER_TP_RF_N_ST</v>
      </c>
      <c r="C38" s="89" t="str">
        <f t="shared" si="6"/>
        <v>Private (Commercial) Refrigerating Standard (Class A,B) (N)</v>
      </c>
      <c r="D38" s="89" t="str">
        <f>Commodities!$D$340</f>
        <v>TERELC</v>
      </c>
      <c r="E38" s="89" t="str">
        <f>Commodities!$AC$19</f>
        <v>TER_TP_RF</v>
      </c>
      <c r="F38" s="136">
        <f t="shared" ref="F38:F43" si="7">G38</f>
        <v>2018</v>
      </c>
      <c r="G38" s="90">
        <f>BASE_YEAR+1</f>
        <v>2018</v>
      </c>
      <c r="H38" s="147"/>
      <c r="I38" s="90"/>
      <c r="J38" s="159">
        <f>(IFERROR(VLOOKUP(IF(LEN($B38)=18,RIGHT($B38,8),RIGHT($B38,7)),'DATA '!$B$78:$K$80,J$4,FALSE),""))*0.001</f>
        <v>0.51</v>
      </c>
      <c r="K38" s="159">
        <f>(IFERROR(VLOOKUP(IF(LEN($B38)=18,RIGHT($B38,8),RIGHT($B38,7)),'DATA '!$B$78:$K$80,K$4,FALSE),""))*0.001</f>
        <v>1.2750000000000001E-2</v>
      </c>
      <c r="L38" s="159">
        <f>(IFERROR(VLOOKUP(IF(LEN($B38)=18,RIGHT($B38,8),RIGHT($B38,7)),'DATA '!$B$78:$K$80,L$4,FALSE),""))*0.001</f>
        <v>0</v>
      </c>
      <c r="M38" s="147">
        <v>15</v>
      </c>
      <c r="N38" s="147"/>
      <c r="O38" s="91"/>
      <c r="Q38" s="91"/>
      <c r="R38" s="91"/>
      <c r="S38" s="91" t="str">
        <f>Commodities!$AC$18&amp;"_"&amp;$S$3&amp;"02"</f>
        <v>TER_TS_LI_N02</v>
      </c>
      <c r="T38" s="91" t="s">
        <v>1134</v>
      </c>
      <c r="U38" s="92" t="str">
        <f>General!$D$24</f>
        <v>000lamps</v>
      </c>
      <c r="V38" s="92" t="str">
        <f>General!$D$24</f>
        <v>000lamps</v>
      </c>
      <c r="W38" s="92" t="s">
        <v>44</v>
      </c>
      <c r="X38" s="92"/>
      <c r="Y38" s="91"/>
      <c r="AA38" s="78"/>
    </row>
    <row r="39" spans="1:27" ht="18" customHeight="1" x14ac:dyDescent="0.25">
      <c r="B39" s="91" t="str">
        <f t="shared" si="6"/>
        <v>TER_TP_RF_N_IM</v>
      </c>
      <c r="C39" s="91" t="str">
        <f t="shared" si="6"/>
        <v>Private (Commercial) Refrigerating Improved (Class A+) (N)</v>
      </c>
      <c r="D39" s="91" t="str">
        <f>Commodities!$D$340</f>
        <v>TERELC</v>
      </c>
      <c r="E39" s="91" t="str">
        <f>E38</f>
        <v>TER_TP_RF</v>
      </c>
      <c r="F39" s="130">
        <f t="shared" si="7"/>
        <v>2025</v>
      </c>
      <c r="G39" s="92">
        <v>2025</v>
      </c>
      <c r="H39" s="131"/>
      <c r="I39" s="92"/>
      <c r="J39" s="160">
        <f>(J38*1.2)</f>
        <v>0.61199999999999999</v>
      </c>
      <c r="K39" s="160">
        <f>(K38*1.2)</f>
        <v>1.5300000000000001E-2</v>
      </c>
      <c r="L39" s="160">
        <f>(L38*1.2)*0.001</f>
        <v>0</v>
      </c>
      <c r="M39" s="131">
        <v>15</v>
      </c>
      <c r="N39" s="131"/>
      <c r="O39" s="91"/>
      <c r="Q39" s="91"/>
      <c r="R39" s="91"/>
      <c r="S39" s="91" t="str">
        <f>Commodities!$AC$18&amp;"_"&amp;$S$3&amp;"03"</f>
        <v>TER_TS_LI_N03</v>
      </c>
      <c r="T39" s="91" t="s">
        <v>1135</v>
      </c>
      <c r="U39" s="92" t="str">
        <f>General!$D$24</f>
        <v>000lamps</v>
      </c>
      <c r="V39" s="92" t="str">
        <f>General!$D$24</f>
        <v>000lamps</v>
      </c>
      <c r="W39" s="92" t="s">
        <v>44</v>
      </c>
      <c r="X39" s="92"/>
      <c r="Y39" s="91"/>
      <c r="AA39" s="78"/>
    </row>
    <row r="40" spans="1:27" ht="18" customHeight="1" x14ac:dyDescent="0.25">
      <c r="B40" s="86" t="str">
        <f t="shared" si="6"/>
        <v>TER_TP_RF_N_AD</v>
      </c>
      <c r="C40" s="86" t="str">
        <f t="shared" si="6"/>
        <v>Private (Commercial) Refrigerating Advanced (Class A++) (N)</v>
      </c>
      <c r="D40" s="86" t="str">
        <f>Commodities!$D$340</f>
        <v>TERELC</v>
      </c>
      <c r="E40" s="86" t="str">
        <f>E38</f>
        <v>TER_TP_RF</v>
      </c>
      <c r="F40" s="133">
        <f t="shared" si="7"/>
        <v>2035</v>
      </c>
      <c r="G40" s="87">
        <v>2035</v>
      </c>
      <c r="H40" s="134"/>
      <c r="I40" s="87"/>
      <c r="J40" s="161">
        <f>(J39*1.3)</f>
        <v>0.79559999999999997</v>
      </c>
      <c r="K40" s="161">
        <f>(K39*1.3)</f>
        <v>1.9890000000000001E-2</v>
      </c>
      <c r="L40" s="161">
        <f>(L39*1.3)*0.001</f>
        <v>0</v>
      </c>
      <c r="M40" s="134">
        <v>15</v>
      </c>
      <c r="N40" s="134"/>
      <c r="O40" s="91"/>
      <c r="Q40" s="86"/>
      <c r="R40" s="86"/>
      <c r="S40" s="86" t="str">
        <f>Commodities!$AC$18&amp;"_"&amp;$S$3&amp;"04"</f>
        <v>TER_TS_LI_N04</v>
      </c>
      <c r="T40" s="86" t="s">
        <v>1136</v>
      </c>
      <c r="U40" s="87" t="str">
        <f>General!$D$24</f>
        <v>000lamps</v>
      </c>
      <c r="V40" s="87" t="str">
        <f>General!$D$24</f>
        <v>000lamps</v>
      </c>
      <c r="W40" s="87" t="s">
        <v>44</v>
      </c>
      <c r="X40" s="87"/>
      <c r="Y40" s="86"/>
      <c r="AA40" s="78"/>
    </row>
    <row r="41" spans="1:27" ht="13.8" x14ac:dyDescent="0.25">
      <c r="B41" s="89" t="str">
        <f t="shared" si="6"/>
        <v>TER_TS_RF_N_ST</v>
      </c>
      <c r="C41" s="89" t="str">
        <f t="shared" si="6"/>
        <v>Services (Public) Refrigerating Standard (Class A,B) (N)</v>
      </c>
      <c r="D41" s="89" t="str">
        <f>Commodities!$D$340</f>
        <v>TERELC</v>
      </c>
      <c r="E41" s="89" t="str">
        <f>Commodities!$AC$20</f>
        <v>TER_TS_RF</v>
      </c>
      <c r="F41" s="136">
        <f t="shared" si="7"/>
        <v>2018</v>
      </c>
      <c r="G41" s="90">
        <f>BASE_YEAR+1</f>
        <v>2018</v>
      </c>
      <c r="H41" s="131"/>
      <c r="I41" s="90"/>
      <c r="J41" s="159">
        <f>(IFERROR(VLOOKUP(IF(LEN($B41)=18,RIGHT($B41,8),RIGHT($B41,7)),'DATA '!$B$78:$K$80,J$4,FALSE),""))*0.001</f>
        <v>0.51</v>
      </c>
      <c r="K41" s="159">
        <f>(IFERROR(VLOOKUP(IF(LEN($B41)=18,RIGHT($B41,8),RIGHT($B41,7)),'DATA '!$B$78:$K$80,K$4,FALSE),""))*0.001</f>
        <v>1.2750000000000001E-2</v>
      </c>
      <c r="L41" s="159">
        <f>(IFERROR(VLOOKUP(IF(LEN($B41)=18,RIGHT($B41,8),RIGHT($B41,7)),'DATA '!$B$78:$K$80,L$4,FALSE),""))*0.001</f>
        <v>0</v>
      </c>
      <c r="M41" s="147">
        <v>15</v>
      </c>
      <c r="N41" s="147"/>
      <c r="O41" s="91"/>
      <c r="Q41" s="78"/>
      <c r="R41" s="78"/>
      <c r="S41" s="91" t="str">
        <f>Commodities!$AC$21&amp;"_"&amp;$S$3&amp;"_ST"</f>
        <v>TER_TP_AP_N_ST</v>
      </c>
      <c r="T41" s="78" t="s">
        <v>1107</v>
      </c>
      <c r="U41" s="85" t="str">
        <f>General!$D$18</f>
        <v>000s_Units</v>
      </c>
      <c r="V41" s="85" t="str">
        <f>General!$D$18</f>
        <v>000s_Units</v>
      </c>
      <c r="W41" s="92" t="s">
        <v>44</v>
      </c>
      <c r="X41" s="85"/>
      <c r="Y41" s="85"/>
      <c r="AA41" s="78"/>
    </row>
    <row r="42" spans="1:27" ht="13.8" x14ac:dyDescent="0.25">
      <c r="B42" s="91" t="str">
        <f t="shared" si="6"/>
        <v>TER_TS_RF_N_IM</v>
      </c>
      <c r="C42" s="91" t="str">
        <f t="shared" si="6"/>
        <v>Services (Public) Refrigerating Improved (Class A+) (N)</v>
      </c>
      <c r="D42" s="91" t="str">
        <f>Commodities!$D$340</f>
        <v>TERELC</v>
      </c>
      <c r="E42" s="91" t="str">
        <f>E41</f>
        <v>TER_TS_RF</v>
      </c>
      <c r="F42" s="130">
        <f t="shared" si="7"/>
        <v>2025</v>
      </c>
      <c r="G42" s="92">
        <v>2025</v>
      </c>
      <c r="H42" s="131"/>
      <c r="I42" s="92"/>
      <c r="J42" s="160">
        <f>(J41*1.2)</f>
        <v>0.61199999999999999</v>
      </c>
      <c r="K42" s="160">
        <f>(K41*1.2)</f>
        <v>1.5300000000000001E-2</v>
      </c>
      <c r="L42" s="160">
        <f>(L41*1.2)*0.001</f>
        <v>0</v>
      </c>
      <c r="M42" s="131">
        <v>15</v>
      </c>
      <c r="N42" s="131"/>
      <c r="O42" s="91"/>
      <c r="Q42" s="78"/>
      <c r="R42" s="78"/>
      <c r="S42" s="91" t="str">
        <f>Commodities!$AC$21&amp;"_"&amp;$S$3&amp;"_IM"</f>
        <v>TER_TP_AP_N_IM</v>
      </c>
      <c r="T42" s="78" t="s">
        <v>1108</v>
      </c>
      <c r="U42" s="85" t="str">
        <f>General!$D$18</f>
        <v>000s_Units</v>
      </c>
      <c r="V42" s="85" t="str">
        <f>General!$D$18</f>
        <v>000s_Units</v>
      </c>
      <c r="W42" s="92" t="s">
        <v>44</v>
      </c>
      <c r="X42" s="85"/>
      <c r="Y42" s="85"/>
      <c r="AA42" s="78"/>
    </row>
    <row r="43" spans="1:27" ht="13.8" x14ac:dyDescent="0.25">
      <c r="B43" s="86" t="str">
        <f t="shared" si="6"/>
        <v>TER_TS_RF_N_AD</v>
      </c>
      <c r="C43" s="86" t="str">
        <f t="shared" si="6"/>
        <v>Services (Public) Refrigerating Advanced (Class A++) (N)</v>
      </c>
      <c r="D43" s="86" t="str">
        <f>Commodities!$D$340</f>
        <v>TERELC</v>
      </c>
      <c r="E43" s="86" t="str">
        <f>E41</f>
        <v>TER_TS_RF</v>
      </c>
      <c r="F43" s="133">
        <f t="shared" si="7"/>
        <v>2035</v>
      </c>
      <c r="G43" s="87">
        <v>2035</v>
      </c>
      <c r="H43" s="134"/>
      <c r="I43" s="87"/>
      <c r="J43" s="161">
        <f>(J42*1.3)</f>
        <v>0.79559999999999997</v>
      </c>
      <c r="K43" s="161">
        <f>(K42*1.3)</f>
        <v>1.9890000000000001E-2</v>
      </c>
      <c r="L43" s="161">
        <f>(L42*1.3)*0.001</f>
        <v>0</v>
      </c>
      <c r="M43" s="134">
        <v>15</v>
      </c>
      <c r="N43" s="134"/>
      <c r="Q43" s="86"/>
      <c r="R43" s="86"/>
      <c r="S43" s="86" t="str">
        <f>Commodities!$AC$21&amp;"_"&amp;$S$3&amp;"_AD"</f>
        <v>TER_TP_AP_N_AD</v>
      </c>
      <c r="T43" s="86" t="s">
        <v>1109</v>
      </c>
      <c r="U43" s="87" t="str">
        <f>General!$D$18</f>
        <v>000s_Units</v>
      </c>
      <c r="V43" s="87" t="str">
        <f>General!$D$18</f>
        <v>000s_Units</v>
      </c>
      <c r="W43" s="87" t="s">
        <v>44</v>
      </c>
      <c r="X43" s="87"/>
      <c r="Y43" s="87"/>
      <c r="AA43" s="78"/>
    </row>
    <row r="44" spans="1:27" ht="13.8" x14ac:dyDescent="0.25">
      <c r="B44" s="91"/>
      <c r="C44" s="91"/>
      <c r="D44" s="91"/>
      <c r="E44" s="91"/>
      <c r="F44" s="92"/>
      <c r="G44" s="92"/>
      <c r="H44" s="131"/>
      <c r="I44" s="92"/>
      <c r="J44" s="131"/>
      <c r="K44" s="92"/>
      <c r="L44" s="92"/>
      <c r="M44" s="131"/>
      <c r="N44" s="131"/>
      <c r="Q44" s="78"/>
      <c r="R44" s="78"/>
      <c r="S44" s="91" t="str">
        <f>Commodities!$AC$22&amp;"_"&amp;$S$3&amp;"_ST"</f>
        <v>TER_TS_AP_N_ST</v>
      </c>
      <c r="T44" s="78" t="s">
        <v>1137</v>
      </c>
      <c r="U44" s="85" t="str">
        <f>General!$D$18</f>
        <v>000s_Units</v>
      </c>
      <c r="V44" s="85" t="str">
        <f>General!$D$18</f>
        <v>000s_Units</v>
      </c>
      <c r="W44" s="92" t="s">
        <v>44</v>
      </c>
      <c r="X44" s="85"/>
      <c r="Y44" s="85"/>
      <c r="AA44" s="78"/>
    </row>
    <row r="45" spans="1:27" ht="13.8" x14ac:dyDescent="0.25">
      <c r="B45" s="91"/>
      <c r="C45" s="91"/>
      <c r="D45" s="91"/>
      <c r="E45" s="91"/>
      <c r="F45" s="92"/>
      <c r="G45" s="92"/>
      <c r="H45" s="131"/>
      <c r="I45" s="92"/>
      <c r="J45" s="131"/>
      <c r="K45" s="92"/>
      <c r="L45" s="92"/>
      <c r="M45" s="131"/>
      <c r="N45" s="131"/>
      <c r="Q45" s="78"/>
      <c r="R45" s="78"/>
      <c r="S45" s="91" t="str">
        <f>Commodities!$AC$22&amp;"_"&amp;$S$3&amp;"_IM"</f>
        <v>TER_TS_AP_N_IM</v>
      </c>
      <c r="T45" s="78" t="s">
        <v>1138</v>
      </c>
      <c r="U45" s="85" t="str">
        <f>General!$D$18</f>
        <v>000s_Units</v>
      </c>
      <c r="V45" s="85" t="str">
        <f>General!$D$18</f>
        <v>000s_Units</v>
      </c>
      <c r="W45" s="92" t="s">
        <v>44</v>
      </c>
      <c r="X45" s="85"/>
      <c r="Y45" s="85"/>
      <c r="AA45" s="78"/>
    </row>
    <row r="46" spans="1:27" ht="13.8" x14ac:dyDescent="0.25">
      <c r="B46" s="91"/>
      <c r="C46" s="91"/>
      <c r="D46" s="91"/>
      <c r="E46" s="91"/>
      <c r="F46" s="92"/>
      <c r="G46" s="92"/>
      <c r="H46" s="131"/>
      <c r="I46" s="92"/>
      <c r="J46" s="131"/>
      <c r="K46" s="92"/>
      <c r="L46" s="92"/>
      <c r="M46" s="131"/>
      <c r="N46" s="131"/>
      <c r="Q46" s="86"/>
      <c r="R46" s="86"/>
      <c r="S46" s="86" t="str">
        <f>Commodities!$AC$22&amp;"_"&amp;$S$3&amp;"_AD"</f>
        <v>TER_TS_AP_N_AD</v>
      </c>
      <c r="T46" s="86" t="s">
        <v>1139</v>
      </c>
      <c r="U46" s="87" t="str">
        <f>General!$D$18</f>
        <v>000s_Units</v>
      </c>
      <c r="V46" s="87" t="str">
        <f>General!$D$18</f>
        <v>000s_Units</v>
      </c>
      <c r="W46" s="87" t="s">
        <v>44</v>
      </c>
      <c r="X46" s="87"/>
      <c r="Y46" s="87"/>
      <c r="AA46" s="78"/>
    </row>
    <row r="47" spans="1:27" ht="13.8" x14ac:dyDescent="0.25">
      <c r="B47" s="91"/>
      <c r="C47" s="91"/>
      <c r="D47" s="91"/>
      <c r="E47" s="91"/>
      <c r="F47" s="92"/>
      <c r="G47" s="92"/>
      <c r="H47" s="131"/>
      <c r="I47" s="92"/>
      <c r="J47" s="131"/>
      <c r="K47" s="92"/>
      <c r="L47" s="92"/>
      <c r="M47" s="131"/>
      <c r="N47" s="131"/>
      <c r="Q47" s="78"/>
      <c r="R47" s="78"/>
      <c r="S47" s="91" t="str">
        <f>Commodities!$AC$8&amp;"_LI_"&amp;$S$3&amp;"_ST01"</f>
        <v>TER_SL_LI_N_ST01</v>
      </c>
      <c r="T47" s="78" t="s">
        <v>882</v>
      </c>
      <c r="U47" s="85" t="str">
        <f>General!$D$24</f>
        <v>000lamps</v>
      </c>
      <c r="V47" s="85" t="str">
        <f>General!$D$24</f>
        <v>000lamps</v>
      </c>
      <c r="W47" s="92" t="s">
        <v>44</v>
      </c>
      <c r="X47" s="85"/>
      <c r="Y47" s="85"/>
      <c r="AA47" s="78"/>
    </row>
    <row r="48" spans="1:27" s="78" customFormat="1" ht="13.8" x14ac:dyDescent="0.25">
      <c r="A48" s="117"/>
      <c r="B48" s="91"/>
      <c r="C48" s="91"/>
      <c r="D48" s="91"/>
      <c r="E48" s="91"/>
      <c r="F48" s="92"/>
      <c r="G48" s="92"/>
      <c r="H48" s="131"/>
      <c r="I48" s="92"/>
      <c r="J48" s="131"/>
      <c r="K48" s="92"/>
      <c r="L48" s="92"/>
      <c r="M48" s="131"/>
      <c r="N48" s="131"/>
      <c r="O48" s="117"/>
      <c r="P48" s="117"/>
      <c r="S48" s="91" t="str">
        <f>Commodities!$AC$8&amp;"_LI_"&amp;$S$3&amp;"_ST02"</f>
        <v>TER_SL_LI_N_ST02</v>
      </c>
      <c r="T48" s="78" t="s">
        <v>883</v>
      </c>
      <c r="U48" s="85" t="str">
        <f>General!$D$24</f>
        <v>000lamps</v>
      </c>
      <c r="V48" s="85" t="str">
        <f>General!$D$24</f>
        <v>000lamps</v>
      </c>
      <c r="W48" s="92" t="s">
        <v>44</v>
      </c>
      <c r="X48" s="85"/>
      <c r="Y48" s="85"/>
      <c r="Z48" s="117"/>
    </row>
    <row r="49" spans="1:27" s="78" customFormat="1" ht="13.8" x14ac:dyDescent="0.25">
      <c r="A49" s="117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17"/>
      <c r="P49" s="117"/>
      <c r="S49" s="91" t="str">
        <f>Commodities!$AC$8&amp;"_LI_"&amp;$S$3&amp;"_IM"</f>
        <v>TER_SL_LI_N_IM</v>
      </c>
      <c r="T49" s="78" t="s">
        <v>884</v>
      </c>
      <c r="U49" s="85" t="str">
        <f>General!$D$24</f>
        <v>000lamps</v>
      </c>
      <c r="V49" s="85" t="str">
        <f>General!$D$24</f>
        <v>000lamps</v>
      </c>
      <c r="W49" s="92" t="s">
        <v>44</v>
      </c>
      <c r="X49" s="85"/>
      <c r="Y49" s="87"/>
      <c r="Z49" s="117"/>
    </row>
    <row r="50" spans="1:27" s="78" customFormat="1" ht="13.8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86"/>
      <c r="R50" s="86"/>
      <c r="S50" s="86" t="str">
        <f>Commodities!$AC$8&amp;"_LI_"&amp;$S$3&amp;"_AD"</f>
        <v>TER_SL_LI_N_AD</v>
      </c>
      <c r="T50" s="86" t="s">
        <v>885</v>
      </c>
      <c r="U50" s="87" t="str">
        <f>General!$D$24</f>
        <v>000lamps</v>
      </c>
      <c r="V50" s="87" t="str">
        <f>General!$D$24</f>
        <v>000lamps</v>
      </c>
      <c r="W50" s="87" t="s">
        <v>44</v>
      </c>
      <c r="X50" s="87"/>
      <c r="Y50" s="117"/>
      <c r="Z50" s="117"/>
    </row>
    <row r="51" spans="1:27" s="78" customFormat="1" ht="17.399999999999999" x14ac:dyDescent="0.3">
      <c r="A51" s="117"/>
      <c r="B51" s="97" t="s">
        <v>760</v>
      </c>
      <c r="C51" s="97"/>
      <c r="D51" s="97"/>
      <c r="E51" s="97"/>
      <c r="F51" s="97"/>
      <c r="G51" s="97"/>
      <c r="H51" s="97"/>
      <c r="I51" s="85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7" s="78" customFormat="1" ht="18" customHeight="1" x14ac:dyDescent="0.25">
      <c r="A52" s="117"/>
      <c r="B52" s="98"/>
      <c r="D52" s="93"/>
      <c r="E52" s="93"/>
      <c r="F52" s="93"/>
      <c r="G52" s="93"/>
      <c r="I52" s="92"/>
      <c r="J52" s="119"/>
      <c r="K52" s="119"/>
      <c r="L52" s="119"/>
      <c r="M52" s="99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7" s="78" customFormat="1" ht="22.5" customHeight="1" x14ac:dyDescent="0.25">
      <c r="A53" s="117"/>
      <c r="E53" s="120"/>
      <c r="F53" s="101" t="s">
        <v>0</v>
      </c>
      <c r="G53" s="101"/>
      <c r="H53" s="119"/>
      <c r="I53" s="85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7" s="78" customFormat="1" ht="17.25" customHeight="1" x14ac:dyDescent="0.25">
      <c r="A54" s="117"/>
      <c r="B54" s="103" t="s">
        <v>1</v>
      </c>
      <c r="C54" s="103" t="s">
        <v>728</v>
      </c>
      <c r="D54" s="103" t="s">
        <v>3</v>
      </c>
      <c r="E54" s="103" t="s">
        <v>4</v>
      </c>
      <c r="F54" s="104" t="s">
        <v>739</v>
      </c>
      <c r="G54" s="140" t="s">
        <v>14</v>
      </c>
      <c r="H54" s="105" t="s">
        <v>757</v>
      </c>
      <c r="I54" s="105" t="s">
        <v>46</v>
      </c>
      <c r="J54" s="105" t="s">
        <v>36</v>
      </c>
      <c r="K54" s="105" t="s">
        <v>5</v>
      </c>
      <c r="L54" s="105" t="s">
        <v>34</v>
      </c>
      <c r="M54" s="105" t="s">
        <v>47</v>
      </c>
      <c r="N54" s="105" t="s">
        <v>48</v>
      </c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7" s="78" customFormat="1" ht="14.4" thickBot="1" x14ac:dyDescent="0.3">
      <c r="A55" s="117"/>
      <c r="B55" s="106" t="s">
        <v>729</v>
      </c>
      <c r="C55" s="106" t="s">
        <v>28</v>
      </c>
      <c r="D55" s="106" t="s">
        <v>32</v>
      </c>
      <c r="E55" s="106" t="s">
        <v>33</v>
      </c>
      <c r="F55" s="107"/>
      <c r="G55" s="108" t="s">
        <v>35</v>
      </c>
      <c r="H55" s="106" t="s">
        <v>758</v>
      </c>
      <c r="I55" s="106" t="s">
        <v>744</v>
      </c>
      <c r="J55" s="108" t="s">
        <v>747</v>
      </c>
      <c r="K55" s="106" t="s">
        <v>37</v>
      </c>
      <c r="L55" s="106" t="s">
        <v>38</v>
      </c>
      <c r="M55" s="106" t="s">
        <v>716</v>
      </c>
      <c r="N55" s="106" t="s">
        <v>748</v>
      </c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</row>
    <row r="56" spans="1:27" s="78" customFormat="1" ht="13.8" x14ac:dyDescent="0.25">
      <c r="A56" s="117"/>
      <c r="B56" s="111"/>
      <c r="C56" s="112"/>
      <c r="D56" s="112"/>
      <c r="E56" s="112" t="s">
        <v>733</v>
      </c>
      <c r="F56" s="113"/>
      <c r="G56" s="112"/>
      <c r="H56" s="112" t="str">
        <f>General!$D$19</f>
        <v>TJ/unit</v>
      </c>
      <c r="I56" s="112" t="s">
        <v>749</v>
      </c>
      <c r="J56" s="112" t="str">
        <f>General!$D$27</f>
        <v>000$/unit</v>
      </c>
      <c r="K56" s="112" t="str">
        <f>General!$D$27</f>
        <v>000$/unit</v>
      </c>
      <c r="L56" s="112" t="str">
        <f>General!$D$15</f>
        <v>$/GJ</v>
      </c>
      <c r="M56" s="112" t="str">
        <f>General!$D$20</f>
        <v>Years</v>
      </c>
      <c r="N56" s="112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</row>
    <row r="57" spans="1:27" s="78" customFormat="1" ht="13.8" x14ac:dyDescent="0.25">
      <c r="A57" s="117"/>
      <c r="B57" s="91" t="str">
        <f>S33</f>
        <v>TER_TP_LI_N01</v>
      </c>
      <c r="C57" s="91" t="str">
        <f>T33</f>
        <v>Private (Commercial) Light Standard  (N)</v>
      </c>
      <c r="D57" s="91" t="str">
        <f>Commodities!$D$340</f>
        <v>TERELC</v>
      </c>
      <c r="E57" s="91" t="str">
        <f>Commodities!$AC$17</f>
        <v>TER_TP_LI</v>
      </c>
      <c r="F57" s="130">
        <f t="shared" ref="F57:F64" si="8">G57</f>
        <v>2018</v>
      </c>
      <c r="G57" s="92">
        <f t="shared" ref="G57:G64" si="9">BASE_YEAR+1</f>
        <v>2018</v>
      </c>
      <c r="H57" s="131">
        <f>1/1.15</f>
        <v>0.86956521739130443</v>
      </c>
      <c r="I57" s="92">
        <v>1</v>
      </c>
      <c r="J57" s="162">
        <f>2.3*(1/0.9)/1000</f>
        <v>2.5555555555555553E-3</v>
      </c>
      <c r="K57" s="162"/>
      <c r="L57" s="131"/>
      <c r="M57" s="163">
        <v>2</v>
      </c>
      <c r="N57" s="14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</row>
    <row r="58" spans="1:27" s="78" customFormat="1" ht="13.8" x14ac:dyDescent="0.25">
      <c r="A58" s="117"/>
      <c r="B58" s="91" t="str">
        <f t="shared" ref="B58:C60" si="10">S34</f>
        <v>TER_TP_LI_N02</v>
      </c>
      <c r="C58" s="91" t="str">
        <f t="shared" si="10"/>
        <v>Private (Commercial) Light Fluorescent  (N)</v>
      </c>
      <c r="D58" s="91" t="str">
        <f>Commodities!$D$340</f>
        <v>TERELC</v>
      </c>
      <c r="E58" s="91" t="str">
        <f>E57</f>
        <v>TER_TP_LI</v>
      </c>
      <c r="F58" s="130">
        <f t="shared" si="8"/>
        <v>2018</v>
      </c>
      <c r="G58" s="92">
        <f t="shared" si="9"/>
        <v>2018</v>
      </c>
      <c r="H58" s="131">
        <f>1/4.5</f>
        <v>0.22222222222222221</v>
      </c>
      <c r="I58" s="92">
        <v>1</v>
      </c>
      <c r="J58" s="162">
        <f>10*(1/0.9)/1000</f>
        <v>1.1111111111111112E-2</v>
      </c>
      <c r="K58" s="162"/>
      <c r="L58" s="131"/>
      <c r="M58" s="163">
        <v>8</v>
      </c>
      <c r="N58" s="131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</row>
    <row r="59" spans="1:27" s="78" customFormat="1" ht="13.8" x14ac:dyDescent="0.25">
      <c r="A59" s="117"/>
      <c r="B59" s="91" t="str">
        <f t="shared" si="10"/>
        <v>TER_TP_LI_N03</v>
      </c>
      <c r="C59" s="91" t="str">
        <f t="shared" si="10"/>
        <v>Private (Commercial) Light LED  (N)</v>
      </c>
      <c r="D59" s="91" t="str">
        <f>Commodities!$D$340</f>
        <v>TERELC</v>
      </c>
      <c r="E59" s="91" t="str">
        <f>E57</f>
        <v>TER_TP_LI</v>
      </c>
      <c r="F59" s="130">
        <f t="shared" si="8"/>
        <v>2025</v>
      </c>
      <c r="G59" s="92">
        <v>2025</v>
      </c>
      <c r="H59" s="131">
        <f>1/7</f>
        <v>0.14285714285714285</v>
      </c>
      <c r="I59" s="92">
        <v>1</v>
      </c>
      <c r="J59" s="162">
        <f>20*(1/0.9)/1000</f>
        <v>2.2222222222222223E-2</v>
      </c>
      <c r="K59" s="162"/>
      <c r="L59" s="131"/>
      <c r="M59" s="163">
        <v>12</v>
      </c>
      <c r="N59" s="131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</row>
    <row r="60" spans="1:27" ht="13.8" x14ac:dyDescent="0.25">
      <c r="B60" s="86" t="str">
        <f t="shared" si="10"/>
        <v>TER_TP_LI_N04</v>
      </c>
      <c r="C60" s="86" t="str">
        <f t="shared" si="10"/>
        <v>Private (Commercial) Light Halogen  (N)</v>
      </c>
      <c r="D60" s="86" t="str">
        <f>Commodities!$D$340</f>
        <v>TERELC</v>
      </c>
      <c r="E60" s="86" t="str">
        <f>E57</f>
        <v>TER_TP_LI</v>
      </c>
      <c r="F60" s="133">
        <f t="shared" si="8"/>
        <v>2018</v>
      </c>
      <c r="G60" s="87">
        <f t="shared" si="9"/>
        <v>2018</v>
      </c>
      <c r="H60" s="134">
        <f>1/2</f>
        <v>0.5</v>
      </c>
      <c r="I60" s="87">
        <v>1</v>
      </c>
      <c r="J60" s="164">
        <f>6.5*(1/0.9)/1000</f>
        <v>7.2222222222222219E-3</v>
      </c>
      <c r="K60" s="164"/>
      <c r="L60" s="134"/>
      <c r="M60" s="134">
        <v>5</v>
      </c>
      <c r="N60" s="134"/>
    </row>
    <row r="61" spans="1:27" ht="13.8" x14ac:dyDescent="0.25">
      <c r="B61" s="91" t="str">
        <f t="shared" ref="B61:B64" si="11">S37</f>
        <v>TER_TS_LI_N01</v>
      </c>
      <c r="C61" s="91" t="str">
        <f t="shared" ref="C61:C64" si="12">T37</f>
        <v>Services (Public) Light Standard  (N)</v>
      </c>
      <c r="D61" s="91" t="str">
        <f>Commodities!$D$340</f>
        <v>TERELC</v>
      </c>
      <c r="E61" s="91" t="str">
        <f>Commodities!$AC$18</f>
        <v>TER_TS_LI</v>
      </c>
      <c r="F61" s="130">
        <f t="shared" si="8"/>
        <v>2018</v>
      </c>
      <c r="G61" s="92">
        <f t="shared" si="9"/>
        <v>2018</v>
      </c>
      <c r="H61" s="131">
        <f>1/1.15</f>
        <v>0.86956521739130443</v>
      </c>
      <c r="I61" s="92">
        <v>1</v>
      </c>
      <c r="J61" s="162">
        <f>2.3*(1/0.9)/1000</f>
        <v>2.5555555555555553E-3</v>
      </c>
      <c r="K61" s="162"/>
      <c r="L61" s="131"/>
      <c r="M61" s="163">
        <v>2</v>
      </c>
      <c r="N61" s="131"/>
    </row>
    <row r="62" spans="1:27" ht="13.8" x14ac:dyDescent="0.25">
      <c r="B62" s="91" t="str">
        <f t="shared" si="11"/>
        <v>TER_TS_LI_N02</v>
      </c>
      <c r="C62" s="91" t="str">
        <f t="shared" si="12"/>
        <v>Services (Public) Light Fluorescent  (N)</v>
      </c>
      <c r="D62" s="91" t="str">
        <f>Commodities!$D$340</f>
        <v>TERELC</v>
      </c>
      <c r="E62" s="91" t="str">
        <f>E61</f>
        <v>TER_TS_LI</v>
      </c>
      <c r="F62" s="130">
        <f t="shared" si="8"/>
        <v>2018</v>
      </c>
      <c r="G62" s="92">
        <f t="shared" si="9"/>
        <v>2018</v>
      </c>
      <c r="H62" s="131">
        <f>1/4.5</f>
        <v>0.22222222222222221</v>
      </c>
      <c r="I62" s="92">
        <v>1</v>
      </c>
      <c r="J62" s="162">
        <f>10*(1/0.9)/1000</f>
        <v>1.1111111111111112E-2</v>
      </c>
      <c r="K62" s="162"/>
      <c r="L62" s="131"/>
      <c r="M62" s="163">
        <v>8</v>
      </c>
      <c r="N62" s="131"/>
    </row>
    <row r="63" spans="1:27" ht="13.8" x14ac:dyDescent="0.25">
      <c r="B63" s="91" t="str">
        <f t="shared" si="11"/>
        <v>TER_TS_LI_N03</v>
      </c>
      <c r="C63" s="91" t="str">
        <f t="shared" si="12"/>
        <v>Services (Public) Light LED  (N)</v>
      </c>
      <c r="D63" s="91" t="str">
        <f>Commodities!$D$340</f>
        <v>TERELC</v>
      </c>
      <c r="E63" s="91" t="str">
        <f>E61</f>
        <v>TER_TS_LI</v>
      </c>
      <c r="F63" s="130">
        <f t="shared" si="8"/>
        <v>2025</v>
      </c>
      <c r="G63" s="92">
        <v>2025</v>
      </c>
      <c r="H63" s="131">
        <f>1/7</f>
        <v>0.14285714285714285</v>
      </c>
      <c r="I63" s="92">
        <v>1</v>
      </c>
      <c r="J63" s="162">
        <f>20*(1/0.9)/1000</f>
        <v>2.2222222222222223E-2</v>
      </c>
      <c r="K63" s="162"/>
      <c r="L63" s="131"/>
      <c r="M63" s="163">
        <v>12</v>
      </c>
      <c r="N63" s="131"/>
    </row>
    <row r="64" spans="1:27" ht="13.8" x14ac:dyDescent="0.25">
      <c r="B64" s="86" t="str">
        <f t="shared" si="11"/>
        <v>TER_TS_LI_N04</v>
      </c>
      <c r="C64" s="86" t="str">
        <f t="shared" si="12"/>
        <v>Services (Public) Light Halogen  (N)</v>
      </c>
      <c r="D64" s="86" t="str">
        <f>Commodities!$D$340</f>
        <v>TERELC</v>
      </c>
      <c r="E64" s="86" t="str">
        <f>E61</f>
        <v>TER_TS_LI</v>
      </c>
      <c r="F64" s="133">
        <f t="shared" si="8"/>
        <v>2018</v>
      </c>
      <c r="G64" s="87">
        <f t="shared" si="9"/>
        <v>2018</v>
      </c>
      <c r="H64" s="134">
        <f>1/2</f>
        <v>0.5</v>
      </c>
      <c r="I64" s="87">
        <v>1</v>
      </c>
      <c r="J64" s="164">
        <f>6.5*(1/0.9)/1000</f>
        <v>7.2222222222222219E-3</v>
      </c>
      <c r="K64" s="164"/>
      <c r="L64" s="134"/>
      <c r="M64" s="134">
        <v>5</v>
      </c>
      <c r="N64" s="134"/>
    </row>
    <row r="67" spans="2:15" ht="17.399999999999999" x14ac:dyDescent="0.3">
      <c r="B67" s="97" t="s">
        <v>761</v>
      </c>
      <c r="C67" s="97"/>
      <c r="D67" s="97"/>
      <c r="E67" s="97"/>
      <c r="F67" s="97"/>
      <c r="G67" s="97"/>
      <c r="H67" s="97"/>
      <c r="I67" s="85"/>
      <c r="J67" s="78"/>
      <c r="K67" s="78"/>
      <c r="L67" s="78"/>
      <c r="M67" s="78"/>
      <c r="N67" s="78"/>
    </row>
    <row r="68" spans="2:15" ht="13.8" x14ac:dyDescent="0.25">
      <c r="B68" s="98"/>
      <c r="C68" s="78"/>
      <c r="D68" s="93"/>
      <c r="E68" s="93"/>
      <c r="F68" s="93"/>
      <c r="G68" s="93"/>
      <c r="H68" s="78"/>
      <c r="I68" s="92"/>
      <c r="J68" s="119"/>
      <c r="K68" s="119"/>
      <c r="L68" s="119"/>
      <c r="M68" s="99"/>
      <c r="N68" s="78"/>
    </row>
    <row r="69" spans="2:15" ht="13.8" x14ac:dyDescent="0.25">
      <c r="B69" s="78"/>
      <c r="C69" s="78"/>
      <c r="D69" s="78"/>
      <c r="E69" s="120"/>
      <c r="F69" s="101" t="s">
        <v>0</v>
      </c>
      <c r="G69" s="101"/>
      <c r="H69" s="119"/>
      <c r="I69" s="85"/>
      <c r="J69" s="78"/>
      <c r="K69" s="78"/>
      <c r="L69" s="78"/>
      <c r="M69" s="78"/>
      <c r="N69" s="78"/>
    </row>
    <row r="70" spans="2:15" ht="13.8" x14ac:dyDescent="0.25">
      <c r="B70" s="103" t="s">
        <v>1</v>
      </c>
      <c r="C70" s="103" t="s">
        <v>728</v>
      </c>
      <c r="D70" s="103" t="s">
        <v>3</v>
      </c>
      <c r="E70" s="103" t="s">
        <v>4</v>
      </c>
      <c r="F70" s="104" t="s">
        <v>739</v>
      </c>
      <c r="G70" s="140" t="s">
        <v>14</v>
      </c>
      <c r="H70" s="105" t="s">
        <v>757</v>
      </c>
      <c r="I70" s="105" t="s">
        <v>46</v>
      </c>
      <c r="J70" s="105" t="s">
        <v>36</v>
      </c>
      <c r="K70" s="105" t="s">
        <v>5</v>
      </c>
      <c r="L70" s="105" t="s">
        <v>34</v>
      </c>
      <c r="M70" s="105" t="s">
        <v>47</v>
      </c>
      <c r="N70" s="105" t="s">
        <v>48</v>
      </c>
    </row>
    <row r="71" spans="2:15" ht="14.4" thickBot="1" x14ac:dyDescent="0.3">
      <c r="B71" s="106" t="s">
        <v>729</v>
      </c>
      <c r="C71" s="106" t="s">
        <v>28</v>
      </c>
      <c r="D71" s="106" t="s">
        <v>32</v>
      </c>
      <c r="E71" s="106" t="s">
        <v>33</v>
      </c>
      <c r="F71" s="107"/>
      <c r="G71" s="108" t="s">
        <v>35</v>
      </c>
      <c r="H71" s="106" t="s">
        <v>758</v>
      </c>
      <c r="I71" s="106" t="s">
        <v>744</v>
      </c>
      <c r="J71" s="108" t="s">
        <v>747</v>
      </c>
      <c r="K71" s="106" t="s">
        <v>37</v>
      </c>
      <c r="L71" s="106" t="s">
        <v>38</v>
      </c>
      <c r="M71" s="106" t="s">
        <v>716</v>
      </c>
      <c r="N71" s="106" t="s">
        <v>748</v>
      </c>
    </row>
    <row r="72" spans="2:15" ht="13.8" x14ac:dyDescent="0.25">
      <c r="B72" s="111"/>
      <c r="C72" s="112"/>
      <c r="D72" s="112"/>
      <c r="E72" s="112" t="s">
        <v>733</v>
      </c>
      <c r="F72" s="113"/>
      <c r="G72" s="112"/>
      <c r="H72" s="112" t="str">
        <f>General!$D$19</f>
        <v>TJ/unit</v>
      </c>
      <c r="I72" s="112" t="s">
        <v>749</v>
      </c>
      <c r="J72" s="112" t="str">
        <f>General!$D$27</f>
        <v>000$/unit</v>
      </c>
      <c r="K72" s="112" t="str">
        <f>General!$D$27</f>
        <v>000$/unit</v>
      </c>
      <c r="L72" s="112" t="str">
        <f>General!$D$15</f>
        <v>$/GJ</v>
      </c>
      <c r="M72" s="112" t="str">
        <f>General!$D$21</f>
        <v>PJ/year</v>
      </c>
      <c r="N72" s="112"/>
    </row>
    <row r="73" spans="2:15" ht="13.8" x14ac:dyDescent="0.25">
      <c r="B73" s="91" t="str">
        <f t="shared" ref="B73:B78" si="13">S41</f>
        <v>TER_TP_AP_N_ST</v>
      </c>
      <c r="C73" s="91" t="str">
        <f t="shared" ref="C73:C78" si="14">T41</f>
        <v>Private (Commercial) Other Appliances Standard (N)</v>
      </c>
      <c r="D73" s="91" t="str">
        <f>Commodities!$D$340</f>
        <v>TERELC</v>
      </c>
      <c r="E73" s="91" t="str">
        <f>Commodities!$AC$21</f>
        <v>TER_TP_AP</v>
      </c>
      <c r="F73" s="130">
        <f t="shared" ref="F73:F78" si="15">G73</f>
        <v>2018</v>
      </c>
      <c r="G73" s="92">
        <f>BASE_YEAR+1</f>
        <v>2018</v>
      </c>
      <c r="H73" s="131"/>
      <c r="I73" s="92"/>
      <c r="J73" s="162">
        <f>(IFERROR(VLOOKUP(RIGHT($B73,7),'DATA '!$B$85:$K$88,J$4,FALSE),""))*0.001</f>
        <v>0.1357734207749626</v>
      </c>
      <c r="K73" s="162">
        <f>(IFERROR(VLOOKUP(RIGHT($B73,7),'DATA '!$B$85:$K$88,K$4,FALSE),""))*0.001</f>
        <v>3.3943355193740651E-3</v>
      </c>
      <c r="L73" s="162">
        <f>(IFERROR(VLOOKUP(RIGHT($B73,7),'DATA '!$B$85:$K$88,L$4,FALSE),""))*0.001</f>
        <v>0</v>
      </c>
      <c r="M73" s="131">
        <v>10</v>
      </c>
      <c r="N73" s="131"/>
    </row>
    <row r="74" spans="2:15" ht="13.8" x14ac:dyDescent="0.25">
      <c r="B74" s="91" t="str">
        <f t="shared" si="13"/>
        <v>TER_TP_AP_N_IM</v>
      </c>
      <c r="C74" s="91" t="str">
        <f t="shared" si="14"/>
        <v>Private (Commercial) Other Appliances Improved (N)</v>
      </c>
      <c r="D74" s="91" t="str">
        <f>Commodities!$D$340</f>
        <v>TERELC</v>
      </c>
      <c r="E74" s="91" t="str">
        <f>E73</f>
        <v>TER_TP_AP</v>
      </c>
      <c r="F74" s="130">
        <f t="shared" si="15"/>
        <v>2025</v>
      </c>
      <c r="G74" s="92">
        <v>2025</v>
      </c>
      <c r="H74" s="131"/>
      <c r="I74" s="92"/>
      <c r="J74" s="162">
        <f>(IFERROR(VLOOKUP(RIGHT($B74,7),'DATA '!$B$85:$K$88,J$4,FALSE),""))*0.001</f>
        <v>0.14527756022921001</v>
      </c>
      <c r="K74" s="162">
        <f>(IFERROR(VLOOKUP(RIGHT($B74,7),'DATA '!$B$85:$K$88,K$4,FALSE),""))*0.001</f>
        <v>3.6319390057302499E-3</v>
      </c>
      <c r="L74" s="162">
        <f>(IFERROR(VLOOKUP(RIGHT($B74,7),'DATA '!$B$85:$K$88,L$4,FALSE),""))*0.001</f>
        <v>0</v>
      </c>
      <c r="M74" s="131">
        <v>10</v>
      </c>
      <c r="N74" s="131"/>
    </row>
    <row r="75" spans="2:15" ht="13.8" x14ac:dyDescent="0.25">
      <c r="B75" s="86" t="str">
        <f t="shared" si="13"/>
        <v>TER_TP_AP_N_AD</v>
      </c>
      <c r="C75" s="86" t="str">
        <f t="shared" si="14"/>
        <v>Private (Commercial) Other Appliances Advanced (N)</v>
      </c>
      <c r="D75" s="86" t="str">
        <f>Commodities!$D$340</f>
        <v>TERELC</v>
      </c>
      <c r="E75" s="86" t="str">
        <f>E74</f>
        <v>TER_TP_AP</v>
      </c>
      <c r="F75" s="133">
        <f t="shared" si="15"/>
        <v>2035</v>
      </c>
      <c r="G75" s="87">
        <v>2035</v>
      </c>
      <c r="H75" s="134"/>
      <c r="I75" s="87"/>
      <c r="J75" s="164">
        <f>(IFERROR(VLOOKUP(RIGHT($B75,7),'DATA '!$B$85:$K$88,J$4,FALSE),""))*0.001</f>
        <v>0.15544698944525467</v>
      </c>
      <c r="K75" s="164">
        <f>(IFERROR(VLOOKUP(RIGHT($B75,7),'DATA '!$B$85:$K$88,K$4,FALSE),""))*0.001</f>
        <v>3.8861747361313677E-3</v>
      </c>
      <c r="L75" s="164">
        <f>(IFERROR(VLOOKUP(RIGHT($B75,7),'DATA '!$B$85:$K$88,L$4,FALSE),""))*0.001</f>
        <v>0</v>
      </c>
      <c r="M75" s="134">
        <v>10</v>
      </c>
      <c r="N75" s="134"/>
      <c r="O75" s="91"/>
    </row>
    <row r="76" spans="2:15" ht="13.8" x14ac:dyDescent="0.25">
      <c r="B76" s="91" t="str">
        <f t="shared" si="13"/>
        <v>TER_TS_AP_N_ST</v>
      </c>
      <c r="C76" s="91" t="str">
        <f t="shared" si="14"/>
        <v>Services (Public) Other Appliances Standard (N)</v>
      </c>
      <c r="D76" s="91" t="str">
        <f>Commodities!$D$340</f>
        <v>TERELC</v>
      </c>
      <c r="E76" s="91" t="str">
        <f>Commodities!$AC$22</f>
        <v>TER_TS_AP</v>
      </c>
      <c r="F76" s="130">
        <f t="shared" si="15"/>
        <v>2018</v>
      </c>
      <c r="G76" s="92">
        <f>BASE_YEAR+1</f>
        <v>2018</v>
      </c>
      <c r="H76" s="131"/>
      <c r="I76" s="92"/>
      <c r="J76" s="162">
        <f>(IFERROR(VLOOKUP(RIGHT($B76,7),'DATA '!$B$85:$K$88,J$4,FALSE),""))*0.001</f>
        <v>0.1357734207749626</v>
      </c>
      <c r="K76" s="162">
        <f>(IFERROR(VLOOKUP(RIGHT($B76,7),'DATA '!$B$85:$K$88,K$4,FALSE),""))*0.001</f>
        <v>3.3943355193740651E-3</v>
      </c>
      <c r="L76" s="162">
        <f>(IFERROR(VLOOKUP(RIGHT($B76,7),'DATA '!$B$85:$K$88,L$4,FALSE),""))*0.001</f>
        <v>0</v>
      </c>
      <c r="M76" s="131">
        <v>10</v>
      </c>
      <c r="N76" s="131"/>
      <c r="O76" s="91"/>
    </row>
    <row r="77" spans="2:15" ht="13.8" x14ac:dyDescent="0.25">
      <c r="B77" s="91" t="str">
        <f t="shared" si="13"/>
        <v>TER_TS_AP_N_IM</v>
      </c>
      <c r="C77" s="91" t="str">
        <f t="shared" si="14"/>
        <v>Services (Public) Other Appliances Improved (N)</v>
      </c>
      <c r="D77" s="91" t="str">
        <f>Commodities!$D$340</f>
        <v>TERELC</v>
      </c>
      <c r="E77" s="91" t="str">
        <f>E76</f>
        <v>TER_TS_AP</v>
      </c>
      <c r="F77" s="130">
        <f t="shared" si="15"/>
        <v>2025</v>
      </c>
      <c r="G77" s="92">
        <v>2025</v>
      </c>
      <c r="H77" s="131"/>
      <c r="I77" s="92"/>
      <c r="J77" s="162">
        <f>(IFERROR(VLOOKUP(RIGHT($B77,7),'DATA '!$B$85:$K$88,J$4,FALSE),""))*0.001</f>
        <v>0.14527756022921001</v>
      </c>
      <c r="K77" s="162">
        <f>(IFERROR(VLOOKUP(RIGHT($B77,7),'DATA '!$B$85:$K$88,K$4,FALSE),""))*0.001</f>
        <v>3.6319390057302499E-3</v>
      </c>
      <c r="L77" s="162">
        <f>(IFERROR(VLOOKUP(RIGHT($B77,7),'DATA '!$B$85:$K$88,L$4,FALSE),""))*0.001</f>
        <v>0</v>
      </c>
      <c r="M77" s="131">
        <v>10</v>
      </c>
      <c r="N77" s="131"/>
      <c r="O77" s="91"/>
    </row>
    <row r="78" spans="2:15" ht="13.8" x14ac:dyDescent="0.25">
      <c r="B78" s="86" t="str">
        <f t="shared" si="13"/>
        <v>TER_TS_AP_N_AD</v>
      </c>
      <c r="C78" s="86" t="str">
        <f t="shared" si="14"/>
        <v>Services (Public) Other Appliances Advanced (N)</v>
      </c>
      <c r="D78" s="86" t="str">
        <f>Commodities!$D$340</f>
        <v>TERELC</v>
      </c>
      <c r="E78" s="86" t="str">
        <f>E77</f>
        <v>TER_TS_AP</v>
      </c>
      <c r="F78" s="133">
        <f t="shared" si="15"/>
        <v>2035</v>
      </c>
      <c r="G78" s="87">
        <v>2035</v>
      </c>
      <c r="H78" s="134"/>
      <c r="I78" s="87"/>
      <c r="J78" s="164">
        <f>(IFERROR(VLOOKUP(RIGHT($B78,7),'DATA '!$B$85:$K$88,J$4,FALSE),""))*0.001</f>
        <v>0.15544698944525467</v>
      </c>
      <c r="K78" s="164">
        <f>(IFERROR(VLOOKUP(RIGHT($B78,7),'DATA '!$B$85:$K$88,K$4,FALSE),""))*0.001</f>
        <v>3.8861747361313677E-3</v>
      </c>
      <c r="L78" s="164">
        <f>(IFERROR(VLOOKUP(RIGHT($B78,7),'DATA '!$B$85:$K$88,L$4,FALSE),""))*0.001</f>
        <v>0</v>
      </c>
      <c r="M78" s="134">
        <v>10</v>
      </c>
      <c r="N78" s="134"/>
      <c r="O78" s="91"/>
    </row>
    <row r="81" spans="2:14" ht="17.399999999999999" x14ac:dyDescent="0.3">
      <c r="B81" s="97" t="s">
        <v>762</v>
      </c>
      <c r="C81" s="97"/>
      <c r="D81" s="97"/>
      <c r="E81" s="97"/>
      <c r="F81" s="97"/>
      <c r="G81" s="97"/>
      <c r="H81" s="97"/>
      <c r="I81" s="85"/>
      <c r="J81" s="78"/>
      <c r="K81" s="78"/>
      <c r="L81" s="78"/>
      <c r="M81" s="78"/>
      <c r="N81" s="78"/>
    </row>
    <row r="82" spans="2:14" ht="13.8" x14ac:dyDescent="0.25">
      <c r="B82" s="98"/>
      <c r="C82" s="78"/>
      <c r="D82" s="93"/>
      <c r="E82" s="93"/>
      <c r="F82" s="93"/>
      <c r="G82" s="93"/>
      <c r="H82" s="78"/>
      <c r="I82" s="92"/>
      <c r="J82" s="119"/>
      <c r="K82" s="119"/>
      <c r="L82" s="119"/>
      <c r="M82" s="99"/>
      <c r="N82" s="78"/>
    </row>
    <row r="83" spans="2:14" ht="13.8" x14ac:dyDescent="0.25">
      <c r="B83" s="78"/>
      <c r="C83" s="78"/>
      <c r="D83" s="78"/>
      <c r="E83" s="120"/>
      <c r="F83" s="101" t="s">
        <v>0</v>
      </c>
      <c r="G83" s="101"/>
      <c r="H83" s="119"/>
      <c r="I83" s="85"/>
      <c r="J83" s="78"/>
      <c r="K83" s="78"/>
      <c r="L83" s="78"/>
      <c r="M83" s="78"/>
      <c r="N83" s="78"/>
    </row>
    <row r="84" spans="2:14" ht="13.8" x14ac:dyDescent="0.25">
      <c r="B84" s="103" t="s">
        <v>1</v>
      </c>
      <c r="C84" s="103" t="s">
        <v>728</v>
      </c>
      <c r="D84" s="103" t="s">
        <v>3</v>
      </c>
      <c r="E84" s="103" t="s">
        <v>4</v>
      </c>
      <c r="F84" s="104" t="s">
        <v>739</v>
      </c>
      <c r="G84" s="140" t="s">
        <v>14</v>
      </c>
      <c r="H84" s="105" t="s">
        <v>757</v>
      </c>
      <c r="I84" s="105" t="s">
        <v>46</v>
      </c>
      <c r="J84" s="105" t="s">
        <v>36</v>
      </c>
      <c r="K84" s="105" t="s">
        <v>5</v>
      </c>
      <c r="L84" s="105" t="s">
        <v>34</v>
      </c>
      <c r="M84" s="105" t="s">
        <v>47</v>
      </c>
      <c r="N84" s="105" t="s">
        <v>48</v>
      </c>
    </row>
    <row r="85" spans="2:14" ht="14.4" thickBot="1" x14ac:dyDescent="0.3">
      <c r="B85" s="106" t="s">
        <v>729</v>
      </c>
      <c r="C85" s="106" t="s">
        <v>28</v>
      </c>
      <c r="D85" s="106" t="s">
        <v>32</v>
      </c>
      <c r="E85" s="106" t="s">
        <v>33</v>
      </c>
      <c r="F85" s="107"/>
      <c r="G85" s="108" t="s">
        <v>35</v>
      </c>
      <c r="H85" s="106" t="s">
        <v>758</v>
      </c>
      <c r="I85" s="106" t="s">
        <v>744</v>
      </c>
      <c r="J85" s="108" t="s">
        <v>747</v>
      </c>
      <c r="K85" s="106" t="s">
        <v>37</v>
      </c>
      <c r="L85" s="106" t="s">
        <v>38</v>
      </c>
      <c r="M85" s="106" t="s">
        <v>716</v>
      </c>
      <c r="N85" s="106" t="s">
        <v>748</v>
      </c>
    </row>
    <row r="86" spans="2:14" ht="13.8" x14ac:dyDescent="0.25">
      <c r="B86" s="111"/>
      <c r="C86" s="112"/>
      <c r="D86" s="112"/>
      <c r="E86" s="112" t="s">
        <v>733</v>
      </c>
      <c r="F86" s="113"/>
      <c r="G86" s="112"/>
      <c r="H86" s="112" t="str">
        <f>General!$D$19</f>
        <v>TJ/unit</v>
      </c>
      <c r="I86" s="112" t="s">
        <v>749</v>
      </c>
      <c r="J86" s="112" t="str">
        <f>General!$D$27</f>
        <v>000$/unit</v>
      </c>
      <c r="K86" s="112" t="str">
        <f>General!$D$27</f>
        <v>000$/unit</v>
      </c>
      <c r="L86" s="112" t="str">
        <f>General!$D$15</f>
        <v>$/GJ</v>
      </c>
      <c r="M86" s="112" t="str">
        <f>General!$D$21</f>
        <v>PJ/year</v>
      </c>
      <c r="N86" s="112"/>
    </row>
    <row r="87" spans="2:14" ht="13.8" x14ac:dyDescent="0.25">
      <c r="B87" s="91" t="str">
        <f t="shared" ref="B87:C90" si="16">S47</f>
        <v>TER_SL_LI_N_ST01</v>
      </c>
      <c r="C87" s="91" t="str">
        <f t="shared" si="16"/>
        <v>Street Lights High Pressure Sodium (N)</v>
      </c>
      <c r="D87" s="91" t="str">
        <f>Commodities!$D$340</f>
        <v>TERELC</v>
      </c>
      <c r="E87" s="91" t="str">
        <f>Commodities!$AC$8</f>
        <v>TER_SL</v>
      </c>
      <c r="F87" s="130">
        <f>G87</f>
        <v>2018</v>
      </c>
      <c r="G87" s="92">
        <f>BASE_YEAR+1</f>
        <v>2018</v>
      </c>
      <c r="H87" s="150">
        <v>2.0999999999999999E-3</v>
      </c>
      <c r="I87" s="165"/>
      <c r="J87" s="151">
        <f>5/1000</f>
        <v>5.0000000000000001E-3</v>
      </c>
      <c r="K87" s="165"/>
      <c r="L87" s="92"/>
      <c r="M87" s="131">
        <v>20</v>
      </c>
      <c r="N87" s="131"/>
    </row>
    <row r="88" spans="2:14" ht="13.8" x14ac:dyDescent="0.25">
      <c r="B88" s="91" t="str">
        <f t="shared" si="16"/>
        <v>TER_SL_LI_N_ST02</v>
      </c>
      <c r="C88" s="91" t="str">
        <f t="shared" si="16"/>
        <v>Street Lights Low Pressure Sodium  (N)</v>
      </c>
      <c r="D88" s="91" t="str">
        <f>Commodities!$D$340</f>
        <v>TERELC</v>
      </c>
      <c r="E88" s="91" t="str">
        <f>E87</f>
        <v>TER_SL</v>
      </c>
      <c r="F88" s="130">
        <f>G88</f>
        <v>2025</v>
      </c>
      <c r="G88" s="92">
        <v>2025</v>
      </c>
      <c r="H88" s="150">
        <v>1.6999999999999999E-3</v>
      </c>
      <c r="I88" s="92"/>
      <c r="J88" s="151">
        <f>7/1000</f>
        <v>7.0000000000000001E-3</v>
      </c>
      <c r="K88" s="92"/>
      <c r="L88" s="92"/>
      <c r="M88" s="131">
        <v>15</v>
      </c>
      <c r="N88" s="131"/>
    </row>
    <row r="89" spans="2:14" ht="13.8" x14ac:dyDescent="0.25">
      <c r="B89" s="91" t="str">
        <f t="shared" si="16"/>
        <v>TER_SL_LI_N_IM</v>
      </c>
      <c r="C89" s="91" t="str">
        <f t="shared" si="16"/>
        <v>Street Lights CFL (N)</v>
      </c>
      <c r="D89" s="91" t="str">
        <f>Commodities!$D$340</f>
        <v>TERELC</v>
      </c>
      <c r="E89" s="91" t="str">
        <f>E88</f>
        <v>TER_SL</v>
      </c>
      <c r="F89" s="130">
        <f>G89</f>
        <v>2025</v>
      </c>
      <c r="G89" s="92">
        <v>2025</v>
      </c>
      <c r="H89" s="150">
        <v>1.5E-3</v>
      </c>
      <c r="I89" s="92"/>
      <c r="J89" s="151">
        <f>J58</f>
        <v>1.1111111111111112E-2</v>
      </c>
      <c r="K89" s="92"/>
      <c r="L89" s="92"/>
      <c r="M89" s="131">
        <v>15</v>
      </c>
      <c r="N89" s="131"/>
    </row>
    <row r="90" spans="2:14" ht="13.8" x14ac:dyDescent="0.25">
      <c r="B90" s="86" t="str">
        <f t="shared" si="16"/>
        <v>TER_SL_LI_N_AD</v>
      </c>
      <c r="C90" s="86" t="str">
        <f t="shared" si="16"/>
        <v>Street Lights LED (N)</v>
      </c>
      <c r="D90" s="86" t="str">
        <f>Commodities!$D$340</f>
        <v>TERELC</v>
      </c>
      <c r="E90" s="86" t="str">
        <f>E89</f>
        <v>TER_SL</v>
      </c>
      <c r="F90" s="133">
        <f>G90</f>
        <v>2035</v>
      </c>
      <c r="G90" s="87">
        <v>2035</v>
      </c>
      <c r="H90" s="152">
        <v>1.1999999999999999E-3</v>
      </c>
      <c r="I90" s="87"/>
      <c r="J90" s="153">
        <f>J59</f>
        <v>2.2222222222222223E-2</v>
      </c>
      <c r="K90" s="87"/>
      <c r="L90" s="87"/>
      <c r="M90" s="134">
        <v>15</v>
      </c>
      <c r="N90" s="134"/>
    </row>
    <row r="92" spans="2:14" ht="24" customHeight="1" x14ac:dyDescent="0.25"/>
  </sheetData>
  <autoFilter ref="S5:W50" xr:uid="{00000000-0009-0000-0000-000006000000}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J66"/>
  <sheetViews>
    <sheetView zoomScale="70" zoomScaleNormal="70" workbookViewId="0">
      <selection sqref="A1:XFD1048576"/>
    </sheetView>
  </sheetViews>
  <sheetFormatPr defaultRowHeight="13.2" x14ac:dyDescent="0.25"/>
  <cols>
    <col min="1" max="1" width="4.44140625" style="117" customWidth="1"/>
    <col min="2" max="2" width="30" style="117" customWidth="1"/>
    <col min="3" max="3" width="78.44140625" style="117" customWidth="1"/>
    <col min="4" max="4" width="30.88671875" style="117" customWidth="1"/>
    <col min="5" max="5" width="21.6640625" style="117" bestFit="1" customWidth="1"/>
    <col min="6" max="6" width="11.5546875" style="117" customWidth="1"/>
    <col min="7" max="7" width="12.109375" style="117" bestFit="1" customWidth="1"/>
    <col min="8" max="8" width="17.109375" style="117" bestFit="1" customWidth="1"/>
    <col min="9" max="9" width="15.6640625" style="117" bestFit="1" customWidth="1"/>
    <col min="10" max="10" width="18.88671875" style="117" bestFit="1" customWidth="1"/>
    <col min="11" max="11" width="3.6640625" style="117" customWidth="1"/>
    <col min="12" max="12" width="18.109375" style="117" customWidth="1"/>
    <col min="13" max="13" width="14.33203125" style="117" customWidth="1"/>
    <col min="14" max="14" width="5.44140625" style="117" customWidth="1"/>
    <col min="15" max="15" width="19.109375" style="117" customWidth="1"/>
    <col min="16" max="16" width="10.5546875" style="117" customWidth="1"/>
    <col min="17" max="17" width="26.5546875" style="117" customWidth="1"/>
    <col min="18" max="18" width="98.88671875" style="117" customWidth="1"/>
    <col min="19" max="19" width="17" style="117" customWidth="1"/>
    <col min="20" max="20" width="13.6640625" style="117" bestFit="1" customWidth="1"/>
    <col min="21" max="21" width="11.6640625" style="117" customWidth="1"/>
    <col min="22" max="22" width="14" style="117" customWidth="1"/>
    <col min="23" max="23" width="10.6640625" style="117" customWidth="1"/>
    <col min="24" max="24" width="5.33203125" style="117" customWidth="1"/>
    <col min="25" max="25" width="7" style="117" customWidth="1"/>
    <col min="26" max="26" width="27.33203125" style="117" bestFit="1" customWidth="1"/>
    <col min="27" max="27" width="23.5546875" style="117" customWidth="1"/>
    <col min="28" max="28" width="101.33203125" style="117" customWidth="1"/>
    <col min="29" max="29" width="11.33203125" style="117" customWidth="1"/>
    <col min="30" max="30" width="23.88671875" style="117" bestFit="1" customWidth="1"/>
    <col min="31" max="31" width="21.5546875" style="117" bestFit="1" customWidth="1"/>
    <col min="32" max="32" width="14.5546875" style="117" bestFit="1" customWidth="1"/>
    <col min="33" max="33" width="17" style="117" bestFit="1" customWidth="1"/>
    <col min="34" max="16384" width="8.88671875" style="117"/>
  </cols>
  <sheetData>
    <row r="1" spans="1:36" s="78" customFormat="1" ht="17.399999999999999" x14ac:dyDescent="0.3">
      <c r="B1" s="97" t="s">
        <v>737</v>
      </c>
      <c r="C1" s="97"/>
      <c r="D1" s="97"/>
      <c r="E1" s="97"/>
      <c r="F1" s="97"/>
      <c r="G1" s="97"/>
      <c r="H1" s="91"/>
      <c r="L1" s="78" t="s">
        <v>724</v>
      </c>
    </row>
    <row r="2" spans="1:36" s="78" customFormat="1" ht="17.399999999999999" x14ac:dyDescent="0.3">
      <c r="B2" s="97" t="s">
        <v>765</v>
      </c>
      <c r="C2" s="97"/>
      <c r="D2" s="97"/>
      <c r="E2" s="97"/>
      <c r="F2" s="97"/>
      <c r="G2" s="97"/>
      <c r="H2" s="91"/>
    </row>
    <row r="3" spans="1:36" s="78" customFormat="1" ht="17.399999999999999" x14ac:dyDescent="0.3">
      <c r="B3" s="97" t="s">
        <v>766</v>
      </c>
      <c r="C3" s="97"/>
      <c r="D3" s="97"/>
      <c r="E3" s="97"/>
      <c r="F3" s="97"/>
      <c r="G3" s="97"/>
      <c r="H3" s="97"/>
      <c r="I3" s="97"/>
      <c r="J3" s="97"/>
    </row>
    <row r="4" spans="1:36" s="78" customFormat="1" ht="13.8" x14ac:dyDescent="0.25">
      <c r="B4" s="98"/>
      <c r="D4" s="93"/>
      <c r="E4" s="93"/>
      <c r="F4" s="93"/>
      <c r="G4" s="93"/>
      <c r="H4" s="93"/>
      <c r="I4" s="93"/>
      <c r="J4" s="93"/>
      <c r="K4" s="91"/>
      <c r="O4" s="100" t="s">
        <v>726</v>
      </c>
      <c r="P4" s="100"/>
      <c r="Q4" s="100" t="s">
        <v>727</v>
      </c>
      <c r="R4" s="100"/>
      <c r="S4" s="100"/>
      <c r="T4" s="100"/>
      <c r="U4" s="100"/>
      <c r="V4" s="100"/>
      <c r="W4" s="100"/>
      <c r="Z4" s="91"/>
      <c r="AA4" s="91"/>
      <c r="AB4" s="91"/>
    </row>
    <row r="5" spans="1:36" s="78" customFormat="1" ht="13.8" x14ac:dyDescent="0.25">
      <c r="E5" s="120"/>
      <c r="F5" s="101" t="s">
        <v>0</v>
      </c>
      <c r="G5" s="101"/>
      <c r="H5" s="101"/>
      <c r="I5" s="101"/>
      <c r="J5" s="101"/>
      <c r="K5" s="91"/>
      <c r="O5" s="102" t="s">
        <v>17</v>
      </c>
      <c r="P5" s="102"/>
      <c r="Q5" s="100"/>
      <c r="R5" s="100"/>
      <c r="S5" s="100"/>
      <c r="T5" s="100"/>
      <c r="U5" s="100"/>
      <c r="V5" s="100"/>
      <c r="W5" s="100"/>
      <c r="Z5" s="166" t="s">
        <v>767</v>
      </c>
      <c r="AA5" s="167"/>
      <c r="AB5" s="167"/>
      <c r="AC5" s="168"/>
      <c r="AD5" s="168"/>
      <c r="AE5" s="167"/>
      <c r="AF5" s="167"/>
      <c r="AG5" s="167"/>
      <c r="AH5" s="144"/>
    </row>
    <row r="6" spans="1:36" s="78" customFormat="1" ht="13.8" x14ac:dyDescent="0.25">
      <c r="B6" s="103" t="s">
        <v>1</v>
      </c>
      <c r="C6" s="103" t="s">
        <v>728</v>
      </c>
      <c r="D6" s="103" t="s">
        <v>3</v>
      </c>
      <c r="E6" s="103" t="s">
        <v>4</v>
      </c>
      <c r="F6" s="104" t="s">
        <v>739</v>
      </c>
      <c r="G6" s="140" t="s">
        <v>14</v>
      </c>
      <c r="H6" s="105" t="s">
        <v>46</v>
      </c>
      <c r="I6" s="91"/>
      <c r="J6" s="142" t="s">
        <v>740</v>
      </c>
      <c r="K6" s="142"/>
      <c r="O6" s="80" t="s">
        <v>15</v>
      </c>
      <c r="P6" s="80" t="s">
        <v>50</v>
      </c>
      <c r="Q6" s="80" t="s">
        <v>1</v>
      </c>
      <c r="R6" s="80" t="s">
        <v>2</v>
      </c>
      <c r="S6" s="80" t="s">
        <v>18</v>
      </c>
      <c r="T6" s="80" t="s">
        <v>19</v>
      </c>
      <c r="U6" s="80" t="s">
        <v>20</v>
      </c>
      <c r="V6" s="80" t="s">
        <v>21</v>
      </c>
      <c r="W6" s="80" t="s">
        <v>22</v>
      </c>
      <c r="Z6" s="169" t="s">
        <v>7</v>
      </c>
      <c r="AA6" s="169" t="s">
        <v>6</v>
      </c>
      <c r="AB6" s="169" t="s">
        <v>8</v>
      </c>
      <c r="AC6" s="170" t="s">
        <v>9</v>
      </c>
      <c r="AD6" s="170" t="s">
        <v>10</v>
      </c>
      <c r="AE6" s="171" t="s">
        <v>11</v>
      </c>
      <c r="AF6" s="171" t="s">
        <v>12</v>
      </c>
      <c r="AG6" s="171" t="s">
        <v>13</v>
      </c>
      <c r="AH6" s="144"/>
    </row>
    <row r="7" spans="1:36" s="78" customFormat="1" ht="17.25" customHeight="1" thickBot="1" x14ac:dyDescent="0.3">
      <c r="B7" s="106" t="s">
        <v>729</v>
      </c>
      <c r="C7" s="106" t="s">
        <v>28</v>
      </c>
      <c r="D7" s="106" t="s">
        <v>32</v>
      </c>
      <c r="E7" s="106" t="s">
        <v>33</v>
      </c>
      <c r="F7" s="107"/>
      <c r="G7" s="108" t="s">
        <v>35</v>
      </c>
      <c r="H7" s="106" t="s">
        <v>744</v>
      </c>
      <c r="I7" s="91"/>
      <c r="J7" s="91"/>
      <c r="K7" s="91"/>
      <c r="O7" s="126" t="s">
        <v>730</v>
      </c>
      <c r="P7" s="126" t="s">
        <v>53</v>
      </c>
      <c r="Q7" s="126" t="s">
        <v>27</v>
      </c>
      <c r="R7" s="126" t="s">
        <v>28</v>
      </c>
      <c r="S7" s="126" t="s">
        <v>29</v>
      </c>
      <c r="T7" s="126" t="s">
        <v>30</v>
      </c>
      <c r="U7" s="126" t="s">
        <v>731</v>
      </c>
      <c r="V7" s="126" t="s">
        <v>732</v>
      </c>
      <c r="W7" s="126" t="s">
        <v>31</v>
      </c>
      <c r="X7" s="85"/>
      <c r="Z7" s="172" t="s">
        <v>768</v>
      </c>
      <c r="AA7" s="172" t="s">
        <v>23</v>
      </c>
      <c r="AB7" s="172" t="s">
        <v>24</v>
      </c>
      <c r="AC7" s="173" t="s">
        <v>9</v>
      </c>
      <c r="AD7" s="173" t="s">
        <v>769</v>
      </c>
      <c r="AE7" s="172" t="s">
        <v>770</v>
      </c>
      <c r="AF7" s="172" t="s">
        <v>25</v>
      </c>
      <c r="AG7" s="172" t="s">
        <v>26</v>
      </c>
      <c r="AH7" s="144"/>
    </row>
    <row r="8" spans="1:36" s="78" customFormat="1" ht="17.25" customHeight="1" x14ac:dyDescent="0.25">
      <c r="B8" s="111"/>
      <c r="C8" s="112"/>
      <c r="D8" s="112"/>
      <c r="E8" s="112" t="s">
        <v>733</v>
      </c>
      <c r="F8" s="113"/>
      <c r="G8" s="112"/>
      <c r="H8" s="112" t="s">
        <v>749</v>
      </c>
      <c r="I8" s="91"/>
      <c r="J8" s="91"/>
      <c r="K8" s="91"/>
      <c r="L8" s="91"/>
      <c r="M8" s="91"/>
      <c r="N8" s="91"/>
      <c r="O8" s="91" t="s">
        <v>750</v>
      </c>
      <c r="P8" s="91"/>
      <c r="Q8" s="78" t="str">
        <f>Commodities!$AC$6&amp;"_Ret11"</f>
        <v>TER_TP_Ret11</v>
      </c>
      <c r="R8" s="78" t="s">
        <v>1148</v>
      </c>
      <c r="S8" s="92" t="str">
        <f>General!$B$2</f>
        <v>PJ</v>
      </c>
      <c r="T8" s="92" t="str">
        <f>General!$D$22</f>
        <v>000m2</v>
      </c>
      <c r="U8" s="92"/>
      <c r="V8" s="92" t="s">
        <v>838</v>
      </c>
      <c r="W8" s="91"/>
      <c r="Z8" s="174" t="s">
        <v>56</v>
      </c>
      <c r="AA8" s="174" t="str">
        <f t="shared" ref="AA8:AA13" si="0">"Dum"&amp;Q8</f>
        <v>DumTER_TP_Ret11</v>
      </c>
      <c r="AB8" s="174" t="s">
        <v>1149</v>
      </c>
      <c r="AC8" s="92" t="str">
        <f>General!$D$22</f>
        <v>000m2</v>
      </c>
      <c r="AD8" s="85"/>
      <c r="AE8" s="175"/>
      <c r="AF8" s="174"/>
      <c r="AG8" s="174"/>
      <c r="AH8" s="175"/>
    </row>
    <row r="9" spans="1:36" s="78" customFormat="1" ht="13.8" x14ac:dyDescent="0.25">
      <c r="B9" s="89" t="str">
        <f t="shared" ref="B9:B14" si="1">Q8</f>
        <v>TER_TP_Ret11</v>
      </c>
      <c r="C9" s="89" t="str">
        <f t="shared" ref="C9:C14" si="2">R8</f>
        <v>Private (Commercial) Envelope Insulation Standard (N)</v>
      </c>
      <c r="D9" s="176" t="str">
        <f t="shared" ref="D9:D14" si="3">AA8</f>
        <v>DumTER_TP_Ret11</v>
      </c>
      <c r="E9" s="89" t="str">
        <f>Commodities!$AC$9</f>
        <v>TER_TP_SH</v>
      </c>
      <c r="F9" s="136"/>
      <c r="G9" s="90">
        <f t="shared" ref="G9:G14" si="4">BASE_YEAR+1</f>
        <v>2018</v>
      </c>
      <c r="H9" s="90">
        <v>1</v>
      </c>
      <c r="I9" s="91"/>
      <c r="J9" s="91"/>
      <c r="K9" s="91"/>
      <c r="O9" s="91"/>
      <c r="P9" s="91"/>
      <c r="Q9" s="78" t="str">
        <f>Commodities!$AC$6&amp;"_Ret21"</f>
        <v>TER_TP_Ret21</v>
      </c>
      <c r="R9" s="78" t="s">
        <v>1150</v>
      </c>
      <c r="S9" s="92" t="str">
        <f>General!$B$2</f>
        <v>PJ</v>
      </c>
      <c r="T9" s="92" t="str">
        <f>General!$D$22</f>
        <v>000m2</v>
      </c>
      <c r="U9" s="92"/>
      <c r="V9" s="92" t="s">
        <v>838</v>
      </c>
      <c r="W9" s="91"/>
      <c r="Z9" s="175"/>
      <c r="AA9" s="174" t="str">
        <f t="shared" si="0"/>
        <v>DumTER_TP_Ret21</v>
      </c>
      <c r="AB9" s="174" t="s">
        <v>1151</v>
      </c>
      <c r="AC9" s="92" t="str">
        <f>General!$D$22</f>
        <v>000m2</v>
      </c>
      <c r="AD9" s="85"/>
      <c r="AE9" s="175"/>
      <c r="AF9" s="174"/>
      <c r="AG9" s="174"/>
      <c r="AH9" s="175"/>
    </row>
    <row r="10" spans="1:36" s="78" customFormat="1" ht="13.8" x14ac:dyDescent="0.25">
      <c r="B10" s="91" t="str">
        <f t="shared" si="1"/>
        <v>TER_TP_Ret21</v>
      </c>
      <c r="C10" s="91" t="str">
        <f t="shared" si="2"/>
        <v>Private (Commercial) Windows Replacement  Standard (N)</v>
      </c>
      <c r="D10" s="177" t="str">
        <f t="shared" si="3"/>
        <v>DumTER_TP_Ret21</v>
      </c>
      <c r="E10" s="91" t="str">
        <f>E9</f>
        <v>TER_TP_SH</v>
      </c>
      <c r="F10" s="130"/>
      <c r="G10" s="92">
        <f t="shared" si="4"/>
        <v>2018</v>
      </c>
      <c r="H10" s="92">
        <v>1</v>
      </c>
      <c r="I10" s="91"/>
      <c r="J10" s="91"/>
      <c r="K10" s="91"/>
      <c r="O10" s="91"/>
      <c r="P10" s="91"/>
      <c r="Q10" s="78" t="str">
        <f>Commodities!$AC$6&amp;"_Ret31"</f>
        <v>TER_TP_Ret31</v>
      </c>
      <c r="R10" s="78" t="s">
        <v>1152</v>
      </c>
      <c r="S10" s="92" t="str">
        <f>General!$B$2</f>
        <v>PJ</v>
      </c>
      <c r="T10" s="92" t="str">
        <f>General!$D$22</f>
        <v>000m2</v>
      </c>
      <c r="U10" s="92"/>
      <c r="V10" s="92" t="s">
        <v>838</v>
      </c>
      <c r="W10" s="91"/>
      <c r="Z10" s="175"/>
      <c r="AA10" s="174" t="str">
        <f t="shared" si="0"/>
        <v>DumTER_TP_Ret31</v>
      </c>
      <c r="AB10" s="174" t="s">
        <v>1153</v>
      </c>
      <c r="AC10" s="92" t="str">
        <f>General!$D$22</f>
        <v>000m2</v>
      </c>
      <c r="AD10" s="85"/>
      <c r="AE10" s="175"/>
      <c r="AF10" s="174"/>
      <c r="AG10" s="174"/>
    </row>
    <row r="11" spans="1:36" ht="13.8" x14ac:dyDescent="0.25">
      <c r="B11" s="86" t="str">
        <f t="shared" si="1"/>
        <v>TER_TP_Ret31</v>
      </c>
      <c r="C11" s="86" t="str">
        <f t="shared" si="2"/>
        <v>Private (Commercial) Env. Insulation&amp;Windows repl. Standard (N)</v>
      </c>
      <c r="D11" s="178" t="str">
        <f t="shared" si="3"/>
        <v>DumTER_TP_Ret31</v>
      </c>
      <c r="E11" s="86" t="str">
        <f t="shared" ref="E11:E14" si="5">E10</f>
        <v>TER_TP_SH</v>
      </c>
      <c r="F11" s="118"/>
      <c r="G11" s="87">
        <f t="shared" si="4"/>
        <v>2018</v>
      </c>
      <c r="H11" s="87">
        <v>1</v>
      </c>
      <c r="I11" s="78"/>
      <c r="J11" s="78"/>
      <c r="K11" s="78"/>
      <c r="O11" s="91"/>
      <c r="P11" s="91"/>
      <c r="Q11" s="78" t="str">
        <f>Commodities!$AC$6&amp;"_Ret12"</f>
        <v>TER_TP_Ret12</v>
      </c>
      <c r="R11" s="78" t="s">
        <v>1154</v>
      </c>
      <c r="S11" s="92" t="str">
        <f>General!$B$2</f>
        <v>PJ</v>
      </c>
      <c r="T11" s="92" t="str">
        <f>General!$D$22</f>
        <v>000m2</v>
      </c>
      <c r="U11" s="92"/>
      <c r="V11" s="92" t="s">
        <v>838</v>
      </c>
      <c r="W11" s="91"/>
      <c r="X11" s="78"/>
      <c r="Y11" s="78"/>
      <c r="Z11" s="175"/>
      <c r="AA11" s="174" t="str">
        <f t="shared" si="0"/>
        <v>DumTER_TP_Ret12</v>
      </c>
      <c r="AB11" s="174" t="s">
        <v>1155</v>
      </c>
      <c r="AC11" s="92" t="str">
        <f>General!$D$22</f>
        <v>000m2</v>
      </c>
      <c r="AD11" s="85"/>
      <c r="AE11" s="175"/>
      <c r="AF11" s="174"/>
      <c r="AG11" s="174"/>
      <c r="AH11" s="175"/>
      <c r="AI11" s="78"/>
      <c r="AJ11" s="78"/>
    </row>
    <row r="12" spans="1:36" ht="13.8" x14ac:dyDescent="0.25">
      <c r="B12" s="89" t="str">
        <f t="shared" si="1"/>
        <v>TER_TP_Ret12</v>
      </c>
      <c r="C12" s="89" t="str">
        <f t="shared" si="2"/>
        <v>Private (Commercial) Envelope Insulation Advanced (N)</v>
      </c>
      <c r="D12" s="176" t="str">
        <f t="shared" si="3"/>
        <v>DumTER_TP_Ret12</v>
      </c>
      <c r="E12" s="89" t="str">
        <f t="shared" si="5"/>
        <v>TER_TP_SH</v>
      </c>
      <c r="F12" s="136"/>
      <c r="G12" s="90">
        <f t="shared" si="4"/>
        <v>2018</v>
      </c>
      <c r="H12" s="90">
        <v>1</v>
      </c>
      <c r="I12" s="78"/>
      <c r="J12" s="78"/>
      <c r="K12" s="78"/>
      <c r="L12" s="78"/>
      <c r="O12" s="91"/>
      <c r="P12" s="91"/>
      <c r="Q12" s="78" t="str">
        <f>Commodities!$AC$6&amp;"_Ret22"</f>
        <v>TER_TP_Ret22</v>
      </c>
      <c r="R12" s="78" t="s">
        <v>1156</v>
      </c>
      <c r="S12" s="92" t="str">
        <f>General!$B$2</f>
        <v>PJ</v>
      </c>
      <c r="T12" s="92" t="str">
        <f>General!$D$22</f>
        <v>000m2</v>
      </c>
      <c r="U12" s="92"/>
      <c r="V12" s="92" t="s">
        <v>838</v>
      </c>
      <c r="W12" s="91"/>
      <c r="X12" s="78"/>
      <c r="Y12" s="78"/>
      <c r="Z12" s="175"/>
      <c r="AA12" s="174" t="str">
        <f t="shared" si="0"/>
        <v>DumTER_TP_Ret22</v>
      </c>
      <c r="AB12" s="174" t="s">
        <v>1157</v>
      </c>
      <c r="AC12" s="92" t="str">
        <f>General!$D$22</f>
        <v>000m2</v>
      </c>
      <c r="AD12" s="85"/>
      <c r="AE12" s="175"/>
      <c r="AF12" s="174"/>
      <c r="AG12" s="174"/>
      <c r="AH12" s="175"/>
      <c r="AI12" s="78"/>
      <c r="AJ12" s="78"/>
    </row>
    <row r="13" spans="1:36" ht="13.8" x14ac:dyDescent="0.25">
      <c r="B13" s="91" t="str">
        <f t="shared" si="1"/>
        <v>TER_TP_Ret22</v>
      </c>
      <c r="C13" s="91" t="str">
        <f t="shared" si="2"/>
        <v>Private (Commercial) Windows Replacement  Advanced (N)</v>
      </c>
      <c r="D13" s="177" t="str">
        <f t="shared" si="3"/>
        <v>DumTER_TP_Ret22</v>
      </c>
      <c r="E13" s="91" t="str">
        <f t="shared" si="5"/>
        <v>TER_TP_SH</v>
      </c>
      <c r="F13" s="130"/>
      <c r="G13" s="92">
        <f t="shared" si="4"/>
        <v>2018</v>
      </c>
      <c r="H13" s="92">
        <v>1</v>
      </c>
      <c r="I13" s="78"/>
      <c r="J13" s="78"/>
      <c r="K13" s="78"/>
      <c r="L13" s="78"/>
      <c r="O13" s="91"/>
      <c r="P13" s="91"/>
      <c r="Q13" s="78" t="str">
        <f>Commodities!$AC$6&amp;"_Ret32"</f>
        <v>TER_TP_Ret32</v>
      </c>
      <c r="R13" s="78" t="s">
        <v>1158</v>
      </c>
      <c r="S13" s="92" t="str">
        <f>General!$B$2</f>
        <v>PJ</v>
      </c>
      <c r="T13" s="92" t="str">
        <f>General!$D$22</f>
        <v>000m2</v>
      </c>
      <c r="U13" s="92"/>
      <c r="V13" s="92" t="s">
        <v>838</v>
      </c>
      <c r="W13" s="91"/>
      <c r="X13" s="78"/>
      <c r="Y13" s="78"/>
      <c r="Z13" s="175"/>
      <c r="AA13" s="174" t="str">
        <f t="shared" si="0"/>
        <v>DumTER_TP_Ret32</v>
      </c>
      <c r="AB13" s="174" t="s">
        <v>1159</v>
      </c>
      <c r="AC13" s="92" t="str">
        <f>General!$D$22</f>
        <v>000m2</v>
      </c>
      <c r="AD13" s="85"/>
      <c r="AE13" s="175"/>
      <c r="AF13" s="174"/>
      <c r="AG13" s="174"/>
      <c r="AH13" s="78"/>
      <c r="AI13" s="78"/>
      <c r="AJ13" s="78"/>
    </row>
    <row r="14" spans="1:36" ht="13.8" x14ac:dyDescent="0.25">
      <c r="B14" s="86" t="str">
        <f t="shared" si="1"/>
        <v>TER_TP_Ret32</v>
      </c>
      <c r="C14" s="86" t="str">
        <f t="shared" si="2"/>
        <v>Private (Commercial) Env. Insulation&amp;Windows repl. Advanced (N)</v>
      </c>
      <c r="D14" s="178" t="str">
        <f t="shared" si="3"/>
        <v>DumTER_TP_Ret32</v>
      </c>
      <c r="E14" s="86" t="str">
        <f t="shared" si="5"/>
        <v>TER_TP_SH</v>
      </c>
      <c r="F14" s="118"/>
      <c r="G14" s="87">
        <f t="shared" si="4"/>
        <v>2018</v>
      </c>
      <c r="H14" s="87">
        <v>1</v>
      </c>
      <c r="I14" s="78"/>
      <c r="J14" s="78"/>
      <c r="K14" s="78"/>
      <c r="O14" s="91"/>
      <c r="P14" s="91"/>
      <c r="Q14" s="78" t="str">
        <f>Commodities!$AC$7&amp;"_Ret11"</f>
        <v>TER_TS_Ret11</v>
      </c>
      <c r="R14" s="78" t="s">
        <v>1142</v>
      </c>
      <c r="S14" s="92" t="str">
        <f>General!$B$2</f>
        <v>PJ</v>
      </c>
      <c r="T14" s="92" t="str">
        <f>General!$D$22</f>
        <v>000m2</v>
      </c>
      <c r="U14" s="92"/>
      <c r="V14" s="92" t="s">
        <v>838</v>
      </c>
      <c r="W14" s="91"/>
      <c r="X14" s="78"/>
      <c r="Y14" s="78"/>
      <c r="Z14" s="174"/>
      <c r="AA14" s="174" t="str">
        <f>"Dum"&amp;Q14</f>
        <v>DumTER_TS_Ret11</v>
      </c>
      <c r="AB14" s="174" t="s">
        <v>886</v>
      </c>
      <c r="AC14" s="92" t="str">
        <f>General!$D$22</f>
        <v>000m2</v>
      </c>
      <c r="AD14" s="85"/>
      <c r="AE14" s="175"/>
      <c r="AF14" s="174"/>
      <c r="AG14" s="174"/>
      <c r="AH14" s="78"/>
      <c r="AJ14" s="78"/>
    </row>
    <row r="15" spans="1:36" ht="13.8" x14ac:dyDescent="0.25">
      <c r="A15" s="78"/>
      <c r="B15" s="91" t="str">
        <f t="shared" ref="B15:C17" si="6">Q14</f>
        <v>TER_TS_Ret11</v>
      </c>
      <c r="C15" s="91" t="str">
        <f t="shared" si="6"/>
        <v>Services (Public) Envelope Insulation Standard (N)</v>
      </c>
      <c r="D15" s="177" t="str">
        <f>AA14</f>
        <v>DumTER_TS_Ret11</v>
      </c>
      <c r="E15" s="91" t="str">
        <f>Commodities!$AC$10</f>
        <v>TER_TS_SH</v>
      </c>
      <c r="F15" s="136"/>
      <c r="G15" s="148">
        <f t="shared" ref="G15:G20" si="7">BASE_YEAR+1</f>
        <v>2018</v>
      </c>
      <c r="H15" s="92">
        <v>1</v>
      </c>
      <c r="I15" s="91"/>
      <c r="J15" s="91"/>
      <c r="K15" s="91"/>
      <c r="O15" s="91"/>
      <c r="P15" s="91"/>
      <c r="Q15" s="78" t="str">
        <f>Commodities!$AC$7&amp;"_Ret21"</f>
        <v>TER_TS_Ret21</v>
      </c>
      <c r="R15" s="78" t="s">
        <v>1143</v>
      </c>
      <c r="S15" s="92" t="str">
        <f>General!$B$2</f>
        <v>PJ</v>
      </c>
      <c r="T15" s="92" t="str">
        <f>General!$D$22</f>
        <v>000m2</v>
      </c>
      <c r="U15" s="92"/>
      <c r="V15" s="92" t="s">
        <v>838</v>
      </c>
      <c r="W15" s="78"/>
      <c r="X15" s="78"/>
      <c r="Y15" s="78"/>
      <c r="Z15" s="175"/>
      <c r="AA15" s="174" t="str">
        <f>"Dum"&amp;Q15</f>
        <v>DumTER_TS_Ret21</v>
      </c>
      <c r="AB15" s="174" t="s">
        <v>887</v>
      </c>
      <c r="AC15" s="92" t="str">
        <f>General!$D$22</f>
        <v>000m2</v>
      </c>
      <c r="AD15" s="85"/>
      <c r="AE15" s="175"/>
      <c r="AF15" s="174"/>
      <c r="AG15" s="174"/>
      <c r="AH15" s="78"/>
      <c r="AJ15" s="78"/>
    </row>
    <row r="16" spans="1:36" ht="13.8" x14ac:dyDescent="0.25">
      <c r="A16" s="78"/>
      <c r="B16" s="91" t="str">
        <f t="shared" si="6"/>
        <v>TER_TS_Ret21</v>
      </c>
      <c r="C16" s="91" t="str">
        <f t="shared" si="6"/>
        <v>Services (Public) Windows Replacement  Standard (N)</v>
      </c>
      <c r="D16" s="177" t="str">
        <f>AA15</f>
        <v>DumTER_TS_Ret21</v>
      </c>
      <c r="E16" s="91" t="str">
        <f>E15</f>
        <v>TER_TS_SH</v>
      </c>
      <c r="F16" s="130"/>
      <c r="G16" s="148">
        <f t="shared" si="7"/>
        <v>2018</v>
      </c>
      <c r="H16" s="92">
        <v>1</v>
      </c>
      <c r="I16" s="91"/>
      <c r="J16" s="91"/>
      <c r="K16" s="91"/>
      <c r="O16" s="91"/>
      <c r="P16" s="91"/>
      <c r="Q16" s="78" t="str">
        <f>Commodities!$AC$7&amp;"_Ret31"</f>
        <v>TER_TS_Ret31</v>
      </c>
      <c r="R16" s="78" t="s">
        <v>1144</v>
      </c>
      <c r="S16" s="92" t="str">
        <f>General!$B$2</f>
        <v>PJ</v>
      </c>
      <c r="T16" s="92" t="str">
        <f>General!$D$22</f>
        <v>000m2</v>
      </c>
      <c r="U16" s="92"/>
      <c r="V16" s="92" t="s">
        <v>838</v>
      </c>
      <c r="W16" s="78"/>
      <c r="X16" s="78"/>
      <c r="Y16" s="78"/>
      <c r="Z16" s="175"/>
      <c r="AA16" s="174" t="str">
        <f>"Dum"&amp;Q16</f>
        <v>DumTER_TS_Ret31</v>
      </c>
      <c r="AB16" s="174" t="s">
        <v>888</v>
      </c>
      <c r="AC16" s="92" t="str">
        <f>General!$D$22</f>
        <v>000m2</v>
      </c>
      <c r="AD16" s="85"/>
      <c r="AE16" s="175"/>
      <c r="AF16" s="174"/>
      <c r="AG16" s="174"/>
      <c r="AH16" s="78"/>
      <c r="AJ16" s="78"/>
    </row>
    <row r="17" spans="2:36" ht="13.8" x14ac:dyDescent="0.25">
      <c r="B17" s="86" t="str">
        <f t="shared" si="6"/>
        <v>TER_TS_Ret31</v>
      </c>
      <c r="C17" s="86" t="str">
        <f t="shared" si="6"/>
        <v>Services (Public) Env. Insulation&amp;Windows repl. Standard (N)</v>
      </c>
      <c r="D17" s="178" t="str">
        <f>AA16</f>
        <v>DumTER_TS_Ret31</v>
      </c>
      <c r="E17" s="86" t="str">
        <f>E16</f>
        <v>TER_TS_SH</v>
      </c>
      <c r="F17" s="118"/>
      <c r="G17" s="149">
        <f t="shared" si="7"/>
        <v>2018</v>
      </c>
      <c r="H17" s="87">
        <v>1</v>
      </c>
      <c r="I17" s="78"/>
      <c r="J17" s="78"/>
      <c r="K17" s="78"/>
      <c r="O17" s="91"/>
      <c r="P17" s="91"/>
      <c r="Q17" s="78" t="str">
        <f>Commodities!$AC$7&amp;"_Ret12"</f>
        <v>TER_TS_Ret12</v>
      </c>
      <c r="R17" s="78" t="s">
        <v>1145</v>
      </c>
      <c r="S17" s="92" t="str">
        <f>General!$B$2</f>
        <v>PJ</v>
      </c>
      <c r="T17" s="92" t="str">
        <f>General!$D$22</f>
        <v>000m2</v>
      </c>
      <c r="U17" s="92"/>
      <c r="V17" s="92" t="s">
        <v>838</v>
      </c>
      <c r="W17" s="78"/>
      <c r="Y17" s="78"/>
      <c r="Z17" s="175"/>
      <c r="AA17" s="174" t="str">
        <f t="shared" ref="AA17:AA19" si="8">"Dum"&amp;Q17</f>
        <v>DumTER_TS_Ret12</v>
      </c>
      <c r="AB17" s="174" t="s">
        <v>889</v>
      </c>
      <c r="AC17" s="92" t="str">
        <f>General!$D$22</f>
        <v>000m2</v>
      </c>
      <c r="AD17" s="85"/>
      <c r="AE17" s="175"/>
      <c r="AF17" s="174"/>
      <c r="AG17" s="174"/>
      <c r="AH17" s="78"/>
      <c r="AJ17" s="78"/>
    </row>
    <row r="18" spans="2:36" ht="13.8" x14ac:dyDescent="0.25">
      <c r="B18" s="91" t="str">
        <f t="shared" ref="B18:B20" si="9">Q17</f>
        <v>TER_TS_Ret12</v>
      </c>
      <c r="C18" s="91" t="str">
        <f t="shared" ref="C18:C20" si="10">R17</f>
        <v>Services (Public) Envelope Insulation Advanced (N)</v>
      </c>
      <c r="D18" s="177" t="str">
        <f t="shared" ref="D18:D20" si="11">AA17</f>
        <v>DumTER_TS_Ret12</v>
      </c>
      <c r="E18" s="91" t="str">
        <f t="shared" ref="E18:E20" si="12">E17</f>
        <v>TER_TS_SH</v>
      </c>
      <c r="F18" s="136"/>
      <c r="G18" s="148">
        <f t="shared" si="7"/>
        <v>2018</v>
      </c>
      <c r="H18" s="92">
        <v>1</v>
      </c>
      <c r="I18" s="92"/>
      <c r="J18" s="92"/>
      <c r="K18" s="78"/>
      <c r="O18" s="91"/>
      <c r="P18" s="91"/>
      <c r="Q18" s="78" t="str">
        <f>Commodities!$AC$7&amp;"_Ret22"</f>
        <v>TER_TS_Ret22</v>
      </c>
      <c r="R18" s="78" t="s">
        <v>1146</v>
      </c>
      <c r="S18" s="92" t="str">
        <f>General!$B$2</f>
        <v>PJ</v>
      </c>
      <c r="T18" s="92" t="str">
        <f>General!$D$22</f>
        <v>000m2</v>
      </c>
      <c r="U18" s="92"/>
      <c r="V18" s="92" t="s">
        <v>838</v>
      </c>
      <c r="W18" s="78"/>
      <c r="X18" s="78"/>
      <c r="Y18" s="78"/>
      <c r="Z18" s="175"/>
      <c r="AA18" s="174" t="str">
        <f t="shared" si="8"/>
        <v>DumTER_TS_Ret22</v>
      </c>
      <c r="AB18" s="174" t="s">
        <v>890</v>
      </c>
      <c r="AC18" s="92" t="str">
        <f>General!$D$22</f>
        <v>000m2</v>
      </c>
      <c r="AD18" s="85"/>
      <c r="AE18" s="175"/>
      <c r="AF18" s="174"/>
      <c r="AG18" s="174"/>
      <c r="AH18" s="78"/>
      <c r="AJ18" s="78"/>
    </row>
    <row r="19" spans="2:36" ht="13.8" x14ac:dyDescent="0.25">
      <c r="B19" s="91" t="str">
        <f t="shared" si="9"/>
        <v>TER_TS_Ret22</v>
      </c>
      <c r="C19" s="91" t="str">
        <f t="shared" si="10"/>
        <v>Services (Public) Windows Replacement  Advanced (N)</v>
      </c>
      <c r="D19" s="177" t="str">
        <f t="shared" si="11"/>
        <v>DumTER_TS_Ret22</v>
      </c>
      <c r="E19" s="91" t="str">
        <f t="shared" si="12"/>
        <v>TER_TS_SH</v>
      </c>
      <c r="F19" s="130"/>
      <c r="G19" s="148">
        <f t="shared" si="7"/>
        <v>2018</v>
      </c>
      <c r="H19" s="92">
        <v>1</v>
      </c>
      <c r="I19" s="92"/>
      <c r="J19" s="92"/>
      <c r="K19" s="78"/>
      <c r="O19" s="91"/>
      <c r="P19" s="91"/>
      <c r="Q19" s="78" t="str">
        <f>Commodities!$AC$7&amp;"_Ret32"</f>
        <v>TER_TS_Ret32</v>
      </c>
      <c r="R19" s="78" t="s">
        <v>1147</v>
      </c>
      <c r="S19" s="92" t="str">
        <f>General!$B$2</f>
        <v>PJ</v>
      </c>
      <c r="T19" s="92" t="str">
        <f>General!$D$22</f>
        <v>000m2</v>
      </c>
      <c r="U19" s="92"/>
      <c r="V19" s="92" t="s">
        <v>838</v>
      </c>
      <c r="W19" s="78"/>
      <c r="Y19" s="78"/>
      <c r="Z19" s="175"/>
      <c r="AA19" s="174" t="str">
        <f t="shared" si="8"/>
        <v>DumTER_TS_Ret32</v>
      </c>
      <c r="AB19" s="174" t="s">
        <v>891</v>
      </c>
      <c r="AC19" s="92" t="str">
        <f>General!$D$22</f>
        <v>000m2</v>
      </c>
      <c r="AD19" s="85"/>
      <c r="AE19" s="175"/>
      <c r="AF19" s="174"/>
      <c r="AG19" s="174"/>
      <c r="AJ19" s="78"/>
    </row>
    <row r="20" spans="2:36" ht="13.8" x14ac:dyDescent="0.25">
      <c r="B20" s="86" t="str">
        <f t="shared" si="9"/>
        <v>TER_TS_Ret32</v>
      </c>
      <c r="C20" s="86" t="str">
        <f t="shared" si="10"/>
        <v>Services (Public) Env. Insulation&amp;Windows repl. Advanced (N)</v>
      </c>
      <c r="D20" s="178" t="str">
        <f t="shared" si="11"/>
        <v>DumTER_TS_Ret32</v>
      </c>
      <c r="E20" s="86" t="str">
        <f t="shared" si="12"/>
        <v>TER_TS_SH</v>
      </c>
      <c r="F20" s="118"/>
      <c r="G20" s="149">
        <f t="shared" si="7"/>
        <v>2018</v>
      </c>
      <c r="H20" s="87">
        <v>1</v>
      </c>
      <c r="I20" s="92"/>
      <c r="J20" s="92"/>
      <c r="K20" s="78"/>
      <c r="O20" s="78" t="s">
        <v>771</v>
      </c>
      <c r="P20" s="78"/>
      <c r="Q20" s="174" t="s">
        <v>1140</v>
      </c>
      <c r="R20" s="78" t="s">
        <v>1141</v>
      </c>
      <c r="S20" s="92" t="str">
        <f>General!$D$22</f>
        <v>000m2</v>
      </c>
      <c r="T20" s="92" t="str">
        <f>General!$D$22</f>
        <v>000m2</v>
      </c>
      <c r="U20" s="78"/>
      <c r="V20" s="78"/>
      <c r="W20" s="78"/>
      <c r="Y20" s="78"/>
      <c r="Z20" s="78"/>
      <c r="AA20" s="78"/>
      <c r="AB20" s="78"/>
      <c r="AC20" s="78"/>
      <c r="AD20" s="78"/>
      <c r="AE20" s="78"/>
      <c r="AF20" s="78"/>
      <c r="AG20" s="78"/>
      <c r="AJ20" s="78"/>
    </row>
    <row r="21" spans="2:36" ht="13.8" x14ac:dyDescent="0.25">
      <c r="B21" s="91"/>
      <c r="C21" s="91"/>
      <c r="D21" s="177"/>
      <c r="E21" s="78"/>
      <c r="F21" s="78"/>
      <c r="G21" s="92"/>
      <c r="H21" s="92"/>
      <c r="I21" s="92"/>
      <c r="J21" s="92"/>
      <c r="K21" s="78"/>
      <c r="O21" s="78"/>
      <c r="P21" s="92"/>
      <c r="Q21" s="92"/>
      <c r="R21" s="78"/>
      <c r="S21" s="78"/>
      <c r="T21" s="78"/>
      <c r="U21" s="78"/>
      <c r="V21" s="78"/>
      <c r="W21" s="78"/>
      <c r="Y21" s="78"/>
      <c r="Z21" s="78"/>
      <c r="AA21" s="78"/>
      <c r="AB21" s="78"/>
      <c r="AC21" s="78"/>
      <c r="AD21" s="78"/>
      <c r="AE21" s="78"/>
      <c r="AF21" s="78"/>
      <c r="AG21" s="78"/>
      <c r="AJ21" s="78"/>
    </row>
    <row r="22" spans="2:36" ht="13.8" x14ac:dyDescent="0.25">
      <c r="B22" s="91"/>
      <c r="C22" s="91"/>
      <c r="D22" s="177"/>
      <c r="E22" s="78"/>
      <c r="F22" s="78"/>
      <c r="G22" s="92"/>
      <c r="H22" s="92"/>
      <c r="I22" s="92"/>
      <c r="J22" s="92"/>
      <c r="K22" s="78"/>
      <c r="O22" s="78"/>
      <c r="P22" s="92"/>
      <c r="Q22" s="92"/>
      <c r="R22" s="78"/>
      <c r="S22" s="78"/>
      <c r="T22" s="78"/>
      <c r="U22" s="78"/>
      <c r="V22" s="78"/>
      <c r="Y22" s="78"/>
      <c r="Z22" s="78"/>
      <c r="AA22" s="78"/>
      <c r="AB22" s="78"/>
      <c r="AC22" s="78"/>
      <c r="AJ22" s="78"/>
    </row>
    <row r="23" spans="2:36" ht="13.8" x14ac:dyDescent="0.25">
      <c r="E23" s="177"/>
      <c r="F23" s="78"/>
      <c r="G23" s="78"/>
      <c r="H23" s="92"/>
      <c r="I23" s="78"/>
      <c r="Y23" s="78"/>
      <c r="Z23" s="78"/>
      <c r="AA23" s="78"/>
      <c r="AB23" s="78"/>
      <c r="AC23" s="78"/>
      <c r="AJ23" s="78"/>
    </row>
    <row r="24" spans="2:36" ht="13.8" x14ac:dyDescent="0.25">
      <c r="E24" s="177"/>
      <c r="F24" s="78"/>
      <c r="G24" s="78"/>
      <c r="H24" s="92"/>
      <c r="I24" s="78"/>
      <c r="O24" s="78"/>
      <c r="P24" s="92"/>
      <c r="Q24" s="92"/>
      <c r="R24" s="78"/>
      <c r="S24" s="78"/>
      <c r="T24" s="78"/>
      <c r="U24" s="78"/>
      <c r="V24" s="78"/>
      <c r="Y24" s="78"/>
      <c r="Z24" s="78"/>
      <c r="AA24" s="78"/>
      <c r="AB24" s="78"/>
      <c r="AC24" s="78"/>
      <c r="AJ24" s="78"/>
    </row>
    <row r="25" spans="2:36" ht="17.399999999999999" x14ac:dyDescent="0.3">
      <c r="B25" s="97" t="s">
        <v>837</v>
      </c>
      <c r="C25" s="97"/>
      <c r="D25" s="97"/>
      <c r="E25" s="97"/>
      <c r="F25" s="97"/>
      <c r="G25" s="97"/>
      <c r="H25" s="97"/>
      <c r="I25" s="97"/>
      <c r="J25" s="97"/>
      <c r="K25" s="97"/>
      <c r="Y25" s="78"/>
      <c r="Z25" s="78"/>
      <c r="AA25" s="78"/>
      <c r="AB25" s="78"/>
      <c r="AC25" s="78"/>
      <c r="AJ25" s="78"/>
    </row>
    <row r="26" spans="2:36" ht="13.8" x14ac:dyDescent="0.25">
      <c r="B26" s="78"/>
      <c r="C26" s="78"/>
      <c r="D26" s="78"/>
      <c r="F26" s="101" t="s">
        <v>0</v>
      </c>
      <c r="G26" s="78"/>
      <c r="Y26" s="78"/>
      <c r="Z26" s="78"/>
      <c r="AA26" s="78"/>
      <c r="AB26" s="78"/>
      <c r="AC26" s="78"/>
      <c r="AJ26" s="78"/>
    </row>
    <row r="27" spans="2:36" ht="13.8" x14ac:dyDescent="0.25">
      <c r="B27" s="103" t="s">
        <v>1</v>
      </c>
      <c r="C27" s="103" t="s">
        <v>728</v>
      </c>
      <c r="D27" s="103" t="s">
        <v>3</v>
      </c>
      <c r="E27" s="103" t="s">
        <v>4</v>
      </c>
      <c r="F27" s="104" t="s">
        <v>739</v>
      </c>
      <c r="G27" s="140" t="s">
        <v>14</v>
      </c>
      <c r="H27" s="140" t="s">
        <v>43</v>
      </c>
      <c r="Y27" s="78"/>
      <c r="Z27" s="78"/>
      <c r="AA27" s="78"/>
      <c r="AB27" s="78"/>
      <c r="AC27" s="78"/>
      <c r="AJ27" s="78"/>
    </row>
    <row r="28" spans="2:36" ht="14.4" thickBot="1" x14ac:dyDescent="0.3">
      <c r="B28" s="179" t="s">
        <v>772</v>
      </c>
      <c r="C28" s="179" t="s">
        <v>28</v>
      </c>
      <c r="D28" s="180" t="s">
        <v>32</v>
      </c>
      <c r="E28" s="179" t="s">
        <v>33</v>
      </c>
      <c r="F28" s="107"/>
      <c r="G28" s="108" t="s">
        <v>35</v>
      </c>
      <c r="H28" s="108"/>
      <c r="M28" s="78"/>
      <c r="N28" s="174"/>
      <c r="Y28" s="78"/>
      <c r="Z28" s="78"/>
      <c r="AA28" s="78"/>
      <c r="AB28" s="78"/>
      <c r="AC28" s="78"/>
    </row>
    <row r="29" spans="2:36" ht="14.4" thickBot="1" x14ac:dyDescent="0.3">
      <c r="B29" s="179" t="s">
        <v>773</v>
      </c>
      <c r="C29" s="179"/>
      <c r="D29" s="179"/>
      <c r="E29" s="179"/>
      <c r="F29" s="113"/>
      <c r="G29" s="179"/>
      <c r="H29" s="179"/>
      <c r="M29" s="174"/>
      <c r="N29" s="78"/>
      <c r="Y29" s="78"/>
      <c r="Z29" s="78"/>
      <c r="AA29" s="78"/>
      <c r="AB29" s="78"/>
      <c r="AC29" s="78"/>
    </row>
    <row r="30" spans="2:36" ht="13.8" x14ac:dyDescent="0.25">
      <c r="B30" s="100" t="str">
        <f>Q20</f>
        <v>Dum_TER_Retrofit</v>
      </c>
      <c r="C30" s="100" t="str">
        <f>R20</f>
        <v>Dummy Process to control Total Retrofits (TER)</v>
      </c>
      <c r="D30" s="78"/>
      <c r="E30" s="100" t="str">
        <f t="shared" ref="E30:E41" si="13">AA8</f>
        <v>DumTER_TP_Ret11</v>
      </c>
      <c r="F30" s="130"/>
      <c r="G30" s="181">
        <f>BASE_YEAR+1</f>
        <v>2018</v>
      </c>
      <c r="I30" s="182"/>
      <c r="M30" s="78"/>
      <c r="N30" s="174"/>
      <c r="Y30" s="78"/>
      <c r="Z30" s="78"/>
      <c r="AA30" s="78"/>
      <c r="AB30" s="78"/>
      <c r="AC30" s="78"/>
    </row>
    <row r="31" spans="2:36" ht="13.8" x14ac:dyDescent="0.25">
      <c r="B31" s="100"/>
      <c r="C31" s="100"/>
      <c r="D31" s="78"/>
      <c r="E31" s="100" t="str">
        <f t="shared" si="13"/>
        <v>DumTER_TP_Ret21</v>
      </c>
      <c r="F31" s="130"/>
      <c r="G31" s="163"/>
      <c r="M31" s="78"/>
      <c r="N31" s="174"/>
      <c r="Y31" s="78"/>
      <c r="Z31" s="78"/>
      <c r="AA31" s="78"/>
      <c r="AB31" s="78"/>
      <c r="AC31" s="78"/>
    </row>
    <row r="32" spans="2:36" ht="13.8" x14ac:dyDescent="0.25">
      <c r="B32" s="100"/>
      <c r="C32" s="100"/>
      <c r="E32" s="100" t="str">
        <f t="shared" si="13"/>
        <v>DumTER_TP_Ret31</v>
      </c>
      <c r="F32" s="130"/>
      <c r="G32" s="163"/>
      <c r="M32" s="78"/>
      <c r="N32" s="174"/>
      <c r="Y32" s="78"/>
      <c r="Z32" s="78"/>
      <c r="AA32" s="78"/>
      <c r="AB32" s="78"/>
      <c r="AC32" s="78"/>
    </row>
    <row r="33" spans="2:34" ht="13.8" x14ac:dyDescent="0.25">
      <c r="B33" s="100"/>
      <c r="C33" s="100"/>
      <c r="D33" s="78"/>
      <c r="E33" s="100" t="str">
        <f t="shared" si="13"/>
        <v>DumTER_TP_Ret12</v>
      </c>
      <c r="F33" s="130"/>
      <c r="G33" s="163"/>
      <c r="M33" s="78"/>
      <c r="N33" s="174"/>
      <c r="Y33" s="78"/>
      <c r="Z33" s="78"/>
      <c r="AA33" s="78"/>
      <c r="AB33" s="78"/>
      <c r="AC33" s="78"/>
    </row>
    <row r="34" spans="2:34" ht="13.8" x14ac:dyDescent="0.25">
      <c r="B34" s="100"/>
      <c r="C34" s="100"/>
      <c r="D34" s="78"/>
      <c r="E34" s="100" t="str">
        <f t="shared" si="13"/>
        <v>DumTER_TP_Ret22</v>
      </c>
      <c r="F34" s="130"/>
      <c r="G34" s="163"/>
      <c r="M34" s="78"/>
      <c r="N34" s="174"/>
      <c r="Y34" s="78"/>
      <c r="Z34" s="78"/>
      <c r="AA34" s="78"/>
      <c r="AB34" s="78"/>
      <c r="AC34" s="78"/>
    </row>
    <row r="35" spans="2:34" ht="13.8" x14ac:dyDescent="0.25">
      <c r="B35" s="100"/>
      <c r="C35" s="100"/>
      <c r="E35" s="100" t="str">
        <f t="shared" si="13"/>
        <v>DumTER_TP_Ret32</v>
      </c>
      <c r="F35" s="130"/>
      <c r="G35" s="163"/>
      <c r="M35" s="78"/>
      <c r="N35" s="174"/>
      <c r="X35" s="78"/>
      <c r="Y35" s="78"/>
      <c r="Z35" s="78"/>
      <c r="AA35" s="78"/>
      <c r="AB35" s="78"/>
      <c r="AC35" s="78"/>
      <c r="AH35" s="78"/>
    </row>
    <row r="36" spans="2:34" ht="13.8" x14ac:dyDescent="0.25">
      <c r="B36" s="177"/>
      <c r="C36" s="177"/>
      <c r="D36" s="123"/>
      <c r="E36" s="100" t="str">
        <f t="shared" si="13"/>
        <v>DumTER_TS_Ret11</v>
      </c>
      <c r="F36" s="130"/>
      <c r="G36" s="131"/>
      <c r="M36" s="78"/>
      <c r="N36" s="174"/>
      <c r="X36" s="78"/>
      <c r="Y36" s="78"/>
      <c r="Z36" s="78"/>
      <c r="AA36" s="78"/>
      <c r="AB36" s="78"/>
      <c r="AC36" s="78"/>
      <c r="AH36" s="78"/>
    </row>
    <row r="37" spans="2:34" ht="13.8" x14ac:dyDescent="0.25">
      <c r="B37" s="91"/>
      <c r="C37" s="91"/>
      <c r="D37" s="177"/>
      <c r="E37" s="100" t="str">
        <f t="shared" si="13"/>
        <v>DumTER_TS_Ret21</v>
      </c>
      <c r="F37" s="115"/>
      <c r="G37" s="92"/>
      <c r="X37" s="78"/>
      <c r="Y37" s="78"/>
      <c r="Z37" s="78"/>
      <c r="AA37" s="78"/>
      <c r="AB37" s="78"/>
      <c r="AC37" s="78"/>
      <c r="AH37" s="78"/>
    </row>
    <row r="38" spans="2:34" ht="13.8" x14ac:dyDescent="0.25">
      <c r="B38" s="91"/>
      <c r="C38" s="91"/>
      <c r="D38" s="78"/>
      <c r="E38" s="100" t="str">
        <f t="shared" si="13"/>
        <v>DumTER_TS_Ret31</v>
      </c>
      <c r="F38" s="115"/>
      <c r="G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</row>
    <row r="39" spans="2:34" ht="13.8" x14ac:dyDescent="0.25">
      <c r="E39" s="100" t="str">
        <f t="shared" si="13"/>
        <v>DumTER_TS_Ret12</v>
      </c>
      <c r="F39" s="183"/>
      <c r="G39" s="78"/>
      <c r="H39" s="78"/>
      <c r="I39" s="78"/>
      <c r="J39" s="78"/>
      <c r="W39" s="123"/>
      <c r="X39" s="78"/>
      <c r="Y39" s="78"/>
      <c r="Z39" s="78"/>
      <c r="AA39" s="78"/>
      <c r="AB39" s="78"/>
      <c r="AC39" s="78"/>
      <c r="AD39" s="78"/>
      <c r="AE39" s="78"/>
      <c r="AF39" s="78"/>
      <c r="AG39" s="78"/>
    </row>
    <row r="40" spans="2:34" ht="13.8" x14ac:dyDescent="0.25">
      <c r="E40" s="100" t="str">
        <f t="shared" si="13"/>
        <v>DumTER_TS_Ret22</v>
      </c>
      <c r="F40" s="183"/>
      <c r="G40" s="78"/>
      <c r="H40" s="78"/>
      <c r="W40" s="184"/>
      <c r="X40" s="78"/>
      <c r="Y40" s="78"/>
      <c r="Z40" s="78"/>
      <c r="AA40" s="78"/>
      <c r="AB40" s="78"/>
      <c r="AC40" s="78"/>
      <c r="AD40" s="78"/>
      <c r="AE40" s="78"/>
      <c r="AF40" s="78"/>
      <c r="AG40" s="78"/>
    </row>
    <row r="41" spans="2:34" ht="13.8" x14ac:dyDescent="0.25">
      <c r="E41" s="100" t="str">
        <f t="shared" si="13"/>
        <v>DumTER_TS_Ret32</v>
      </c>
      <c r="F41" s="183"/>
      <c r="G41" s="78"/>
      <c r="H41" s="78"/>
      <c r="U41" s="78"/>
      <c r="V41" s="78"/>
      <c r="W41" s="91"/>
      <c r="X41" s="78"/>
      <c r="Y41" s="78"/>
      <c r="Z41" s="78"/>
      <c r="AA41" s="78"/>
      <c r="AB41" s="78"/>
      <c r="AC41" s="78"/>
      <c r="AD41" s="78"/>
      <c r="AE41" s="78"/>
      <c r="AF41" s="78"/>
      <c r="AG41" s="78"/>
    </row>
    <row r="42" spans="2:34" ht="13.8" x14ac:dyDescent="0.25">
      <c r="E42" s="100"/>
      <c r="G42" s="78"/>
      <c r="H42" s="78"/>
      <c r="U42" s="123"/>
      <c r="V42" s="123"/>
      <c r="W42" s="91"/>
      <c r="X42" s="78"/>
      <c r="Y42" s="78"/>
    </row>
    <row r="43" spans="2:34" ht="13.8" x14ac:dyDescent="0.25">
      <c r="E43" s="100"/>
      <c r="G43" s="78"/>
      <c r="H43" s="78"/>
      <c r="U43" s="184"/>
      <c r="V43" s="184"/>
      <c r="W43" s="91"/>
      <c r="X43" s="78"/>
      <c r="Y43" s="78"/>
    </row>
    <row r="44" spans="2:34" ht="13.8" x14ac:dyDescent="0.25">
      <c r="G44" s="78"/>
      <c r="H44" s="78"/>
      <c r="O44" s="123"/>
      <c r="P44" s="185"/>
      <c r="Q44" s="123"/>
      <c r="R44" s="91"/>
      <c r="S44" s="186"/>
      <c r="T44" s="91"/>
      <c r="U44" s="91"/>
      <c r="V44" s="91"/>
      <c r="W44" s="91"/>
      <c r="X44" s="78"/>
      <c r="Y44" s="78"/>
    </row>
    <row r="45" spans="2:34" ht="13.8" x14ac:dyDescent="0.25">
      <c r="G45" s="78"/>
      <c r="H45" s="78"/>
      <c r="O45" s="123"/>
      <c r="P45" s="185"/>
      <c r="Q45" s="123"/>
      <c r="R45" s="91"/>
      <c r="S45" s="186"/>
      <c r="T45" s="91"/>
      <c r="U45" s="91"/>
      <c r="V45" s="91"/>
      <c r="W45" s="91"/>
      <c r="X45" s="78"/>
      <c r="Y45" s="78"/>
    </row>
    <row r="46" spans="2:34" ht="13.8" x14ac:dyDescent="0.25">
      <c r="G46" s="78"/>
      <c r="H46" s="78"/>
      <c r="L46" s="78"/>
      <c r="O46" s="123"/>
      <c r="P46" s="185"/>
      <c r="Q46" s="123"/>
      <c r="R46" s="91"/>
      <c r="S46" s="186"/>
      <c r="T46" s="91"/>
      <c r="U46" s="91"/>
      <c r="V46" s="91"/>
      <c r="W46" s="91"/>
      <c r="X46" s="78"/>
      <c r="Y46" s="78"/>
    </row>
    <row r="47" spans="2:34" ht="13.8" x14ac:dyDescent="0.25">
      <c r="G47" s="78"/>
      <c r="H47" s="78"/>
      <c r="L47" s="78"/>
      <c r="O47" s="123"/>
      <c r="P47" s="185"/>
      <c r="Q47" s="123"/>
      <c r="R47" s="91"/>
      <c r="S47" s="186"/>
      <c r="T47" s="91"/>
      <c r="U47" s="91"/>
      <c r="V47" s="91"/>
      <c r="W47" s="91"/>
      <c r="X47" s="78"/>
      <c r="Y47" s="78"/>
    </row>
    <row r="48" spans="2:34" ht="13.8" x14ac:dyDescent="0.25">
      <c r="G48" s="78"/>
      <c r="H48" s="78"/>
      <c r="L48" s="78"/>
      <c r="O48" s="123"/>
      <c r="P48" s="185"/>
      <c r="Q48" s="123"/>
      <c r="R48" s="91"/>
      <c r="S48" s="186"/>
      <c r="T48" s="91"/>
      <c r="U48" s="91"/>
      <c r="V48" s="91"/>
      <c r="W48" s="91"/>
      <c r="Y48" s="78"/>
    </row>
    <row r="49" spans="7:25" ht="13.8" x14ac:dyDescent="0.25">
      <c r="G49" s="78"/>
      <c r="H49" s="78"/>
      <c r="L49" s="78"/>
      <c r="O49" s="123"/>
      <c r="P49" s="185"/>
      <c r="Q49" s="123"/>
      <c r="R49" s="91"/>
      <c r="S49" s="186"/>
      <c r="T49" s="91"/>
      <c r="U49" s="91"/>
      <c r="V49" s="91"/>
      <c r="W49" s="91"/>
      <c r="Y49" s="78"/>
    </row>
    <row r="50" spans="7:25" ht="13.8" x14ac:dyDescent="0.25">
      <c r="G50" s="78"/>
      <c r="H50" s="78"/>
      <c r="L50" s="78"/>
      <c r="O50" s="123"/>
      <c r="P50" s="185"/>
      <c r="Q50" s="123"/>
      <c r="R50" s="91"/>
      <c r="S50" s="186"/>
      <c r="T50" s="91"/>
      <c r="U50" s="91"/>
      <c r="V50" s="91"/>
      <c r="W50" s="91"/>
      <c r="Y50" s="78"/>
    </row>
    <row r="51" spans="7:25" ht="13.8" x14ac:dyDescent="0.25">
      <c r="G51" s="78"/>
      <c r="H51" s="78"/>
      <c r="L51" s="78"/>
      <c r="O51" s="123"/>
      <c r="P51" s="185"/>
      <c r="Q51" s="123"/>
      <c r="R51" s="91"/>
      <c r="S51" s="186"/>
      <c r="T51" s="91"/>
      <c r="U51" s="91"/>
      <c r="V51" s="91"/>
      <c r="Y51" s="78"/>
    </row>
    <row r="52" spans="7:25" ht="13.8" x14ac:dyDescent="0.25">
      <c r="G52" s="78"/>
      <c r="H52" s="78"/>
      <c r="L52" s="78"/>
      <c r="O52" s="91"/>
      <c r="P52" s="91"/>
      <c r="Q52" s="91"/>
      <c r="R52" s="91"/>
      <c r="S52" s="91"/>
      <c r="T52" s="91"/>
      <c r="U52" s="91"/>
      <c r="V52" s="91"/>
      <c r="Y52" s="78"/>
    </row>
    <row r="53" spans="7:25" ht="13.8" x14ac:dyDescent="0.25">
      <c r="G53" s="78"/>
      <c r="H53" s="78"/>
      <c r="O53" s="91"/>
      <c r="P53" s="91"/>
      <c r="Q53" s="91"/>
      <c r="R53" s="91"/>
      <c r="S53" s="91"/>
      <c r="T53" s="91"/>
      <c r="U53" s="91"/>
      <c r="V53" s="91"/>
      <c r="Y53" s="78"/>
    </row>
    <row r="54" spans="7:25" ht="13.8" x14ac:dyDescent="0.25">
      <c r="G54" s="78"/>
      <c r="H54" s="78"/>
      <c r="O54" s="78"/>
      <c r="Y54" s="78"/>
    </row>
    <row r="55" spans="7:25" ht="13.8" x14ac:dyDescent="0.25">
      <c r="G55" s="78"/>
      <c r="H55" s="78"/>
      <c r="Y55" s="78"/>
    </row>
    <row r="56" spans="7:25" ht="13.8" x14ac:dyDescent="0.25">
      <c r="G56" s="78"/>
      <c r="H56" s="78"/>
      <c r="M56" s="78"/>
      <c r="N56" s="78"/>
      <c r="Y56" s="78"/>
    </row>
    <row r="57" spans="7:25" ht="13.8" x14ac:dyDescent="0.25">
      <c r="G57" s="78"/>
      <c r="H57" s="78"/>
      <c r="M57" s="78"/>
      <c r="N57" s="78"/>
    </row>
    <row r="58" spans="7:25" ht="13.8" x14ac:dyDescent="0.25">
      <c r="G58" s="78"/>
      <c r="H58" s="78"/>
      <c r="M58" s="78"/>
      <c r="N58" s="78"/>
    </row>
    <row r="59" spans="7:25" ht="13.8" x14ac:dyDescent="0.25">
      <c r="G59" s="78"/>
      <c r="H59" s="78"/>
      <c r="M59" s="78"/>
      <c r="N59" s="78"/>
    </row>
    <row r="60" spans="7:25" ht="13.8" x14ac:dyDescent="0.25">
      <c r="G60" s="78"/>
      <c r="H60" s="78"/>
      <c r="M60" s="78"/>
      <c r="N60" s="78"/>
    </row>
    <row r="61" spans="7:25" ht="13.8" x14ac:dyDescent="0.25">
      <c r="G61" s="78"/>
      <c r="H61" s="78"/>
      <c r="M61" s="78"/>
      <c r="N61" s="78"/>
    </row>
    <row r="62" spans="7:25" ht="13.8" x14ac:dyDescent="0.25">
      <c r="G62" s="78"/>
      <c r="H62" s="78"/>
      <c r="M62" s="78"/>
      <c r="N62" s="78"/>
    </row>
    <row r="63" spans="7:25" ht="13.8" x14ac:dyDescent="0.25">
      <c r="G63" s="78"/>
      <c r="H63" s="78"/>
      <c r="M63" s="78"/>
      <c r="N63" s="78"/>
    </row>
    <row r="64" spans="7:25" ht="13.8" x14ac:dyDescent="0.25">
      <c r="G64" s="78"/>
      <c r="H64" s="78"/>
      <c r="M64" s="78"/>
      <c r="N64" s="78"/>
    </row>
    <row r="65" spans="13:14" ht="13.8" x14ac:dyDescent="0.25">
      <c r="M65" s="78"/>
      <c r="N65" s="78"/>
    </row>
    <row r="66" spans="13:14" ht="13.8" x14ac:dyDescent="0.25">
      <c r="M66" s="78"/>
      <c r="N66" s="7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29"/>
  <sheetViews>
    <sheetView workbookViewId="0">
      <selection activeCell="D10" sqref="D10"/>
    </sheetView>
  </sheetViews>
  <sheetFormatPr defaultColWidth="9.109375" defaultRowHeight="13.2" x14ac:dyDescent="0.25"/>
  <cols>
    <col min="1" max="1" width="27.109375" style="8" bestFit="1" customWidth="1"/>
    <col min="2" max="2" width="36.44140625" style="8" bestFit="1" customWidth="1"/>
    <col min="3" max="3" width="17.33203125" style="8" bestFit="1" customWidth="1"/>
    <col min="4" max="4" width="9.88671875" style="8" bestFit="1" customWidth="1"/>
    <col min="5" max="5" width="13.5546875" style="8" bestFit="1" customWidth="1"/>
    <col min="6" max="6" width="5" style="8" bestFit="1" customWidth="1"/>
    <col min="7" max="8" width="9.109375" style="8"/>
    <col min="9" max="9" width="10.44140625" style="8" customWidth="1"/>
    <col min="10" max="16384" width="9.109375" style="8"/>
  </cols>
  <sheetData>
    <row r="1" spans="1:6" ht="14.4" x14ac:dyDescent="0.3">
      <c r="A1" s="6" t="s">
        <v>690</v>
      </c>
      <c r="B1" s="7"/>
      <c r="E1" s="2" t="s">
        <v>691</v>
      </c>
      <c r="F1" s="5">
        <v>2017</v>
      </c>
    </row>
    <row r="2" spans="1:6" ht="15.6" x14ac:dyDescent="0.3">
      <c r="A2" s="2" t="s">
        <v>692</v>
      </c>
      <c r="B2" s="3" t="s">
        <v>169</v>
      </c>
      <c r="E2" s="2" t="s">
        <v>693</v>
      </c>
      <c r="F2" s="5">
        <v>2050</v>
      </c>
    </row>
    <row r="3" spans="1:6" ht="15.6" x14ac:dyDescent="0.3">
      <c r="A3" s="2" t="s">
        <v>694</v>
      </c>
      <c r="B3" s="3" t="s">
        <v>892</v>
      </c>
    </row>
    <row r="4" spans="1:6" ht="15.6" x14ac:dyDescent="0.3">
      <c r="A4" s="2" t="s">
        <v>695</v>
      </c>
      <c r="B4" s="3" t="s">
        <v>696</v>
      </c>
    </row>
    <row r="5" spans="1:6" ht="15.6" x14ac:dyDescent="0.3">
      <c r="A5" s="2" t="s">
        <v>697</v>
      </c>
      <c r="B5" s="3" t="s">
        <v>698</v>
      </c>
      <c r="C5" s="4"/>
    </row>
    <row r="8" spans="1:6" ht="14.4" x14ac:dyDescent="0.3">
      <c r="A8" s="9" t="s">
        <v>699</v>
      </c>
      <c r="B8" s="9"/>
    </row>
    <row r="10" spans="1:6" ht="14.4" x14ac:dyDescent="0.3">
      <c r="A10" s="6" t="s">
        <v>700</v>
      </c>
      <c r="B10" s="6" t="s">
        <v>701</v>
      </c>
      <c r="C10" s="6" t="s">
        <v>702</v>
      </c>
      <c r="D10" s="6" t="s">
        <v>703</v>
      </c>
      <c r="E10" s="6" t="s">
        <v>704</v>
      </c>
    </row>
    <row r="11" spans="1:6" ht="14.4" x14ac:dyDescent="0.3">
      <c r="A11" s="10" t="s">
        <v>705</v>
      </c>
      <c r="B11" s="2" t="s">
        <v>706</v>
      </c>
      <c r="C11" s="2" t="s">
        <v>707</v>
      </c>
      <c r="D11" s="5" t="s">
        <v>708</v>
      </c>
      <c r="E11" s="5"/>
    </row>
    <row r="12" spans="1:6" ht="14.4" x14ac:dyDescent="0.3">
      <c r="A12" s="10" t="s">
        <v>45</v>
      </c>
      <c r="B12" s="2" t="s">
        <v>709</v>
      </c>
      <c r="C12" s="2" t="s">
        <v>710</v>
      </c>
      <c r="D12" s="5" t="s">
        <v>893</v>
      </c>
      <c r="E12" s="5" t="str">
        <f>B3&amp;"/"&amp;B2</f>
        <v>M$/PJ</v>
      </c>
    </row>
    <row r="13" spans="1:6" ht="14.4" x14ac:dyDescent="0.3">
      <c r="A13" s="10" t="s">
        <v>41</v>
      </c>
      <c r="B13" s="2" t="s">
        <v>711</v>
      </c>
      <c r="C13" s="2" t="s">
        <v>707</v>
      </c>
      <c r="D13" s="5" t="str">
        <f>B2&amp;"/year"</f>
        <v>PJ/year</v>
      </c>
      <c r="E13" s="5"/>
    </row>
    <row r="14" spans="1:6" ht="14.4" x14ac:dyDescent="0.3">
      <c r="A14" s="10" t="s">
        <v>5</v>
      </c>
      <c r="B14" s="2" t="s">
        <v>37</v>
      </c>
      <c r="C14" s="2" t="s">
        <v>707</v>
      </c>
      <c r="D14" s="5" t="s">
        <v>894</v>
      </c>
      <c r="E14" s="5" t="str">
        <f>B3&amp;"/"&amp;B2&amp;"/a"</f>
        <v>M$/PJ/a</v>
      </c>
    </row>
    <row r="15" spans="1:6" ht="14.4" x14ac:dyDescent="0.3">
      <c r="A15" s="10" t="s">
        <v>34</v>
      </c>
      <c r="B15" s="2" t="s">
        <v>38</v>
      </c>
      <c r="C15" s="2" t="s">
        <v>707</v>
      </c>
      <c r="D15" s="5" t="s">
        <v>893</v>
      </c>
      <c r="E15" s="5" t="str">
        <f>B3&amp;"/"&amp;B2</f>
        <v>M$/PJ</v>
      </c>
    </row>
    <row r="16" spans="1:6" ht="14.4" x14ac:dyDescent="0.3">
      <c r="A16" s="10" t="s">
        <v>48</v>
      </c>
      <c r="B16" s="2" t="s">
        <v>712</v>
      </c>
      <c r="C16" s="2" t="s">
        <v>707</v>
      </c>
      <c r="D16" s="5" t="s">
        <v>713</v>
      </c>
      <c r="E16" s="5" t="str">
        <f>B2&amp;"/"&amp;B5</f>
        <v>PJ/GW</v>
      </c>
    </row>
    <row r="17" spans="1:5" ht="14.4" x14ac:dyDescent="0.3">
      <c r="A17" s="10" t="s">
        <v>705</v>
      </c>
      <c r="B17" s="2" t="s">
        <v>706</v>
      </c>
      <c r="C17" s="2" t="s">
        <v>707</v>
      </c>
      <c r="D17" s="5" t="s">
        <v>708</v>
      </c>
      <c r="E17" s="5"/>
    </row>
    <row r="18" spans="1:5" ht="14.4" x14ac:dyDescent="0.3">
      <c r="A18" s="10" t="s">
        <v>49</v>
      </c>
      <c r="B18" s="2" t="s">
        <v>714</v>
      </c>
      <c r="C18" s="2"/>
      <c r="D18" s="5" t="s">
        <v>833</v>
      </c>
      <c r="E18" s="5" t="s">
        <v>192</v>
      </c>
    </row>
    <row r="19" spans="1:5" ht="14.4" x14ac:dyDescent="0.3">
      <c r="A19" s="10" t="s">
        <v>48</v>
      </c>
      <c r="B19" s="2" t="s">
        <v>715</v>
      </c>
      <c r="C19" s="2"/>
      <c r="D19" s="5" t="str">
        <f>IF(B2="PJ","TJ/unit","GJ/unit")</f>
        <v>TJ/unit</v>
      </c>
      <c r="E19" s="5"/>
    </row>
    <row r="20" spans="1:5" ht="14.4" x14ac:dyDescent="0.3">
      <c r="A20" s="10" t="s">
        <v>47</v>
      </c>
      <c r="B20" s="2" t="s">
        <v>716</v>
      </c>
      <c r="C20" s="2" t="s">
        <v>707</v>
      </c>
      <c r="D20" s="5" t="s">
        <v>39</v>
      </c>
      <c r="E20" s="5"/>
    </row>
    <row r="21" spans="1:5" ht="14.4" x14ac:dyDescent="0.3">
      <c r="A21" s="10" t="s">
        <v>49</v>
      </c>
      <c r="B21" s="2" t="s">
        <v>714</v>
      </c>
      <c r="C21" s="2" t="s">
        <v>717</v>
      </c>
      <c r="D21" s="5" t="str">
        <f>B2&amp;"/year"</f>
        <v>PJ/year</v>
      </c>
      <c r="E21" s="5"/>
    </row>
    <row r="22" spans="1:5" ht="14.4" x14ac:dyDescent="0.3">
      <c r="A22" s="10" t="s">
        <v>18</v>
      </c>
      <c r="B22" s="2" t="s">
        <v>29</v>
      </c>
      <c r="C22" s="2" t="s">
        <v>718</v>
      </c>
      <c r="D22" s="5" t="s">
        <v>719</v>
      </c>
      <c r="E22" s="5"/>
    </row>
    <row r="23" spans="1:5" ht="14.4" x14ac:dyDescent="0.3">
      <c r="A23" s="10" t="s">
        <v>19</v>
      </c>
      <c r="B23" s="2" t="s">
        <v>720</v>
      </c>
      <c r="C23" s="2" t="s">
        <v>718</v>
      </c>
      <c r="D23" s="5" t="s">
        <v>719</v>
      </c>
      <c r="E23" s="5"/>
    </row>
    <row r="24" spans="1:5" ht="14.4" x14ac:dyDescent="0.3">
      <c r="A24" s="10" t="s">
        <v>49</v>
      </c>
      <c r="B24" s="2" t="s">
        <v>714</v>
      </c>
      <c r="C24" s="2" t="s">
        <v>721</v>
      </c>
      <c r="D24" s="5" t="s">
        <v>722</v>
      </c>
      <c r="E24" s="5"/>
    </row>
    <row r="25" spans="1:5" ht="14.4" x14ac:dyDescent="0.3">
      <c r="A25" s="10" t="s">
        <v>36</v>
      </c>
      <c r="B25" s="2"/>
      <c r="C25" s="2" t="s">
        <v>764</v>
      </c>
      <c r="D25" s="5" t="s">
        <v>893</v>
      </c>
      <c r="E25" s="5"/>
    </row>
    <row r="26" spans="1:5" ht="13.5" customHeight="1" x14ac:dyDescent="0.3">
      <c r="A26" s="10" t="s">
        <v>763</v>
      </c>
      <c r="B26" s="2"/>
      <c r="C26" s="2"/>
      <c r="D26" s="5" t="s">
        <v>895</v>
      </c>
      <c r="E26" s="5"/>
    </row>
    <row r="27" spans="1:5" ht="13.5" customHeight="1" x14ac:dyDescent="0.3">
      <c r="A27" s="10"/>
      <c r="B27" s="2"/>
      <c r="C27" s="2"/>
      <c r="D27" s="5" t="s">
        <v>896</v>
      </c>
      <c r="E27" s="5"/>
    </row>
    <row r="28" spans="1:5" ht="13.5" customHeight="1" x14ac:dyDescent="0.3">
      <c r="A28" s="10"/>
      <c r="B28" s="2"/>
      <c r="C28" s="2"/>
      <c r="D28" s="5" t="s">
        <v>897</v>
      </c>
      <c r="E28" s="5"/>
    </row>
    <row r="29" spans="1:5" ht="14.4" x14ac:dyDescent="0.3">
      <c r="A29" s="10" t="s">
        <v>757</v>
      </c>
      <c r="B29" s="2" t="s">
        <v>774</v>
      </c>
      <c r="C29" s="2"/>
      <c r="D29" s="5" t="s">
        <v>775</v>
      </c>
      <c r="E29" s="5" t="s">
        <v>776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theme="2" tint="-0.499984740745262"/>
  </sheetPr>
  <dimension ref="A1:Q97"/>
  <sheetViews>
    <sheetView topLeftCell="A26" zoomScale="60" zoomScaleNormal="60" workbookViewId="0">
      <selection activeCell="H70" sqref="H70:O73"/>
    </sheetView>
  </sheetViews>
  <sheetFormatPr defaultColWidth="9.109375" defaultRowHeight="13.2" x14ac:dyDescent="0.25"/>
  <cols>
    <col min="1" max="1" width="10.88671875" style="1" customWidth="1"/>
    <col min="2" max="2" width="21.44140625" style="20" customWidth="1"/>
    <col min="3" max="3" width="76.33203125" style="1" bestFit="1" customWidth="1"/>
    <col min="4" max="5" width="16.88671875" style="1" customWidth="1"/>
    <col min="6" max="7" width="17.109375" style="1" customWidth="1"/>
    <col min="8" max="8" width="22.109375" style="1" customWidth="1"/>
    <col min="9" max="9" width="24" style="1" customWidth="1"/>
    <col min="10" max="10" width="19.33203125" style="1" customWidth="1"/>
    <col min="11" max="11" width="11.33203125" style="1" customWidth="1"/>
    <col min="12" max="12" width="15.6640625" style="1" customWidth="1"/>
    <col min="13" max="13" width="23.88671875" style="1" customWidth="1"/>
    <col min="14" max="14" width="17.33203125" style="1" customWidth="1"/>
    <col min="15" max="15" width="15" style="1" customWidth="1"/>
    <col min="16" max="16" width="22.88671875" style="1" customWidth="1"/>
    <col min="17" max="17" width="25.88671875" style="1" customWidth="1"/>
    <col min="18" max="16384" width="9.109375" style="1"/>
  </cols>
  <sheetData>
    <row r="1" spans="1:17" x14ac:dyDescent="0.25">
      <c r="A1" s="11" t="s">
        <v>777</v>
      </c>
      <c r="B1" s="1"/>
    </row>
    <row r="2" spans="1:17" ht="13.8" thickBot="1" x14ac:dyDescent="0.3">
      <c r="B2" s="1"/>
    </row>
    <row r="3" spans="1:17" ht="24" customHeight="1" thickBot="1" x14ac:dyDescent="0.3">
      <c r="B3" s="58" t="s">
        <v>778</v>
      </c>
      <c r="C3" s="12"/>
      <c r="D3" s="13">
        <v>10</v>
      </c>
      <c r="E3" s="13">
        <v>12</v>
      </c>
      <c r="F3" s="13">
        <v>13</v>
      </c>
      <c r="G3" s="13">
        <v>11</v>
      </c>
      <c r="H3" s="13">
        <v>3</v>
      </c>
      <c r="I3" s="13">
        <v>8</v>
      </c>
      <c r="J3" s="13">
        <v>9</v>
      </c>
      <c r="K3" s="13">
        <v>14</v>
      </c>
      <c r="L3" s="13"/>
      <c r="M3" s="13"/>
      <c r="N3" s="13"/>
      <c r="P3" s="14" t="s">
        <v>779</v>
      </c>
      <c r="Q3" s="15"/>
    </row>
    <row r="4" spans="1:17" ht="27.75" customHeight="1" x14ac:dyDescent="0.25">
      <c r="B4" s="59" t="s">
        <v>780</v>
      </c>
      <c r="C4" s="16" t="s">
        <v>40</v>
      </c>
      <c r="D4" s="16" t="s">
        <v>781</v>
      </c>
      <c r="E4" s="16" t="s">
        <v>782</v>
      </c>
      <c r="F4" s="16" t="s">
        <v>783</v>
      </c>
      <c r="G4" s="16" t="s">
        <v>784</v>
      </c>
      <c r="H4" s="47" t="s">
        <v>1160</v>
      </c>
      <c r="I4" s="47" t="s">
        <v>1161</v>
      </c>
      <c r="J4" s="47" t="s">
        <v>1162</v>
      </c>
      <c r="K4" s="17" t="s">
        <v>47</v>
      </c>
      <c r="L4" s="17" t="s">
        <v>785</v>
      </c>
      <c r="M4" s="17" t="s">
        <v>786</v>
      </c>
      <c r="N4" s="17" t="s">
        <v>787</v>
      </c>
      <c r="P4" s="18" t="s">
        <v>788</v>
      </c>
      <c r="Q4" s="19" t="s">
        <v>789</v>
      </c>
    </row>
    <row r="5" spans="1:17" x14ac:dyDescent="0.25">
      <c r="B5" s="20" t="s">
        <v>803</v>
      </c>
      <c r="C5" s="76" t="s">
        <v>1190</v>
      </c>
      <c r="D5" s="46">
        <v>0.55000000000000004</v>
      </c>
      <c r="E5" s="46"/>
      <c r="F5" s="46"/>
      <c r="G5" s="46"/>
      <c r="H5" s="74">
        <f>301*(1/0.9)</f>
        <v>334.44444444444446</v>
      </c>
      <c r="I5" s="74">
        <f>121.5*(1/0.9)</f>
        <v>135</v>
      </c>
      <c r="J5" s="74">
        <f t="shared" ref="J5:J30" si="0">0*(1/0.9)</f>
        <v>0</v>
      </c>
      <c r="K5" s="60">
        <v>15</v>
      </c>
      <c r="L5" s="49"/>
      <c r="M5" s="49"/>
      <c r="P5" s="24" t="s">
        <v>790</v>
      </c>
      <c r="Q5" s="19" t="s">
        <v>791</v>
      </c>
    </row>
    <row r="6" spans="1:17" x14ac:dyDescent="0.25">
      <c r="B6" s="20" t="s">
        <v>792</v>
      </c>
      <c r="C6" s="76" t="s">
        <v>1191</v>
      </c>
      <c r="D6" s="46">
        <v>0.57999999999999996</v>
      </c>
      <c r="E6" s="46"/>
      <c r="F6" s="46"/>
      <c r="G6" s="46"/>
      <c r="H6" s="75">
        <f>283.289790372671*(1/0.9)</f>
        <v>314.76643374741207</v>
      </c>
      <c r="I6" s="75">
        <f>6.7103274559194*(1/0.9)</f>
        <v>7.4559193954659948</v>
      </c>
      <c r="J6" s="75">
        <f t="shared" si="0"/>
        <v>0</v>
      </c>
      <c r="K6" s="56">
        <v>20</v>
      </c>
      <c r="L6" s="49"/>
      <c r="M6" s="49"/>
      <c r="P6" s="24" t="s">
        <v>792</v>
      </c>
      <c r="Q6" s="19" t="s">
        <v>793</v>
      </c>
    </row>
    <row r="7" spans="1:17" x14ac:dyDescent="0.25">
      <c r="B7" s="20" t="s">
        <v>794</v>
      </c>
      <c r="C7" s="76" t="s">
        <v>1192</v>
      </c>
      <c r="D7" s="46">
        <v>0.6</v>
      </c>
      <c r="E7" s="46"/>
      <c r="F7" s="46"/>
      <c r="G7" s="46"/>
      <c r="H7" s="75">
        <f>210.888888888889*(1/0.9)</f>
        <v>234.32098765432067</v>
      </c>
      <c r="I7" s="75">
        <f>6.31578947368421*(1/0.9)</f>
        <v>7.0175438596491233</v>
      </c>
      <c r="J7" s="75">
        <f t="shared" si="0"/>
        <v>0</v>
      </c>
      <c r="K7" s="56">
        <v>15</v>
      </c>
      <c r="L7" s="49"/>
      <c r="M7" s="49"/>
      <c r="P7" s="24" t="s">
        <v>794</v>
      </c>
      <c r="Q7" s="19" t="s">
        <v>795</v>
      </c>
    </row>
    <row r="8" spans="1:17" x14ac:dyDescent="0.25">
      <c r="B8" s="20" t="s">
        <v>848</v>
      </c>
      <c r="C8" s="76" t="s">
        <v>1193</v>
      </c>
      <c r="D8" s="46">
        <v>0.63</v>
      </c>
      <c r="E8" s="46"/>
      <c r="F8" s="46"/>
      <c r="G8" s="46"/>
      <c r="H8" s="75">
        <f>225.651111111111*(1/0.9)</f>
        <v>250.72345679012315</v>
      </c>
      <c r="I8" s="75">
        <f>5.87368421052632*(1/0.9)</f>
        <v>6.5263157894736841</v>
      </c>
      <c r="J8" s="75">
        <f t="shared" si="0"/>
        <v>0</v>
      </c>
      <c r="K8" s="56">
        <v>15</v>
      </c>
      <c r="L8" s="49">
        <v>0.05</v>
      </c>
      <c r="M8" s="49">
        <v>7.0000000000000007E-2</v>
      </c>
      <c r="P8" s="24" t="s">
        <v>796</v>
      </c>
      <c r="Q8" s="19" t="s">
        <v>839</v>
      </c>
    </row>
    <row r="9" spans="1:17" x14ac:dyDescent="0.25">
      <c r="B9" s="20" t="s">
        <v>790</v>
      </c>
      <c r="C9" s="76" t="s">
        <v>1194</v>
      </c>
      <c r="D9" s="46">
        <v>0.9</v>
      </c>
      <c r="E9" s="46"/>
      <c r="F9" s="46"/>
      <c r="G9" s="46"/>
      <c r="H9" s="75">
        <f>114.94542626643*(1/0.9)</f>
        <v>127.71714029603373</v>
      </c>
      <c r="I9" s="75">
        <f>4.49036663406935*(1/0.9)</f>
        <v>4.9892962600770518</v>
      </c>
      <c r="J9" s="75">
        <f t="shared" si="0"/>
        <v>0</v>
      </c>
      <c r="K9" s="56">
        <v>20</v>
      </c>
      <c r="L9" s="49"/>
      <c r="M9" s="49"/>
      <c r="P9" s="24" t="s">
        <v>797</v>
      </c>
      <c r="Q9" s="19" t="s">
        <v>798</v>
      </c>
    </row>
    <row r="10" spans="1:17" x14ac:dyDescent="0.25">
      <c r="B10" s="20" t="s">
        <v>849</v>
      </c>
      <c r="C10" s="76" t="s">
        <v>1195</v>
      </c>
      <c r="D10" s="46">
        <v>0.9</v>
      </c>
      <c r="E10" s="46">
        <v>0.9</v>
      </c>
      <c r="F10" s="46"/>
      <c r="G10" s="46"/>
      <c r="H10" s="75">
        <f>(H9*1.1)*(1/0.9)</f>
        <v>156.09872702848568</v>
      </c>
      <c r="I10" s="75">
        <f>4.49036663406935*(1/0.9)</f>
        <v>4.9892962600770518</v>
      </c>
      <c r="J10" s="75">
        <f t="shared" si="0"/>
        <v>0</v>
      </c>
      <c r="K10" s="56">
        <v>20</v>
      </c>
      <c r="L10" s="49"/>
      <c r="M10" s="49"/>
      <c r="P10" s="24" t="s">
        <v>799</v>
      </c>
      <c r="Q10" s="19" t="s">
        <v>800</v>
      </c>
    </row>
    <row r="11" spans="1:17" x14ac:dyDescent="0.25">
      <c r="B11" s="20" t="s">
        <v>850</v>
      </c>
      <c r="C11" s="76" t="s">
        <v>1196</v>
      </c>
      <c r="D11" s="46">
        <v>0.94500000000000006</v>
      </c>
      <c r="E11" s="46"/>
      <c r="F11" s="46"/>
      <c r="G11" s="46"/>
      <c r="H11" s="75">
        <f>122.99160610508*(1/0.9)</f>
        <v>136.6573401167561</v>
      </c>
      <c r="I11" s="75">
        <f>4.17604096968449*(1/0.9)</f>
        <v>4.6400455218716576</v>
      </c>
      <c r="J11" s="75">
        <f t="shared" si="0"/>
        <v>0</v>
      </c>
      <c r="K11" s="56">
        <v>20</v>
      </c>
      <c r="L11" s="49">
        <v>0.05</v>
      </c>
      <c r="M11" s="49">
        <v>7.0000000000000007E-2</v>
      </c>
      <c r="P11" s="24" t="s">
        <v>801</v>
      </c>
      <c r="Q11" s="19" t="s">
        <v>802</v>
      </c>
    </row>
    <row r="12" spans="1:17" x14ac:dyDescent="0.25">
      <c r="B12" s="20" t="s">
        <v>851</v>
      </c>
      <c r="C12" s="76" t="s">
        <v>1197</v>
      </c>
      <c r="D12" s="46">
        <v>0.94500000000000006</v>
      </c>
      <c r="E12" s="46">
        <v>0.94500000000000006</v>
      </c>
      <c r="F12" s="46"/>
      <c r="G12" s="46"/>
      <c r="H12" s="75">
        <f>(H11*1.1)*(1/0.9)</f>
        <v>167.02563792047971</v>
      </c>
      <c r="I12" s="75">
        <f>4.17604096968449*(1/0.9)</f>
        <v>4.6400455218716576</v>
      </c>
      <c r="J12" s="75">
        <f t="shared" si="0"/>
        <v>0</v>
      </c>
      <c r="K12" s="56">
        <v>20</v>
      </c>
      <c r="L12" s="49">
        <v>0.05</v>
      </c>
      <c r="M12" s="49">
        <v>7.0000000000000007E-2</v>
      </c>
      <c r="P12" s="24" t="s">
        <v>803</v>
      </c>
      <c r="Q12" s="19" t="s">
        <v>804</v>
      </c>
    </row>
    <row r="13" spans="1:17" ht="13.8" thickBot="1" x14ac:dyDescent="0.3">
      <c r="B13" s="20" t="s">
        <v>805</v>
      </c>
      <c r="C13" s="76" t="s">
        <v>1198</v>
      </c>
      <c r="D13" s="46">
        <v>0.9</v>
      </c>
      <c r="E13" s="46"/>
      <c r="F13" s="46"/>
      <c r="G13" s="46"/>
      <c r="H13" s="75">
        <f>90.3*(1/0.9)</f>
        <v>100.33333333333333</v>
      </c>
      <c r="I13" s="75">
        <f>9.72*(1/0.9)</f>
        <v>10.8</v>
      </c>
      <c r="J13" s="75">
        <f t="shared" si="0"/>
        <v>0</v>
      </c>
      <c r="K13" s="56">
        <v>20</v>
      </c>
      <c r="L13" s="49"/>
      <c r="M13" s="49"/>
      <c r="P13" s="25" t="s">
        <v>805</v>
      </c>
      <c r="Q13" s="26" t="s">
        <v>806</v>
      </c>
    </row>
    <row r="14" spans="1:17" x14ac:dyDescent="0.25">
      <c r="B14" s="20" t="s">
        <v>852</v>
      </c>
      <c r="C14" s="76" t="s">
        <v>1199</v>
      </c>
      <c r="D14" s="46">
        <v>0.92</v>
      </c>
      <c r="E14" s="46"/>
      <c r="F14" s="46"/>
      <c r="G14" s="46"/>
      <c r="H14" s="75">
        <f>94.815*(1/0.9)</f>
        <v>105.35000000000001</v>
      </c>
      <c r="I14" s="75">
        <f>9.234*(1/0.9)</f>
        <v>10.26</v>
      </c>
      <c r="J14" s="75">
        <f t="shared" si="0"/>
        <v>0</v>
      </c>
      <c r="K14" s="56">
        <v>20</v>
      </c>
      <c r="L14" s="49">
        <v>0.05</v>
      </c>
      <c r="M14" s="49">
        <v>7.0000000000000007E-2</v>
      </c>
      <c r="P14" s="27" t="s">
        <v>807</v>
      </c>
      <c r="Q14" s="28" t="s">
        <v>808</v>
      </c>
    </row>
    <row r="15" spans="1:17" ht="13.8" thickBot="1" x14ac:dyDescent="0.3">
      <c r="B15" s="20" t="s">
        <v>853</v>
      </c>
      <c r="C15" s="76" t="s">
        <v>1200</v>
      </c>
      <c r="D15" s="46">
        <v>0.95</v>
      </c>
      <c r="E15" s="46"/>
      <c r="F15" s="46"/>
      <c r="G15" s="46"/>
      <c r="H15" s="75">
        <f>99.55575*(1/0.9)</f>
        <v>110.61750000000001</v>
      </c>
      <c r="I15" s="75">
        <f>8.7723*(1/0.9)</f>
        <v>9.7469999999999999</v>
      </c>
      <c r="J15" s="75">
        <f t="shared" si="0"/>
        <v>0</v>
      </c>
      <c r="K15" s="56">
        <v>20</v>
      </c>
      <c r="L15" s="49">
        <v>0.05</v>
      </c>
      <c r="M15" s="49">
        <v>7.0000000000000007E-2</v>
      </c>
      <c r="P15" s="25" t="s">
        <v>809</v>
      </c>
      <c r="Q15" s="26" t="s">
        <v>810</v>
      </c>
    </row>
    <row r="16" spans="1:17" x14ac:dyDescent="0.25">
      <c r="B16" s="20" t="s">
        <v>801</v>
      </c>
      <c r="C16" s="76" t="s">
        <v>1201</v>
      </c>
      <c r="D16" s="46">
        <v>0.95</v>
      </c>
      <c r="E16" s="46"/>
      <c r="F16" s="46"/>
      <c r="G16" s="46"/>
      <c r="H16" s="75">
        <f>320.85*(1/0.9)</f>
        <v>356.50000000000006</v>
      </c>
      <c r="I16" s="75">
        <f>0.138433515482696*(1/0.9)</f>
        <v>0.15381501720299534</v>
      </c>
      <c r="J16" s="75">
        <f t="shared" si="0"/>
        <v>0</v>
      </c>
      <c r="K16" s="56">
        <v>15</v>
      </c>
      <c r="L16" s="49"/>
      <c r="M16" s="49"/>
      <c r="P16" s="27" t="s">
        <v>811</v>
      </c>
      <c r="Q16" s="29" t="s">
        <v>812</v>
      </c>
    </row>
    <row r="17" spans="2:17" ht="13.8" thickBot="1" x14ac:dyDescent="0.3">
      <c r="B17" s="20" t="s">
        <v>796</v>
      </c>
      <c r="C17" s="76" t="s">
        <v>1202</v>
      </c>
      <c r="D17" s="46">
        <v>3</v>
      </c>
      <c r="E17" s="55"/>
      <c r="F17" s="46"/>
      <c r="G17" s="46"/>
      <c r="H17" s="75">
        <f>612.593487394958*(1/0.9)</f>
        <v>680.65943043884226</v>
      </c>
      <c r="I17" s="75">
        <f>1.0260343431761*(1/0.9)</f>
        <v>1.1400381590845607</v>
      </c>
      <c r="J17" s="75">
        <f t="shared" si="0"/>
        <v>0</v>
      </c>
      <c r="K17" s="56">
        <v>15</v>
      </c>
      <c r="L17" s="49"/>
      <c r="M17" s="49"/>
      <c r="P17" s="24" t="s">
        <v>813</v>
      </c>
      <c r="Q17" s="30" t="s">
        <v>840</v>
      </c>
    </row>
    <row r="18" spans="2:17" ht="12.75" customHeight="1" x14ac:dyDescent="0.25">
      <c r="B18" s="20" t="s">
        <v>807</v>
      </c>
      <c r="C18" s="76" t="s">
        <v>1203</v>
      </c>
      <c r="D18" s="46">
        <v>3</v>
      </c>
      <c r="E18" s="46"/>
      <c r="F18" s="46">
        <v>4.5999999999999996</v>
      </c>
      <c r="G18" s="46"/>
      <c r="H18" s="75">
        <f>(H17*1.2)*(1/0.9)</f>
        <v>907.54590725178969</v>
      </c>
      <c r="I18" s="75">
        <f>1.0260343431761*(1/0.9)</f>
        <v>1.1400381590845607</v>
      </c>
      <c r="J18" s="75">
        <f t="shared" si="0"/>
        <v>0</v>
      </c>
      <c r="K18" s="56">
        <v>15</v>
      </c>
      <c r="L18" s="49">
        <v>0.05</v>
      </c>
      <c r="M18" s="49">
        <v>7.0000000000000007E-2</v>
      </c>
      <c r="P18" s="27" t="s">
        <v>814</v>
      </c>
      <c r="Q18" s="29" t="s">
        <v>815</v>
      </c>
    </row>
    <row r="19" spans="2:17" ht="12.75" customHeight="1" x14ac:dyDescent="0.25">
      <c r="B19" s="20" t="s">
        <v>854</v>
      </c>
      <c r="C19" s="76" t="s">
        <v>1204</v>
      </c>
      <c r="D19" s="46">
        <v>4.5999999999999996</v>
      </c>
      <c r="E19" s="46"/>
      <c r="F19" s="46"/>
      <c r="G19" s="46"/>
      <c r="H19" s="75">
        <f>655.475031512605*(1/0.9)</f>
        <v>728.30559056956133</v>
      </c>
      <c r="I19" s="75">
        <f>0.954211939153777*(1/0.9)</f>
        <v>1.0602354879486413</v>
      </c>
      <c r="J19" s="75">
        <f t="shared" si="0"/>
        <v>0</v>
      </c>
      <c r="K19" s="56">
        <v>15</v>
      </c>
      <c r="L19" s="49">
        <v>0.05</v>
      </c>
      <c r="M19" s="49">
        <v>7.0000000000000007E-2</v>
      </c>
      <c r="P19" s="24" t="s">
        <v>816</v>
      </c>
      <c r="Q19" s="30" t="s">
        <v>817</v>
      </c>
    </row>
    <row r="20" spans="2:17" ht="12.75" customHeight="1" x14ac:dyDescent="0.25">
      <c r="B20" s="20" t="s">
        <v>855</v>
      </c>
      <c r="C20" s="76" t="s">
        <v>1205</v>
      </c>
      <c r="D20" s="46">
        <v>4.5999999999999996</v>
      </c>
      <c r="E20" s="46"/>
      <c r="F20" s="46">
        <v>4.83</v>
      </c>
      <c r="G20" s="46"/>
      <c r="H20" s="75">
        <f>(H19*1.2)*(1/0.9)</f>
        <v>971.07412075941511</v>
      </c>
      <c r="I20" s="75">
        <f>0.954211939153777*(1/0.9)</f>
        <v>1.0602354879486413</v>
      </c>
      <c r="J20" s="75">
        <f t="shared" si="0"/>
        <v>0</v>
      </c>
      <c r="K20" s="56">
        <v>15</v>
      </c>
      <c r="L20" s="49">
        <v>0.05</v>
      </c>
      <c r="M20" s="49">
        <v>7.0000000000000007E-2</v>
      </c>
      <c r="P20" s="24" t="s">
        <v>818</v>
      </c>
      <c r="Q20" s="30" t="s">
        <v>819</v>
      </c>
    </row>
    <row r="21" spans="2:17" ht="12.75" customHeight="1" thickBot="1" x14ac:dyDescent="0.3">
      <c r="B21" s="20" t="s">
        <v>809</v>
      </c>
      <c r="C21" s="76" t="s">
        <v>1206</v>
      </c>
      <c r="D21" s="46">
        <v>5</v>
      </c>
      <c r="E21" s="46"/>
      <c r="F21" s="46"/>
      <c r="G21" s="46"/>
      <c r="H21" s="75">
        <f>688.248783088235*(1/0.9)</f>
        <v>764.72087009803943</v>
      </c>
      <c r="I21" s="75">
        <f>0.906501342196088*(1/0.9)</f>
        <v>1.0072237135512092</v>
      </c>
      <c r="J21" s="75">
        <f t="shared" si="0"/>
        <v>0</v>
      </c>
      <c r="K21" s="57">
        <v>15</v>
      </c>
      <c r="L21" s="49">
        <v>0.05</v>
      </c>
      <c r="M21" s="49">
        <v>7.0000000000000007E-2</v>
      </c>
      <c r="P21" s="24" t="s">
        <v>811</v>
      </c>
      <c r="Q21" s="30" t="s">
        <v>820</v>
      </c>
    </row>
    <row r="22" spans="2:17" ht="12.75" customHeight="1" x14ac:dyDescent="0.25">
      <c r="B22" s="20" t="s">
        <v>856</v>
      </c>
      <c r="C22" s="76" t="s">
        <v>1207</v>
      </c>
      <c r="D22" s="46">
        <v>5</v>
      </c>
      <c r="E22" s="46"/>
      <c r="F22" s="46">
        <v>5.0715000000000003</v>
      </c>
      <c r="G22" s="46"/>
      <c r="H22" s="75">
        <f>(H21*1.2)*(1/0.9)</f>
        <v>1019.627826797386</v>
      </c>
      <c r="I22" s="75">
        <f>0.906501342196088*(1/0.9)</f>
        <v>1.0072237135512092</v>
      </c>
      <c r="J22" s="75">
        <f t="shared" si="0"/>
        <v>0</v>
      </c>
      <c r="K22" s="56">
        <v>15</v>
      </c>
      <c r="L22" s="49">
        <v>0.05</v>
      </c>
      <c r="M22" s="49">
        <v>7.0000000000000007E-2</v>
      </c>
      <c r="P22" s="31" t="s">
        <v>821</v>
      </c>
      <c r="Q22" s="32" t="s">
        <v>834</v>
      </c>
    </row>
    <row r="23" spans="2:17" ht="12.75" customHeight="1" x14ac:dyDescent="0.25">
      <c r="B23" s="20" t="s">
        <v>797</v>
      </c>
      <c r="C23" s="76" t="s">
        <v>1208</v>
      </c>
      <c r="D23" s="46">
        <v>4.5999999999999996</v>
      </c>
      <c r="E23" s="46"/>
      <c r="F23" s="46" t="s">
        <v>857</v>
      </c>
      <c r="G23" s="46"/>
      <c r="H23" s="75">
        <f>859.224308300395*(1/0.9)</f>
        <v>954.69367588932812</v>
      </c>
      <c r="I23" s="75">
        <f>1.70854271356784*(1/0.9)</f>
        <v>1.8983807928531549</v>
      </c>
      <c r="J23" s="75">
        <f t="shared" si="0"/>
        <v>0</v>
      </c>
      <c r="K23" s="56">
        <v>15</v>
      </c>
      <c r="L23" s="49">
        <v>0.05</v>
      </c>
      <c r="M23" s="49">
        <v>7.0000000000000007E-2</v>
      </c>
      <c r="P23" s="33" t="s">
        <v>822</v>
      </c>
      <c r="Q23" s="34" t="s">
        <v>834</v>
      </c>
    </row>
    <row r="24" spans="2:17" ht="12.75" customHeight="1" x14ac:dyDescent="0.25">
      <c r="B24" s="20" t="s">
        <v>858</v>
      </c>
      <c r="C24" s="76" t="s">
        <v>1209</v>
      </c>
      <c r="D24" s="46">
        <v>4.5999999999999996</v>
      </c>
      <c r="E24" s="46"/>
      <c r="F24" s="46">
        <v>4.5999999999999996</v>
      </c>
      <c r="G24" s="46"/>
      <c r="H24" s="75">
        <f>(H23*1.2)*(1/0.9)</f>
        <v>1272.924901185771</v>
      </c>
      <c r="I24" s="75">
        <f>1.70854271356784*(1/0.9)</f>
        <v>1.8983807928531549</v>
      </c>
      <c r="J24" s="75">
        <f t="shared" si="0"/>
        <v>0</v>
      </c>
      <c r="K24" s="56">
        <v>15</v>
      </c>
      <c r="L24" s="49">
        <v>0.05</v>
      </c>
      <c r="M24" s="49">
        <v>7.0000000000000007E-2</v>
      </c>
      <c r="P24" s="33" t="s">
        <v>823</v>
      </c>
      <c r="Q24" s="34" t="s">
        <v>834</v>
      </c>
    </row>
    <row r="25" spans="2:17" ht="12.75" customHeight="1" thickBot="1" x14ac:dyDescent="0.3">
      <c r="B25" s="20" t="s">
        <v>859</v>
      </c>
      <c r="C25" s="76" t="s">
        <v>1210</v>
      </c>
      <c r="D25" s="46">
        <v>4.83</v>
      </c>
      <c r="E25" s="46"/>
      <c r="F25" s="46"/>
      <c r="G25" s="46"/>
      <c r="H25" s="75">
        <f>919.370009881423*(1/0.9)</f>
        <v>1021.5222332015812</v>
      </c>
      <c r="I25" s="75">
        <f>1.58894472361809*(1/0.9)</f>
        <v>1.7654941373534339</v>
      </c>
      <c r="J25" s="75">
        <f t="shared" si="0"/>
        <v>0</v>
      </c>
      <c r="K25" s="56">
        <v>15</v>
      </c>
      <c r="L25" s="49">
        <v>0.05</v>
      </c>
      <c r="M25" s="49">
        <v>7.0000000000000007E-2</v>
      </c>
      <c r="P25" s="35" t="s">
        <v>824</v>
      </c>
      <c r="Q25" s="36" t="s">
        <v>834</v>
      </c>
    </row>
    <row r="26" spans="2:17" ht="12.75" customHeight="1" x14ac:dyDescent="0.25">
      <c r="B26" s="20" t="s">
        <v>860</v>
      </c>
      <c r="C26" s="76" t="s">
        <v>1211</v>
      </c>
      <c r="D26" s="46">
        <v>4.83</v>
      </c>
      <c r="E26" s="46"/>
      <c r="F26" s="46">
        <v>5.0715000000000003</v>
      </c>
      <c r="G26" s="46"/>
      <c r="H26" s="75">
        <f>(H25*1.2)*(1/0.9)</f>
        <v>1362.029644268775</v>
      </c>
      <c r="I26" s="75">
        <f>1.47771859296482*(1/0.9)</f>
        <v>1.6419095477386934</v>
      </c>
      <c r="J26" s="75">
        <f t="shared" si="0"/>
        <v>0</v>
      </c>
      <c r="K26" s="56">
        <v>15</v>
      </c>
      <c r="L26" s="49">
        <v>0.05</v>
      </c>
      <c r="M26" s="49">
        <v>7.0000000000000007E-2</v>
      </c>
    </row>
    <row r="27" spans="2:17" ht="12.75" customHeight="1" x14ac:dyDescent="0.25">
      <c r="B27" s="20" t="s">
        <v>788</v>
      </c>
      <c r="C27" s="76" t="s">
        <v>1212</v>
      </c>
      <c r="D27" s="46">
        <v>0.85</v>
      </c>
      <c r="E27" s="46"/>
      <c r="F27" s="46"/>
      <c r="G27" s="46"/>
      <c r="H27" s="75">
        <f>139.229538043478*(1/0.9)</f>
        <v>154.69948671497588</v>
      </c>
      <c r="I27" s="75">
        <f>3.12940260751119*(1/0.9)</f>
        <v>3.4771140083457657</v>
      </c>
      <c r="J27" s="75">
        <f t="shared" si="0"/>
        <v>0</v>
      </c>
      <c r="K27" s="56">
        <v>20</v>
      </c>
      <c r="L27" s="49">
        <v>0.05</v>
      </c>
      <c r="M27" s="49">
        <v>7.0000000000000007E-2</v>
      </c>
    </row>
    <row r="28" spans="2:17" ht="12.75" customHeight="1" x14ac:dyDescent="0.25">
      <c r="B28" s="20" t="s">
        <v>861</v>
      </c>
      <c r="C28" s="76" t="s">
        <v>1213</v>
      </c>
      <c r="D28" s="46">
        <v>0.85</v>
      </c>
      <c r="E28" s="46">
        <v>0.85</v>
      </c>
      <c r="F28" s="46"/>
      <c r="G28" s="46"/>
      <c r="H28" s="75">
        <f>139.229538043478*(1/0.9)</f>
        <v>154.69948671497588</v>
      </c>
      <c r="I28" s="75">
        <f>3.12940260751119*(1/0.9)</f>
        <v>3.4771140083457657</v>
      </c>
      <c r="J28" s="75">
        <f t="shared" si="0"/>
        <v>0</v>
      </c>
      <c r="K28" s="56">
        <v>20</v>
      </c>
      <c r="L28" s="49">
        <v>0.05</v>
      </c>
      <c r="M28" s="49">
        <v>7.0000000000000007E-2</v>
      </c>
    </row>
    <row r="29" spans="2:17" ht="12.75" customHeight="1" x14ac:dyDescent="0.25">
      <c r="B29" s="20" t="s">
        <v>862</v>
      </c>
      <c r="C29" s="76" t="s">
        <v>1214</v>
      </c>
      <c r="D29" s="46">
        <v>0.89249999999999996</v>
      </c>
      <c r="E29" s="46"/>
      <c r="F29" s="46"/>
      <c r="G29" s="46"/>
      <c r="H29" s="75">
        <f>148.975605706522*(1/0.9)</f>
        <v>165.52845078502418</v>
      </c>
      <c r="I29" s="75">
        <f>2.91034442498541*(1/0.9)</f>
        <v>3.2337160277615622</v>
      </c>
      <c r="J29" s="75">
        <f t="shared" si="0"/>
        <v>0</v>
      </c>
      <c r="K29" s="56">
        <v>20</v>
      </c>
      <c r="L29" s="49">
        <v>0.05</v>
      </c>
      <c r="M29" s="49">
        <v>7.0000000000000007E-2</v>
      </c>
    </row>
    <row r="30" spans="2:17" ht="13.5" customHeight="1" x14ac:dyDescent="0.25">
      <c r="B30" s="20" t="s">
        <v>863</v>
      </c>
      <c r="C30" s="76" t="s">
        <v>1215</v>
      </c>
      <c r="D30" s="46">
        <v>0.89249999999999996</v>
      </c>
      <c r="E30" s="46">
        <v>0.89249999999999996</v>
      </c>
      <c r="F30" s="46"/>
      <c r="G30" s="46"/>
      <c r="H30" s="75">
        <f>148.975605706522*(1/0.9)</f>
        <v>165.52845078502418</v>
      </c>
      <c r="I30" s="75">
        <f>2.91034442498541*(1/0.9)</f>
        <v>3.2337160277615622</v>
      </c>
      <c r="J30" s="75">
        <f t="shared" si="0"/>
        <v>0</v>
      </c>
      <c r="K30" s="56">
        <v>20</v>
      </c>
      <c r="L30" s="49">
        <v>0.05</v>
      </c>
      <c r="M30" s="49">
        <v>7.0000000000000007E-2</v>
      </c>
    </row>
    <row r="31" spans="2:17" ht="12.75" customHeight="1" x14ac:dyDescent="0.25">
      <c r="D31" s="46"/>
      <c r="E31" s="46"/>
      <c r="F31" s="46"/>
      <c r="G31" s="46"/>
      <c r="H31" s="22"/>
      <c r="I31" s="22"/>
      <c r="J31" s="22"/>
      <c r="K31" s="22"/>
      <c r="L31" s="23"/>
      <c r="M31" s="23"/>
    </row>
    <row r="32" spans="2:17" ht="13.5" customHeight="1" x14ac:dyDescent="0.25">
      <c r="G32" s="37" t="s">
        <v>864</v>
      </c>
      <c r="H32" s="38"/>
      <c r="I32" s="38"/>
      <c r="J32" s="39"/>
      <c r="K32" s="39"/>
    </row>
    <row r="33" spans="2:14" ht="15.75" customHeight="1" thickBot="1" x14ac:dyDescent="0.3">
      <c r="B33" s="58" t="s">
        <v>825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2:14" ht="26.4" x14ac:dyDescent="0.25">
      <c r="B34" s="59" t="s">
        <v>780</v>
      </c>
      <c r="C34" s="16" t="s">
        <v>40</v>
      </c>
      <c r="D34" s="16" t="s">
        <v>781</v>
      </c>
      <c r="E34" s="16" t="s">
        <v>782</v>
      </c>
      <c r="F34" s="16" t="s">
        <v>783</v>
      </c>
      <c r="G34" s="16" t="s">
        <v>784</v>
      </c>
      <c r="H34" s="17" t="s">
        <v>36</v>
      </c>
      <c r="I34" s="17" t="s">
        <v>5</v>
      </c>
      <c r="J34" s="17" t="s">
        <v>34</v>
      </c>
      <c r="K34" s="17" t="s">
        <v>47</v>
      </c>
      <c r="L34" s="17" t="s">
        <v>785</v>
      </c>
      <c r="M34" s="17" t="s">
        <v>786</v>
      </c>
      <c r="N34" s="17" t="s">
        <v>787</v>
      </c>
    </row>
    <row r="35" spans="2:14" ht="12.75" customHeight="1" x14ac:dyDescent="0.25">
      <c r="B35" s="20" t="s">
        <v>801</v>
      </c>
      <c r="C35" s="11" t="s">
        <v>1216</v>
      </c>
      <c r="D35" s="21"/>
      <c r="E35" s="21"/>
      <c r="F35" s="21">
        <v>4.6027499999999995</v>
      </c>
      <c r="G35" s="21"/>
      <c r="H35" s="21">
        <f>193.04568*(1/0.9)</f>
        <v>214.49519999999995</v>
      </c>
      <c r="I35" s="21">
        <f>11.3928999*(1/0.9)</f>
        <v>12.658777666666669</v>
      </c>
      <c r="J35" s="60">
        <f>0*(1/0.9)</f>
        <v>0</v>
      </c>
      <c r="K35" s="50">
        <v>10</v>
      </c>
      <c r="L35" s="49">
        <v>0.15</v>
      </c>
      <c r="M35" s="49">
        <v>7.0000000000000007E-2</v>
      </c>
    </row>
    <row r="36" spans="2:14" ht="13.5" customHeight="1" x14ac:dyDescent="0.25">
      <c r="B36" s="20" t="s">
        <v>796</v>
      </c>
      <c r="C36" s="11" t="s">
        <v>1217</v>
      </c>
      <c r="D36" s="21"/>
      <c r="E36" s="21"/>
      <c r="F36" s="51">
        <v>0.2</v>
      </c>
      <c r="G36" s="51"/>
      <c r="H36" s="51">
        <f>50*(1/0.9)</f>
        <v>55.555555555555557</v>
      </c>
      <c r="I36" s="21" t="s">
        <v>864</v>
      </c>
      <c r="J36" s="60" t="s">
        <v>857</v>
      </c>
      <c r="K36" s="50">
        <v>10</v>
      </c>
      <c r="L36" s="49"/>
      <c r="M36" s="49"/>
    </row>
    <row r="37" spans="2:14" ht="12.75" customHeight="1" x14ac:dyDescent="0.25">
      <c r="B37" s="20" t="s">
        <v>854</v>
      </c>
      <c r="C37" s="11" t="s">
        <v>1218</v>
      </c>
      <c r="D37" s="21"/>
      <c r="E37" s="21"/>
      <c r="F37" s="21">
        <v>5.1442499999999987</v>
      </c>
      <c r="G37" s="21"/>
      <c r="H37" s="21">
        <f>207.576*(1/0.9)</f>
        <v>230.63999999999996</v>
      </c>
      <c r="I37" s="21">
        <f>11.3928999*(1/0.9)</f>
        <v>12.658777666666669</v>
      </c>
      <c r="J37" s="60">
        <f>0*(1/0.9)</f>
        <v>0</v>
      </c>
      <c r="K37" s="50">
        <v>20</v>
      </c>
      <c r="L37" s="49"/>
      <c r="M37" s="49"/>
    </row>
    <row r="38" spans="2:14" ht="13.5" customHeight="1" x14ac:dyDescent="0.25">
      <c r="B38" s="20" t="s">
        <v>855</v>
      </c>
      <c r="C38" s="11" t="s">
        <v>1219</v>
      </c>
      <c r="D38" s="21"/>
      <c r="E38" s="21"/>
      <c r="F38" s="21">
        <v>5.4149999999999991</v>
      </c>
      <c r="G38" s="21"/>
      <c r="H38" s="21">
        <f>223.2*(1/0.9)</f>
        <v>248</v>
      </c>
      <c r="I38" s="21">
        <f>10.64757*(1/0.9)</f>
        <v>11.830633333333333</v>
      </c>
      <c r="J38" s="60">
        <f>0*(1/0.9)</f>
        <v>0</v>
      </c>
      <c r="K38" s="50">
        <v>20</v>
      </c>
      <c r="L38" s="49">
        <v>0.1</v>
      </c>
      <c r="M38" s="49">
        <v>7.0000000000000007E-2</v>
      </c>
    </row>
    <row r="39" spans="2:14" ht="12.75" customHeight="1" x14ac:dyDescent="0.25">
      <c r="B39" s="20" t="s">
        <v>809</v>
      </c>
      <c r="C39" s="11" t="s">
        <v>1220</v>
      </c>
      <c r="D39" s="21"/>
      <c r="E39" s="21"/>
      <c r="F39" s="21">
        <v>5.6999999999999993</v>
      </c>
      <c r="G39" s="21"/>
      <c r="H39" s="21">
        <f>240*(1/0.9)</f>
        <v>266.66666666666669</v>
      </c>
      <c r="I39" s="21">
        <f>9.951*(1/0.9)</f>
        <v>11.056666666666665</v>
      </c>
      <c r="J39" s="60">
        <f>0*(1/0.9)</f>
        <v>0</v>
      </c>
      <c r="K39" s="50">
        <v>20</v>
      </c>
      <c r="L39" s="49">
        <v>0.05</v>
      </c>
      <c r="M39" s="49">
        <v>7.0000000000000007E-2</v>
      </c>
    </row>
    <row r="40" spans="2:14" ht="13.5" customHeight="1" x14ac:dyDescent="0.25">
      <c r="B40" s="20" t="s">
        <v>807</v>
      </c>
      <c r="C40" s="11" t="s">
        <v>1221</v>
      </c>
      <c r="D40" s="21"/>
      <c r="E40" s="21"/>
      <c r="F40" s="21">
        <v>6</v>
      </c>
      <c r="G40" s="21"/>
      <c r="H40" s="21">
        <f>310*(1/0.9)</f>
        <v>344.44444444444446</v>
      </c>
      <c r="I40" s="21">
        <f>9.3*(1/0.9)</f>
        <v>10.333333333333332</v>
      </c>
      <c r="J40" s="60">
        <f>0*(1/0.9)</f>
        <v>0</v>
      </c>
      <c r="K40" s="50">
        <v>20</v>
      </c>
      <c r="L40" s="49"/>
      <c r="M40" s="49"/>
      <c r="N40" s="42"/>
    </row>
    <row r="41" spans="2:14" ht="12.75" customHeight="1" x14ac:dyDescent="0.25">
      <c r="D41" s="40"/>
      <c r="E41" s="40"/>
      <c r="F41" s="40"/>
      <c r="G41" s="40"/>
      <c r="H41" s="41"/>
      <c r="I41" s="43"/>
      <c r="J41" s="43"/>
      <c r="K41" s="43"/>
      <c r="L41" s="44"/>
      <c r="M41" s="44"/>
      <c r="N41" s="42"/>
    </row>
    <row r="42" spans="2:14" ht="14.4" thickBot="1" x14ac:dyDescent="0.3">
      <c r="B42" s="58" t="s">
        <v>826</v>
      </c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2:14" ht="26.4" x14ac:dyDescent="0.25">
      <c r="B43" s="59" t="s">
        <v>780</v>
      </c>
      <c r="C43" s="16" t="s">
        <v>40</v>
      </c>
      <c r="D43" s="16" t="s">
        <v>781</v>
      </c>
      <c r="E43" s="16" t="s">
        <v>782</v>
      </c>
      <c r="F43" s="16" t="s">
        <v>783</v>
      </c>
      <c r="G43" s="16" t="s">
        <v>784</v>
      </c>
      <c r="H43" s="17" t="s">
        <v>36</v>
      </c>
      <c r="I43" s="17" t="s">
        <v>5</v>
      </c>
      <c r="J43" s="17" t="s">
        <v>34</v>
      </c>
      <c r="K43" s="17" t="s">
        <v>47</v>
      </c>
      <c r="L43" s="17" t="s">
        <v>785</v>
      </c>
      <c r="M43" s="17" t="s">
        <v>786</v>
      </c>
      <c r="N43" s="17" t="s">
        <v>787</v>
      </c>
    </row>
    <row r="44" spans="2:14" ht="12.75" customHeight="1" x14ac:dyDescent="0.25">
      <c r="B44" s="20" t="s">
        <v>811</v>
      </c>
      <c r="C44" s="11" t="s">
        <v>1176</v>
      </c>
      <c r="D44" s="21"/>
      <c r="E44" s="21">
        <v>0.9</v>
      </c>
      <c r="F44" s="21"/>
      <c r="G44" s="21"/>
      <c r="H44" s="48">
        <f>159.983454545455*(1/0.9)</f>
        <v>177.75939393939393</v>
      </c>
      <c r="I44" s="48">
        <f>7.99917272727273*(1/0.9)</f>
        <v>8.8879696969696962</v>
      </c>
      <c r="J44" s="56">
        <v>0</v>
      </c>
      <c r="K44" s="48">
        <v>15</v>
      </c>
      <c r="L44" s="49"/>
      <c r="M44" s="49"/>
    </row>
    <row r="45" spans="2:14" ht="13.5" customHeight="1" x14ac:dyDescent="0.25">
      <c r="B45" s="20" t="s">
        <v>865</v>
      </c>
      <c r="C45" s="11" t="s">
        <v>1175</v>
      </c>
      <c r="D45" s="21"/>
      <c r="E45" s="21">
        <v>0.94500000000000006</v>
      </c>
      <c r="F45" s="21"/>
      <c r="G45" s="21"/>
      <c r="H45" s="48">
        <f>171.182296363636*(1/0.9)</f>
        <v>190.2025515151515</v>
      </c>
      <c r="I45" s="48">
        <f>7.43923063636363*(1/0.9)</f>
        <v>8.2658118181818168</v>
      </c>
      <c r="J45" s="56">
        <v>0</v>
      </c>
      <c r="K45" s="48">
        <v>15</v>
      </c>
      <c r="L45" s="49">
        <v>0.05</v>
      </c>
      <c r="M45" s="49">
        <v>7.0000000000000007E-2</v>
      </c>
    </row>
    <row r="46" spans="2:14" ht="12.75" customHeight="1" x14ac:dyDescent="0.25">
      <c r="B46" s="20" t="s">
        <v>816</v>
      </c>
      <c r="C46" s="11" t="s">
        <v>1182</v>
      </c>
      <c r="D46" s="21"/>
      <c r="E46" s="21">
        <v>0.9</v>
      </c>
      <c r="F46" s="21"/>
      <c r="G46" s="21"/>
      <c r="H46" s="48">
        <f>114.94542626643*(1/0.9)</f>
        <v>127.71714029603373</v>
      </c>
      <c r="I46" s="48">
        <f>4.49036663406935*(1/0.9)</f>
        <v>4.9892962600770518</v>
      </c>
      <c r="J46" s="56">
        <v>0</v>
      </c>
      <c r="K46" s="48">
        <v>20</v>
      </c>
      <c r="L46" s="49"/>
      <c r="M46" s="49"/>
    </row>
    <row r="47" spans="2:14" ht="12.75" customHeight="1" x14ac:dyDescent="0.25">
      <c r="B47" s="20" t="s">
        <v>866</v>
      </c>
      <c r="C47" s="11" t="s">
        <v>1181</v>
      </c>
      <c r="D47" s="21"/>
      <c r="E47" s="21">
        <v>0.94500000000000006</v>
      </c>
      <c r="F47" s="21"/>
      <c r="G47" s="21"/>
      <c r="H47" s="48">
        <f>122.99160610508*(1/0.9)</f>
        <v>136.6573401167561</v>
      </c>
      <c r="I47" s="48">
        <f>4.17604096968449*(1/0.9)</f>
        <v>4.6400455218716576</v>
      </c>
      <c r="J47" s="56">
        <v>0</v>
      </c>
      <c r="K47" s="48">
        <v>20</v>
      </c>
      <c r="L47" s="49">
        <v>0.05</v>
      </c>
      <c r="M47" s="49">
        <v>7.0000000000000007E-2</v>
      </c>
    </row>
    <row r="48" spans="2:14" ht="12.75" customHeight="1" x14ac:dyDescent="0.25">
      <c r="B48" s="20" t="s">
        <v>867</v>
      </c>
      <c r="C48" s="11" t="s">
        <v>1189</v>
      </c>
      <c r="D48" s="21"/>
      <c r="E48" s="21">
        <v>0.99225000000000008</v>
      </c>
      <c r="F48" s="21"/>
      <c r="G48" s="21"/>
      <c r="H48" s="48">
        <f>131.601018532436*(1/0.9)</f>
        <v>146.22335392492906</v>
      </c>
      <c r="I48" s="48">
        <f>3.88371810180658*(1/0.9)</f>
        <v>4.3152423353406411</v>
      </c>
      <c r="J48" s="56">
        <v>0</v>
      </c>
      <c r="K48" s="48">
        <v>20</v>
      </c>
      <c r="L48" s="49">
        <v>0.05</v>
      </c>
      <c r="M48" s="49">
        <v>7.0000000000000007E-2</v>
      </c>
    </row>
    <row r="49" spans="2:15" ht="12.75" customHeight="1" x14ac:dyDescent="0.25">
      <c r="B49" s="20" t="s">
        <v>868</v>
      </c>
      <c r="C49" s="11" t="s">
        <v>1188</v>
      </c>
      <c r="D49" s="21"/>
      <c r="E49" s="21">
        <v>0.89249999999999996</v>
      </c>
      <c r="F49" s="21"/>
      <c r="G49" s="21"/>
      <c r="H49" s="48">
        <f>94.815*(1/0.9)</f>
        <v>105.35000000000001</v>
      </c>
      <c r="I49" s="48">
        <f>9.234*(1/0.9)</f>
        <v>10.26</v>
      </c>
      <c r="J49" s="56">
        <v>0</v>
      </c>
      <c r="K49" s="48">
        <v>20</v>
      </c>
      <c r="L49" s="49"/>
      <c r="M49" s="49"/>
      <c r="N49" s="42"/>
    </row>
    <row r="50" spans="2:15" ht="12.75" customHeight="1" x14ac:dyDescent="0.25">
      <c r="B50" s="20" t="s">
        <v>813</v>
      </c>
      <c r="C50" s="11" t="s">
        <v>1187</v>
      </c>
      <c r="D50" s="21"/>
      <c r="E50" s="48">
        <v>0.9</v>
      </c>
      <c r="F50" s="48"/>
      <c r="G50" s="48"/>
      <c r="H50" s="48">
        <f>773.015873015873*(1/0.9)</f>
        <v>858.9065255731922</v>
      </c>
      <c r="I50" s="48">
        <f>14.6875*(1/0.9)</f>
        <v>16.319444444444446</v>
      </c>
      <c r="J50" s="72">
        <v>0</v>
      </c>
      <c r="K50" s="48">
        <v>15</v>
      </c>
      <c r="L50" s="49"/>
      <c r="M50" s="49"/>
    </row>
    <row r="51" spans="2:15" ht="12.75" customHeight="1" x14ac:dyDescent="0.25">
      <c r="B51" s="20" t="s">
        <v>869</v>
      </c>
      <c r="C51" s="11" t="s">
        <v>1186</v>
      </c>
      <c r="D51" s="21"/>
      <c r="E51" s="21">
        <v>0.9</v>
      </c>
      <c r="F51" s="21"/>
      <c r="G51" s="45"/>
      <c r="H51" s="52">
        <f>827.126984126984*(1/0.9)</f>
        <v>919.02998236331575</v>
      </c>
      <c r="I51" s="52">
        <f>19.1778666340693*(1/0.9)</f>
        <v>21.308740704521497</v>
      </c>
      <c r="J51" s="72">
        <v>0</v>
      </c>
      <c r="K51" s="48">
        <v>15</v>
      </c>
      <c r="L51" s="49">
        <v>0.05</v>
      </c>
      <c r="M51" s="49">
        <v>7.0000000000000007E-2</v>
      </c>
    </row>
    <row r="52" spans="2:15" ht="12.75" customHeight="1" x14ac:dyDescent="0.25">
      <c r="D52" s="20"/>
      <c r="E52" s="20"/>
      <c r="H52" s="61"/>
      <c r="I52" s="61"/>
      <c r="J52" s="73"/>
      <c r="K52" s="22"/>
    </row>
    <row r="53" spans="2:15" ht="14.4" thickBot="1" x14ac:dyDescent="0.3">
      <c r="B53" s="58" t="s">
        <v>827</v>
      </c>
      <c r="C53" s="12"/>
      <c r="D53" s="13"/>
      <c r="E53" s="13"/>
      <c r="F53" s="13"/>
      <c r="G53" s="13"/>
      <c r="H53" s="13">
        <v>4</v>
      </c>
      <c r="I53" s="13"/>
      <c r="J53" s="13"/>
      <c r="K53" s="13">
        <v>8</v>
      </c>
      <c r="L53" s="13"/>
      <c r="M53" s="13"/>
      <c r="N53" s="13"/>
    </row>
    <row r="54" spans="2:15" ht="25.5" customHeight="1" x14ac:dyDescent="0.25">
      <c r="B54" s="59" t="s">
        <v>780</v>
      </c>
      <c r="C54" s="16" t="s">
        <v>40</v>
      </c>
      <c r="D54" s="16" t="s">
        <v>781</v>
      </c>
      <c r="E54" s="16" t="s">
        <v>782</v>
      </c>
      <c r="F54" s="16" t="s">
        <v>783</v>
      </c>
      <c r="G54" s="16" t="s">
        <v>784</v>
      </c>
      <c r="H54" s="17" t="s">
        <v>1163</v>
      </c>
      <c r="I54" s="17" t="s">
        <v>829</v>
      </c>
      <c r="J54" s="17" t="s">
        <v>34</v>
      </c>
      <c r="K54" s="17" t="s">
        <v>47</v>
      </c>
      <c r="L54" s="17" t="s">
        <v>785</v>
      </c>
      <c r="M54" s="17" t="s">
        <v>786</v>
      </c>
      <c r="N54" s="17" t="s">
        <v>787</v>
      </c>
    </row>
    <row r="55" spans="2:15" ht="12.75" customHeight="1" x14ac:dyDescent="0.25">
      <c r="B55" s="20" t="s">
        <v>814</v>
      </c>
      <c r="C55" s="11" t="s">
        <v>1185</v>
      </c>
      <c r="D55" s="50" t="s">
        <v>857</v>
      </c>
      <c r="E55" s="50" t="s">
        <v>857</v>
      </c>
      <c r="F55" s="50" t="s">
        <v>857</v>
      </c>
      <c r="G55" s="50" t="s">
        <v>857</v>
      </c>
      <c r="H55" s="48">
        <f>417.756037376873*(1/0.9)</f>
        <v>464.17337486319224</v>
      </c>
      <c r="I55" s="48">
        <f>10.4439009344218*(1/0.9)</f>
        <v>11.604334371579808</v>
      </c>
      <c r="J55" s="50"/>
      <c r="K55" s="50">
        <v>10</v>
      </c>
      <c r="L55" s="49"/>
      <c r="M55" s="49"/>
    </row>
    <row r="56" spans="2:15" ht="12.75" customHeight="1" x14ac:dyDescent="0.25">
      <c r="B56" s="20" t="s">
        <v>870</v>
      </c>
      <c r="C56" s="11" t="s">
        <v>1184</v>
      </c>
      <c r="D56" s="50" t="s">
        <v>857</v>
      </c>
      <c r="E56" s="50" t="s">
        <v>857</v>
      </c>
      <c r="F56" s="50" t="s">
        <v>857</v>
      </c>
      <c r="G56" s="50" t="s">
        <v>857</v>
      </c>
      <c r="H56" s="48">
        <f>446.998959993254*(1/0.9)</f>
        <v>496.6655111036157</v>
      </c>
      <c r="I56" s="48">
        <f>11.1749739998314*(1/0.9)</f>
        <v>12.416637777590395</v>
      </c>
      <c r="J56" s="50"/>
      <c r="K56" s="50">
        <v>10</v>
      </c>
      <c r="L56" s="49">
        <v>0.05</v>
      </c>
      <c r="M56" s="49">
        <v>7.0000000000000007E-2</v>
      </c>
      <c r="O56" s="1">
        <v>2.5</v>
      </c>
    </row>
    <row r="57" spans="2:15" ht="12.75" customHeight="1" x14ac:dyDescent="0.25">
      <c r="B57" s="20" t="s">
        <v>871</v>
      </c>
      <c r="C57" s="11" t="s">
        <v>1183</v>
      </c>
      <c r="D57" s="50" t="s">
        <v>857</v>
      </c>
      <c r="E57" s="50" t="s">
        <v>857</v>
      </c>
      <c r="F57" s="50" t="s">
        <v>857</v>
      </c>
      <c r="G57" s="50" t="s">
        <v>857</v>
      </c>
      <c r="H57" s="48">
        <f>478.288887192782*(1/0.9)</f>
        <v>531.43209688086881</v>
      </c>
      <c r="I57" s="48">
        <f>11.9572221798196*(1/0.9)</f>
        <v>13.285802422021725</v>
      </c>
      <c r="J57" s="50"/>
      <c r="K57" s="50">
        <v>10</v>
      </c>
      <c r="L57" s="49">
        <v>0.05</v>
      </c>
      <c r="M57" s="49">
        <v>7.0000000000000007E-2</v>
      </c>
    </row>
    <row r="58" spans="2:15" ht="12.75" customHeight="1" x14ac:dyDescent="0.25">
      <c r="B58" s="20" t="s">
        <v>816</v>
      </c>
      <c r="C58" s="11" t="s">
        <v>1182</v>
      </c>
      <c r="D58" s="50" t="s">
        <v>857</v>
      </c>
      <c r="E58" s="50" t="s">
        <v>857</v>
      </c>
      <c r="F58" s="50" t="s">
        <v>857</v>
      </c>
      <c r="G58" s="50" t="s">
        <v>857</v>
      </c>
      <c r="H58" s="48">
        <f>365*(1/0.9)</f>
        <v>405.5555555555556</v>
      </c>
      <c r="I58" s="48">
        <f>9.125*(1/0.9)</f>
        <v>10.138888888888889</v>
      </c>
      <c r="J58" s="50"/>
      <c r="K58" s="50">
        <v>10</v>
      </c>
      <c r="L58" s="49">
        <v>0.05</v>
      </c>
      <c r="M58" s="49">
        <v>7.0000000000000007E-2</v>
      </c>
    </row>
    <row r="59" spans="2:15" ht="12.75" customHeight="1" x14ac:dyDescent="0.25">
      <c r="B59" s="20" t="s">
        <v>866</v>
      </c>
      <c r="C59" s="11" t="s">
        <v>1181</v>
      </c>
      <c r="D59" s="50" t="s">
        <v>857</v>
      </c>
      <c r="E59" s="50" t="s">
        <v>857</v>
      </c>
      <c r="F59" s="50" t="s">
        <v>857</v>
      </c>
      <c r="G59" s="50" t="s">
        <v>857</v>
      </c>
      <c r="H59" s="48">
        <f>390.55*(1/0.9)</f>
        <v>433.94444444444446</v>
      </c>
      <c r="I59" s="48">
        <f>9.76375*(1/0.9)</f>
        <v>10.848611111111111</v>
      </c>
      <c r="J59" s="50"/>
      <c r="K59" s="50">
        <v>10</v>
      </c>
      <c r="L59" s="49">
        <v>0.05</v>
      </c>
      <c r="M59" s="49">
        <v>7.0000000000000007E-2</v>
      </c>
    </row>
    <row r="60" spans="2:15" ht="12.75" customHeight="1" x14ac:dyDescent="0.25">
      <c r="B60" s="20" t="s">
        <v>867</v>
      </c>
      <c r="C60" s="11" t="s">
        <v>1180</v>
      </c>
      <c r="D60" s="50" t="s">
        <v>857</v>
      </c>
      <c r="E60" s="50" t="s">
        <v>857</v>
      </c>
      <c r="F60" s="50" t="s">
        <v>857</v>
      </c>
      <c r="G60" s="50" t="s">
        <v>857</v>
      </c>
      <c r="H60" s="48">
        <f>417.8885*(1/0.9)</f>
        <v>464.32055555555559</v>
      </c>
      <c r="I60" s="48">
        <f>10.4472125*(1/0.9)</f>
        <v>11.608013888888891</v>
      </c>
      <c r="J60" s="50"/>
      <c r="K60" s="50">
        <v>10</v>
      </c>
      <c r="L60" s="49"/>
      <c r="M60" s="49"/>
      <c r="N60" s="42"/>
    </row>
    <row r="61" spans="2:15" ht="12.75" customHeight="1" x14ac:dyDescent="0.25">
      <c r="B61" s="20" t="s">
        <v>818</v>
      </c>
      <c r="C61" s="11" t="s">
        <v>1179</v>
      </c>
      <c r="D61" s="50" t="s">
        <v>857</v>
      </c>
      <c r="E61" s="50" t="s">
        <v>857</v>
      </c>
      <c r="F61" s="50" t="s">
        <v>857</v>
      </c>
      <c r="G61" s="50" t="s">
        <v>857</v>
      </c>
      <c r="H61" s="48">
        <f>365*(1/0.9)</f>
        <v>405.5555555555556</v>
      </c>
      <c r="I61" s="48">
        <f>9.125*(1/0.9)</f>
        <v>10.138888888888889</v>
      </c>
      <c r="J61" s="50"/>
      <c r="K61" s="50">
        <v>10</v>
      </c>
      <c r="L61" s="49">
        <v>0.05</v>
      </c>
      <c r="M61" s="49">
        <v>7.0000000000000007E-2</v>
      </c>
    </row>
    <row r="62" spans="2:15" x14ac:dyDescent="0.25">
      <c r="B62" s="20" t="s">
        <v>872</v>
      </c>
      <c r="C62" s="11" t="s">
        <v>1178</v>
      </c>
      <c r="D62" s="50" t="s">
        <v>857</v>
      </c>
      <c r="E62" s="50" t="s">
        <v>857</v>
      </c>
      <c r="F62" s="50" t="s">
        <v>857</v>
      </c>
      <c r="G62" s="50" t="s">
        <v>857</v>
      </c>
      <c r="H62" s="48">
        <f>390.55*(1/0.9)</f>
        <v>433.94444444444446</v>
      </c>
      <c r="I62" s="48">
        <f>9.76375*(1/0.9)</f>
        <v>10.848611111111111</v>
      </c>
      <c r="J62" s="50"/>
      <c r="K62" s="50">
        <v>10</v>
      </c>
      <c r="L62" s="49">
        <v>0.05</v>
      </c>
      <c r="M62" s="49">
        <v>7.0000000000000007E-2</v>
      </c>
    </row>
    <row r="63" spans="2:15" x14ac:dyDescent="0.25">
      <c r="B63" s="20" t="s">
        <v>873</v>
      </c>
      <c r="C63" s="11" t="s">
        <v>1177</v>
      </c>
      <c r="D63" s="50" t="s">
        <v>857</v>
      </c>
      <c r="E63" s="50" t="s">
        <v>857</v>
      </c>
      <c r="F63" s="50" t="s">
        <v>857</v>
      </c>
      <c r="G63" s="50" t="s">
        <v>857</v>
      </c>
      <c r="H63" s="48">
        <f>417.8885*(1/0.9)</f>
        <v>464.32055555555559</v>
      </c>
      <c r="I63" s="48">
        <f>10.4472125*(1/0.9)</f>
        <v>11.608013888888891</v>
      </c>
      <c r="J63" s="50"/>
      <c r="K63" s="52">
        <v>10</v>
      </c>
      <c r="L63" s="49">
        <v>0.05</v>
      </c>
      <c r="M63" s="49">
        <v>7.0000000000000007E-2</v>
      </c>
    </row>
    <row r="64" spans="2:15" x14ac:dyDescent="0.25">
      <c r="B64" s="20" t="s">
        <v>811</v>
      </c>
      <c r="C64" s="11" t="s">
        <v>1176</v>
      </c>
      <c r="D64" s="50" t="s">
        <v>857</v>
      </c>
      <c r="E64" s="50" t="s">
        <v>857</v>
      </c>
      <c r="F64" s="50" t="s">
        <v>857</v>
      </c>
      <c r="G64" s="50" t="s">
        <v>857</v>
      </c>
      <c r="H64" s="48">
        <f>381*(1/0.9)</f>
        <v>423.33333333333337</v>
      </c>
      <c r="I64" s="48">
        <f>28.575*(1/0.9)</f>
        <v>31.75</v>
      </c>
      <c r="J64" s="50"/>
      <c r="K64" s="50">
        <v>10</v>
      </c>
      <c r="L64" s="53"/>
      <c r="M64" s="53"/>
    </row>
    <row r="65" spans="2:17" x14ac:dyDescent="0.25">
      <c r="B65" s="20" t="s">
        <v>865</v>
      </c>
      <c r="C65" s="11" t="s">
        <v>1175</v>
      </c>
      <c r="D65" s="54"/>
      <c r="E65" s="54"/>
      <c r="F65" s="53"/>
      <c r="G65" s="53"/>
      <c r="H65" s="48">
        <f>407.67*(1/0.9)</f>
        <v>452.9666666666667</v>
      </c>
      <c r="I65" s="48">
        <f>30.57525*(1/0.9)</f>
        <v>33.972500000000004</v>
      </c>
      <c r="J65" s="50"/>
      <c r="K65" s="50">
        <v>10</v>
      </c>
      <c r="L65" s="49">
        <v>0.05</v>
      </c>
      <c r="M65" s="49">
        <v>7.0000000000000007E-2</v>
      </c>
    </row>
    <row r="66" spans="2:17" x14ac:dyDescent="0.25">
      <c r="B66" s="20" t="s">
        <v>874</v>
      </c>
      <c r="C66" s="11" t="s">
        <v>1174</v>
      </c>
      <c r="D66" s="54"/>
      <c r="E66" s="54"/>
      <c r="F66" s="53"/>
      <c r="G66" s="53"/>
      <c r="H66" s="48">
        <f>436.2069*(1/0.9)</f>
        <v>484.67433333333338</v>
      </c>
      <c r="I66" s="48">
        <f>32.7155175*(1/0.9)</f>
        <v>36.350575000000006</v>
      </c>
      <c r="J66" s="50"/>
      <c r="K66" s="50">
        <v>10</v>
      </c>
      <c r="L66" s="49">
        <v>0.05</v>
      </c>
      <c r="M66" s="49">
        <v>7.0000000000000007E-2</v>
      </c>
    </row>
    <row r="67" spans="2:17" x14ac:dyDescent="0.25">
      <c r="D67" s="20"/>
      <c r="E67" s="20"/>
    </row>
    <row r="68" spans="2:17" ht="14.4" thickBot="1" x14ac:dyDescent="0.3">
      <c r="B68" s="58" t="s">
        <v>830</v>
      </c>
      <c r="C68" s="12"/>
      <c r="D68" s="13"/>
      <c r="E68" s="13"/>
      <c r="F68" s="13"/>
      <c r="G68" s="13"/>
      <c r="H68" s="13">
        <v>4</v>
      </c>
      <c r="I68" s="13"/>
      <c r="J68" s="13"/>
      <c r="K68" s="13">
        <v>8</v>
      </c>
      <c r="L68" s="13"/>
      <c r="M68" s="13"/>
      <c r="N68" s="13"/>
      <c r="O68" s="62"/>
      <c r="P68" s="62"/>
      <c r="Q68" s="62"/>
    </row>
    <row r="69" spans="2:17" ht="43.5" customHeight="1" x14ac:dyDescent="0.25">
      <c r="B69" s="59" t="s">
        <v>780</v>
      </c>
      <c r="C69" s="16" t="s">
        <v>40</v>
      </c>
      <c r="D69" s="16" t="s">
        <v>781</v>
      </c>
      <c r="E69" s="16" t="s">
        <v>782</v>
      </c>
      <c r="F69" s="16" t="s">
        <v>783</v>
      </c>
      <c r="G69" s="16" t="s">
        <v>784</v>
      </c>
      <c r="H69" s="17" t="s">
        <v>828</v>
      </c>
      <c r="I69" s="17" t="s">
        <v>829</v>
      </c>
      <c r="J69" s="17" t="s">
        <v>34</v>
      </c>
      <c r="K69" s="17" t="s">
        <v>47</v>
      </c>
      <c r="L69" s="17" t="s">
        <v>785</v>
      </c>
      <c r="M69" s="17" t="s">
        <v>786</v>
      </c>
      <c r="N69" s="63" t="s">
        <v>835</v>
      </c>
      <c r="O69" s="63" t="s">
        <v>836</v>
      </c>
      <c r="P69" s="64"/>
      <c r="Q69" s="64" t="s">
        <v>787</v>
      </c>
    </row>
    <row r="70" spans="2:17" x14ac:dyDescent="0.25">
      <c r="B70" s="20" t="s">
        <v>821</v>
      </c>
      <c r="C70" s="11" t="s">
        <v>1170</v>
      </c>
      <c r="D70" s="41" t="s">
        <v>857</v>
      </c>
      <c r="E70" s="41" t="s">
        <v>857</v>
      </c>
      <c r="F70" s="41" t="s">
        <v>857</v>
      </c>
      <c r="G70" s="41" t="s">
        <v>857</v>
      </c>
      <c r="H70" s="50">
        <f>95.1729921074761*(1/0.9)</f>
        <v>105.74776900830679</v>
      </c>
      <c r="I70" s="50">
        <f>13.14*(1/0.9)</f>
        <v>14.600000000000001</v>
      </c>
      <c r="J70" s="41" t="s">
        <v>857</v>
      </c>
      <c r="K70" s="41">
        <v>15</v>
      </c>
      <c r="L70" s="23"/>
      <c r="M70" s="23"/>
      <c r="N70" s="1">
        <v>1.5</v>
      </c>
      <c r="O70" s="65">
        <v>8.76</v>
      </c>
    </row>
    <row r="71" spans="2:17" x14ac:dyDescent="0.25">
      <c r="B71" s="20" t="s">
        <v>822</v>
      </c>
      <c r="C71" s="11" t="s">
        <v>1171</v>
      </c>
      <c r="D71" s="41" t="s">
        <v>857</v>
      </c>
      <c r="E71" s="41" t="s">
        <v>857</v>
      </c>
      <c r="F71" s="41" t="s">
        <v>857</v>
      </c>
      <c r="G71" s="41"/>
      <c r="H71" s="50">
        <f>178.485085799156*(1/0.9)</f>
        <v>198.31676199906224</v>
      </c>
      <c r="I71" s="50">
        <f>1.2264*(1/0.9)</f>
        <v>1.3626666666666667</v>
      </c>
      <c r="J71" s="41" t="s">
        <v>857</v>
      </c>
      <c r="K71" s="41">
        <v>15</v>
      </c>
      <c r="L71" s="23">
        <v>0.05</v>
      </c>
      <c r="M71" s="23">
        <v>7.0000000000000007E-2</v>
      </c>
      <c r="N71" s="1">
        <v>3.5</v>
      </c>
      <c r="O71" s="65">
        <v>0.35039999999999999</v>
      </c>
    </row>
    <row r="72" spans="2:17" x14ac:dyDescent="0.25">
      <c r="B72" s="20" t="s">
        <v>823</v>
      </c>
      <c r="C72" s="11" t="s">
        <v>1172</v>
      </c>
      <c r="D72" s="41" t="s">
        <v>857</v>
      </c>
      <c r="E72" s="41" t="s">
        <v>857</v>
      </c>
      <c r="F72" s="41" t="s">
        <v>857</v>
      </c>
      <c r="G72" s="41" t="s">
        <v>857</v>
      </c>
      <c r="H72" s="50">
        <f>287.426723236294*(1/0.9)</f>
        <v>319.36302581810446</v>
      </c>
      <c r="I72" s="50">
        <f>1.25142857142857*(1/0.9)</f>
        <v>1.3904761904761889</v>
      </c>
      <c r="J72" s="41" t="s">
        <v>857</v>
      </c>
      <c r="K72" s="41">
        <v>15</v>
      </c>
      <c r="L72" s="23">
        <v>0.05</v>
      </c>
      <c r="M72" s="23">
        <v>7.0000000000000007E-2</v>
      </c>
      <c r="N72" s="1">
        <v>5</v>
      </c>
      <c r="O72" s="65">
        <v>0.25028571428571428</v>
      </c>
    </row>
    <row r="73" spans="2:17" x14ac:dyDescent="0.25">
      <c r="B73" s="20" t="s">
        <v>824</v>
      </c>
      <c r="C73" s="11" t="s">
        <v>1173</v>
      </c>
      <c r="D73" s="41" t="s">
        <v>857</v>
      </c>
      <c r="E73" s="41" t="s">
        <v>857</v>
      </c>
      <c r="F73" s="41" t="s">
        <v>857</v>
      </c>
      <c r="G73" s="41" t="s">
        <v>857</v>
      </c>
      <c r="H73" s="50">
        <f>178.485085799156*(1/0.9)</f>
        <v>198.31676199906224</v>
      </c>
      <c r="I73" s="50">
        <f>17.52*(1/0.9)</f>
        <v>19.466666666666669</v>
      </c>
      <c r="J73" s="41" t="s">
        <v>857</v>
      </c>
      <c r="K73" s="41">
        <v>15</v>
      </c>
      <c r="L73" s="23">
        <v>0.05</v>
      </c>
      <c r="M73" s="23">
        <v>7.0000000000000007E-2</v>
      </c>
      <c r="N73" s="1">
        <v>4</v>
      </c>
      <c r="O73" s="65">
        <v>4.38</v>
      </c>
    </row>
    <row r="74" spans="2:17" x14ac:dyDescent="0.25">
      <c r="D74" s="41" t="s">
        <v>857</v>
      </c>
      <c r="E74" s="41" t="s">
        <v>857</v>
      </c>
      <c r="F74" s="41" t="s">
        <v>857</v>
      </c>
      <c r="G74" s="41" t="s">
        <v>857</v>
      </c>
      <c r="H74" s="22"/>
      <c r="I74" s="22"/>
      <c r="J74" s="41"/>
      <c r="K74" s="41"/>
      <c r="L74" s="23"/>
      <c r="M74" s="23"/>
    </row>
    <row r="75" spans="2:17" x14ac:dyDescent="0.25">
      <c r="D75" s="20"/>
      <c r="E75" s="20"/>
    </row>
    <row r="76" spans="2:17" ht="14.4" thickBot="1" x14ac:dyDescent="0.3">
      <c r="B76" s="58" t="s">
        <v>831</v>
      </c>
      <c r="C76" s="12"/>
      <c r="D76" s="13"/>
      <c r="E76" s="13"/>
      <c r="F76" s="13"/>
      <c r="G76" s="13"/>
      <c r="H76" s="13">
        <v>4</v>
      </c>
      <c r="I76" s="13"/>
      <c r="J76" s="13"/>
      <c r="K76" s="13">
        <v>8</v>
      </c>
      <c r="L76" s="13"/>
      <c r="M76" s="13"/>
      <c r="N76" s="13"/>
    </row>
    <row r="77" spans="2:17" ht="26.4" x14ac:dyDescent="0.25">
      <c r="B77" s="59" t="s">
        <v>780</v>
      </c>
      <c r="C77" s="16" t="s">
        <v>40</v>
      </c>
      <c r="D77" s="16" t="s">
        <v>781</v>
      </c>
      <c r="E77" s="16" t="s">
        <v>782</v>
      </c>
      <c r="F77" s="16" t="s">
        <v>783</v>
      </c>
      <c r="G77" s="16" t="s">
        <v>784</v>
      </c>
      <c r="H77" s="17" t="s">
        <v>1163</v>
      </c>
      <c r="I77" s="17" t="s">
        <v>829</v>
      </c>
      <c r="J77" s="17" t="s">
        <v>34</v>
      </c>
      <c r="K77" s="17" t="s">
        <v>47</v>
      </c>
      <c r="L77" s="17" t="s">
        <v>785</v>
      </c>
      <c r="M77" s="17" t="s">
        <v>786</v>
      </c>
      <c r="N77" s="17" t="s">
        <v>787</v>
      </c>
    </row>
    <row r="78" spans="2:17" x14ac:dyDescent="0.25">
      <c r="B78" s="20" t="s">
        <v>875</v>
      </c>
      <c r="C78" s="11" t="s">
        <v>1167</v>
      </c>
      <c r="D78" s="50" t="s">
        <v>857</v>
      </c>
      <c r="E78" s="50" t="s">
        <v>857</v>
      </c>
      <c r="F78" s="50" t="s">
        <v>857</v>
      </c>
      <c r="G78" s="50" t="s">
        <v>857</v>
      </c>
      <c r="H78" s="48">
        <f>459*(1/0.9)</f>
        <v>510</v>
      </c>
      <c r="I78" s="48">
        <f>11.475*(1/0.9)</f>
        <v>12.75</v>
      </c>
      <c r="J78" s="50"/>
      <c r="K78" s="50" t="s">
        <v>857</v>
      </c>
      <c r="L78" s="49"/>
      <c r="M78" s="49"/>
      <c r="N78" s="53"/>
      <c r="O78" s="53"/>
    </row>
    <row r="79" spans="2:17" x14ac:dyDescent="0.25">
      <c r="B79" s="20" t="s">
        <v>876</v>
      </c>
      <c r="C79" s="11" t="s">
        <v>1168</v>
      </c>
      <c r="D79" s="50" t="s">
        <v>857</v>
      </c>
      <c r="E79" s="50" t="s">
        <v>857</v>
      </c>
      <c r="F79" s="50" t="s">
        <v>857</v>
      </c>
      <c r="G79" s="50" t="s">
        <v>857</v>
      </c>
      <c r="H79" s="48">
        <f>491.13*(1/0.9)</f>
        <v>545.70000000000005</v>
      </c>
      <c r="I79" s="48">
        <f>12.27825*(1/0.9)</f>
        <v>13.6425</v>
      </c>
      <c r="J79" s="50"/>
      <c r="K79" s="50" t="s">
        <v>857</v>
      </c>
      <c r="L79" s="49">
        <v>0.05</v>
      </c>
      <c r="M79" s="49">
        <v>7.0000000000000007E-2</v>
      </c>
      <c r="N79" s="53"/>
      <c r="O79" s="53"/>
    </row>
    <row r="80" spans="2:17" x14ac:dyDescent="0.25">
      <c r="B80" s="20" t="s">
        <v>877</v>
      </c>
      <c r="C80" s="11" t="s">
        <v>1169</v>
      </c>
      <c r="D80" s="50" t="s">
        <v>857</v>
      </c>
      <c r="E80" s="50" t="s">
        <v>857</v>
      </c>
      <c r="F80" s="50" t="s">
        <v>857</v>
      </c>
      <c r="G80" s="50" t="s">
        <v>857</v>
      </c>
      <c r="H80" s="48">
        <f>525.5091*(1/0.9)</f>
        <v>583.89900000000011</v>
      </c>
      <c r="I80" s="48">
        <f>13.1377275*(1/0.9)</f>
        <v>14.597475000000001</v>
      </c>
      <c r="J80" s="50"/>
      <c r="K80" s="50" t="s">
        <v>857</v>
      </c>
      <c r="L80" s="49">
        <v>0.05</v>
      </c>
      <c r="M80" s="49">
        <v>7.0000000000000007E-2</v>
      </c>
      <c r="N80" s="53"/>
      <c r="O80" s="53"/>
    </row>
    <row r="81" spans="2:15" x14ac:dyDescent="0.25">
      <c r="D81" s="50"/>
      <c r="E81" s="50"/>
      <c r="F81" s="50"/>
      <c r="G81" s="50"/>
      <c r="H81" s="48"/>
      <c r="I81" s="48"/>
      <c r="J81" s="50"/>
      <c r="K81" s="50"/>
      <c r="L81" s="49"/>
      <c r="M81" s="49"/>
      <c r="N81" s="53"/>
      <c r="O81" s="53"/>
    </row>
    <row r="82" spans="2:15" x14ac:dyDescent="0.25">
      <c r="D82" s="50"/>
      <c r="E82" s="50"/>
      <c r="F82" s="50"/>
      <c r="G82" s="50"/>
      <c r="H82" s="48"/>
      <c r="I82" s="48"/>
      <c r="J82" s="50"/>
      <c r="K82" s="50"/>
      <c r="L82" s="49"/>
      <c r="M82" s="49"/>
      <c r="N82" s="53"/>
      <c r="O82" s="53"/>
    </row>
    <row r="83" spans="2:15" x14ac:dyDescent="0.25">
      <c r="D83" s="54"/>
      <c r="E83" s="54"/>
      <c r="F83" s="53"/>
      <c r="G83" s="53"/>
      <c r="H83" s="53"/>
      <c r="I83" s="53"/>
      <c r="J83" s="53"/>
      <c r="K83" s="53"/>
      <c r="L83" s="53"/>
      <c r="M83" s="53"/>
      <c r="N83" s="53"/>
      <c r="O83" s="53"/>
    </row>
    <row r="84" spans="2:15" ht="14.4" thickBot="1" x14ac:dyDescent="0.3">
      <c r="B84" s="58" t="s">
        <v>832</v>
      </c>
      <c r="C84" s="12"/>
      <c r="D84" s="13"/>
      <c r="E84" s="13"/>
      <c r="F84" s="13"/>
      <c r="G84" s="13"/>
      <c r="H84" s="13">
        <v>4</v>
      </c>
      <c r="I84" s="13"/>
      <c r="J84" s="13"/>
      <c r="K84" s="13">
        <v>8</v>
      </c>
      <c r="L84" s="13"/>
      <c r="M84" s="13"/>
      <c r="N84" s="13"/>
      <c r="O84" s="53"/>
    </row>
    <row r="85" spans="2:15" ht="26.4" x14ac:dyDescent="0.25">
      <c r="B85" s="59" t="s">
        <v>780</v>
      </c>
      <c r="C85" s="16" t="s">
        <v>40</v>
      </c>
      <c r="D85" s="16" t="s">
        <v>781</v>
      </c>
      <c r="E85" s="16" t="s">
        <v>782</v>
      </c>
      <c r="F85" s="16" t="s">
        <v>783</v>
      </c>
      <c r="G85" s="16" t="s">
        <v>784</v>
      </c>
      <c r="H85" s="17" t="s">
        <v>1163</v>
      </c>
      <c r="I85" s="17" t="s">
        <v>829</v>
      </c>
      <c r="J85" s="17" t="s">
        <v>34</v>
      </c>
      <c r="K85" s="17" t="s">
        <v>47</v>
      </c>
      <c r="L85" s="17" t="s">
        <v>785</v>
      </c>
      <c r="M85" s="17" t="s">
        <v>786</v>
      </c>
      <c r="N85" s="17" t="s">
        <v>787</v>
      </c>
      <c r="O85" s="53"/>
    </row>
    <row r="86" spans="2:15" x14ac:dyDescent="0.25">
      <c r="B86" s="20" t="s">
        <v>878</v>
      </c>
      <c r="C86" s="11" t="s">
        <v>1164</v>
      </c>
      <c r="D86" s="50" t="s">
        <v>857</v>
      </c>
      <c r="E86" s="50" t="s">
        <v>857</v>
      </c>
      <c r="F86" s="50" t="s">
        <v>857</v>
      </c>
      <c r="G86" s="50" t="s">
        <v>857</v>
      </c>
      <c r="H86" s="48">
        <f>122.196078697466*(1/0.9)</f>
        <v>135.7734207749626</v>
      </c>
      <c r="I86" s="48">
        <f>3.05490196743666*(1/0.9)</f>
        <v>3.394335519374065</v>
      </c>
      <c r="J86" s="50"/>
      <c r="K86" s="50" t="s">
        <v>857</v>
      </c>
      <c r="L86" s="49"/>
      <c r="M86" s="49"/>
      <c r="N86" s="53"/>
      <c r="O86" s="53"/>
    </row>
    <row r="87" spans="2:15" x14ac:dyDescent="0.25">
      <c r="B87" s="20" t="s">
        <v>879</v>
      </c>
      <c r="C87" s="11" t="s">
        <v>1165</v>
      </c>
      <c r="D87" s="50" t="s">
        <v>857</v>
      </c>
      <c r="E87" s="50" t="s">
        <v>857</v>
      </c>
      <c r="F87" s="50" t="s">
        <v>857</v>
      </c>
      <c r="G87" s="50" t="s">
        <v>857</v>
      </c>
      <c r="H87" s="48">
        <f>130.749804206289*(1/0.9)</f>
        <v>145.27756022921</v>
      </c>
      <c r="I87" s="48">
        <f>3.26874510515722*(1/0.9)</f>
        <v>3.6319390057302496</v>
      </c>
      <c r="J87" s="50"/>
      <c r="K87" s="50" t="s">
        <v>857</v>
      </c>
      <c r="L87" s="49">
        <v>0.05</v>
      </c>
      <c r="M87" s="49">
        <v>7.0000000000000007E-2</v>
      </c>
      <c r="N87" s="53"/>
    </row>
    <row r="88" spans="2:15" x14ac:dyDescent="0.25">
      <c r="B88" s="20" t="s">
        <v>880</v>
      </c>
      <c r="C88" s="11" t="s">
        <v>1166</v>
      </c>
      <c r="D88" s="50" t="s">
        <v>857</v>
      </c>
      <c r="E88" s="50" t="s">
        <v>857</v>
      </c>
      <c r="F88" s="50" t="s">
        <v>857</v>
      </c>
      <c r="G88" s="50" t="s">
        <v>857</v>
      </c>
      <c r="H88" s="48">
        <f>139.902290500729*(1/0.9)</f>
        <v>155.44698944525467</v>
      </c>
      <c r="I88" s="48">
        <f>3.49755726251823*(1/0.9)</f>
        <v>3.8861747361313674</v>
      </c>
      <c r="J88" s="50"/>
      <c r="K88" s="50" t="s">
        <v>857</v>
      </c>
      <c r="L88" s="49">
        <v>0.05</v>
      </c>
      <c r="M88" s="49">
        <v>7.0000000000000007E-2</v>
      </c>
      <c r="N88" s="53"/>
    </row>
    <row r="89" spans="2:15" x14ac:dyDescent="0.25">
      <c r="D89" s="50"/>
      <c r="E89" s="50"/>
      <c r="F89" s="50"/>
      <c r="G89" s="50"/>
      <c r="H89" s="48"/>
      <c r="I89" s="48"/>
      <c r="J89" s="50"/>
      <c r="K89" s="50"/>
      <c r="L89" s="49"/>
      <c r="M89" s="49"/>
      <c r="N89" s="53"/>
    </row>
    <row r="90" spans="2:15" x14ac:dyDescent="0.25">
      <c r="D90" s="50"/>
      <c r="E90" s="50"/>
      <c r="F90" s="50"/>
      <c r="G90" s="50"/>
      <c r="H90" s="48"/>
      <c r="I90" s="48"/>
      <c r="J90" s="50"/>
      <c r="K90" s="50"/>
      <c r="L90" s="49"/>
      <c r="M90" s="49"/>
      <c r="N90" s="53"/>
    </row>
    <row r="93" spans="2:15" x14ac:dyDescent="0.25">
      <c r="G93" s="66"/>
      <c r="H93" s="66"/>
      <c r="I93" s="66"/>
      <c r="J93" s="66"/>
      <c r="K93" s="66"/>
      <c r="L93" s="66"/>
      <c r="M93" s="66"/>
      <c r="N93" s="66"/>
    </row>
    <row r="94" spans="2:15" x14ac:dyDescent="0.25">
      <c r="G94" s="67"/>
      <c r="H94" s="68"/>
      <c r="I94" s="66"/>
      <c r="J94" s="66"/>
      <c r="K94" s="66"/>
      <c r="L94" s="66"/>
      <c r="M94" s="66"/>
      <c r="N94" s="66"/>
    </row>
    <row r="95" spans="2:15" x14ac:dyDescent="0.25">
      <c r="G95" s="69"/>
      <c r="H95" s="69"/>
      <c r="I95" s="69"/>
      <c r="J95" s="69"/>
      <c r="K95" s="69"/>
      <c r="L95" s="70"/>
      <c r="M95" s="70"/>
      <c r="N95" s="71"/>
    </row>
    <row r="96" spans="2:15" x14ac:dyDescent="0.25">
      <c r="G96" s="69"/>
      <c r="H96" s="69"/>
      <c r="I96" s="69"/>
      <c r="J96" s="69"/>
      <c r="K96" s="69"/>
      <c r="L96" s="70"/>
      <c r="M96" s="70"/>
      <c r="N96" s="71"/>
    </row>
    <row r="97" spans="7:14" x14ac:dyDescent="0.25">
      <c r="G97" s="69"/>
      <c r="H97" s="69"/>
      <c r="I97" s="69"/>
      <c r="J97" s="69"/>
      <c r="K97" s="69"/>
      <c r="L97" s="70"/>
      <c r="M97" s="70"/>
      <c r="N97" s="7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Commodities</vt:lpstr>
      <vt:lpstr>TER_NewBuildings</vt:lpstr>
      <vt:lpstr>TER_SpHeat</vt:lpstr>
      <vt:lpstr>TER_SpCool</vt:lpstr>
      <vt:lpstr>TER_WaterHeat</vt:lpstr>
      <vt:lpstr>TER_Appliances</vt:lpstr>
      <vt:lpstr>TER_Refurbishment</vt:lpstr>
      <vt:lpstr>General</vt:lpstr>
      <vt:lpstr>DATA </vt:lpstr>
      <vt:lpstr>BASE_YEAR</vt:lpstr>
      <vt:lpstr>END_YEAR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2005-06-03T09:41:13Z</dcterms:created>
  <dcterms:modified xsi:type="dcterms:W3CDTF">2022-09-23T17:08:57Z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694393634796142</vt:r8>
  </property>
</Properties>
</file>