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2879AC73-06DA-4EBB-AC20-41B914BD4285}" xr6:coauthVersionLast="47" xr6:coauthVersionMax="47" xr10:uidLastSave="{00000000-0000-0000-0000-000000000000}"/>
  <bookViews>
    <workbookView xWindow="372" yWindow="0" windowWidth="22668" windowHeight="12240" firstSheet="1" activeTab="1" xr2:uid="{00000000-000D-0000-FFFF-FFFF00000000}"/>
  </bookViews>
  <sheets>
    <sheet name="FILL Table" sheetId="19" state="hidden" r:id="rId1"/>
    <sheet name="Technologies" sheetId="17" r:id="rId2"/>
    <sheet name="TER_Refurbishment" sheetId="21" r:id="rId3"/>
    <sheet name="AVA" sheetId="18" r:id="rId4"/>
    <sheet name="General" sheetId="20" state="hidden" r:id="rId5"/>
  </sheets>
  <definedNames>
    <definedName name="_xlnm._FilterDatabase" localSheetId="1" hidden="1">Technologies!$M$26:$R$150</definedName>
    <definedName name="BASE_YEAR">General!$B$3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7" l="1"/>
  <c r="R13" i="17"/>
  <c r="M150" i="17"/>
  <c r="M147" i="17"/>
  <c r="M130" i="17"/>
  <c r="M129" i="17"/>
  <c r="M127" i="17"/>
  <c r="M126" i="17"/>
  <c r="M124" i="17"/>
  <c r="M123" i="17"/>
  <c r="M120" i="17"/>
  <c r="M119" i="17"/>
  <c r="M117" i="17"/>
  <c r="M116" i="17"/>
  <c r="M113" i="17"/>
  <c r="M114" i="17"/>
  <c r="O21" i="21" l="1"/>
  <c r="Q26" i="21"/>
  <c r="P26" i="21"/>
  <c r="O26" i="21"/>
  <c r="N26" i="21"/>
  <c r="Q25" i="21"/>
  <c r="P25" i="21"/>
  <c r="O25" i="21"/>
  <c r="N25" i="21"/>
  <c r="Q21" i="21"/>
  <c r="P21" i="21"/>
  <c r="N21" i="21"/>
  <c r="Q20" i="21"/>
  <c r="P20" i="21"/>
  <c r="O20" i="21"/>
  <c r="N20" i="21"/>
  <c r="Q15" i="21"/>
  <c r="P15" i="21"/>
  <c r="O15" i="21"/>
  <c r="E33" i="21" l="1"/>
  <c r="E32" i="21"/>
  <c r="E31" i="21"/>
  <c r="E37" i="21" l="1"/>
  <c r="E34" i="21"/>
  <c r="E40" i="21" s="1"/>
  <c r="E38" i="21"/>
  <c r="E35" i="21"/>
  <c r="E41" i="21" s="1"/>
  <c r="E39" i="21"/>
  <c r="E36" i="21"/>
  <c r="E42" i="21" s="1"/>
  <c r="Q210" i="17"/>
  <c r="H210" i="17" s="1"/>
  <c r="A107" i="19"/>
  <c r="J210" i="17" l="1"/>
  <c r="I210" i="17"/>
  <c r="K210" i="17"/>
  <c r="M12" i="17"/>
  <c r="M10" i="17"/>
  <c r="M138" i="17" l="1"/>
  <c r="N138" i="17" s="1"/>
  <c r="O138" i="17" s="1"/>
  <c r="P138" i="17" s="1"/>
  <c r="M137" i="17"/>
  <c r="N137" i="17" s="1"/>
  <c r="O137" i="17" s="1"/>
  <c r="P137" i="17" s="1"/>
  <c r="M136" i="17"/>
  <c r="N136" i="17" s="1"/>
  <c r="O136" i="17" s="1"/>
  <c r="P136" i="17" s="1"/>
  <c r="P135" i="17"/>
  <c r="O135" i="17"/>
  <c r="N135" i="17"/>
  <c r="M135" i="17"/>
  <c r="P131" i="17"/>
  <c r="O131" i="17"/>
  <c r="N131" i="17"/>
  <c r="M131" i="17"/>
  <c r="M134" i="17"/>
  <c r="M133" i="17"/>
  <c r="M132" i="17"/>
  <c r="N150" i="17" l="1"/>
  <c r="O150" i="17" s="1"/>
  <c r="P150" i="17" s="1"/>
  <c r="N147" i="17"/>
  <c r="O147" i="17" s="1"/>
  <c r="P147" i="17" s="1"/>
  <c r="N134" i="17"/>
  <c r="O134" i="17" s="1"/>
  <c r="P134" i="17" s="1"/>
  <c r="N133" i="17"/>
  <c r="O133" i="17" s="1"/>
  <c r="P133" i="17" s="1"/>
  <c r="N132" i="17"/>
  <c r="O132" i="17" s="1"/>
  <c r="P132" i="17" s="1"/>
  <c r="N130" i="17"/>
  <c r="O130" i="17" s="1"/>
  <c r="P130" i="17" s="1"/>
  <c r="N129" i="17"/>
  <c r="O129" i="17" s="1"/>
  <c r="P129" i="17" s="1"/>
  <c r="N127" i="17"/>
  <c r="O127" i="17" s="1"/>
  <c r="P127" i="17" s="1"/>
  <c r="N126" i="17"/>
  <c r="O126" i="17" s="1"/>
  <c r="P126" i="17" s="1"/>
  <c r="N124" i="17"/>
  <c r="O124" i="17" s="1"/>
  <c r="P124" i="17" s="1"/>
  <c r="N123" i="17"/>
  <c r="O123" i="17" s="1"/>
  <c r="P123" i="17" s="1"/>
  <c r="N120" i="17"/>
  <c r="O120" i="17" s="1"/>
  <c r="P120" i="17" s="1"/>
  <c r="N119" i="17"/>
  <c r="O119" i="17" s="1"/>
  <c r="P119" i="17" s="1"/>
  <c r="N117" i="17"/>
  <c r="O117" i="17" s="1"/>
  <c r="P117" i="17" s="1"/>
  <c r="N116" i="17"/>
  <c r="O116" i="17" s="1"/>
  <c r="P116" i="17" s="1"/>
  <c r="N114" i="17"/>
  <c r="O114" i="17" s="1"/>
  <c r="P114" i="17" s="1"/>
  <c r="N113" i="17"/>
  <c r="O113" i="17" s="1"/>
  <c r="P113" i="17" s="1"/>
  <c r="AD36" i="21" l="1"/>
  <c r="AC36" i="21"/>
  <c r="AB36" i="21"/>
  <c r="AD35" i="21"/>
  <c r="AC35" i="21"/>
  <c r="AB35" i="21"/>
  <c r="Q189" i="17" l="1"/>
  <c r="A91" i="19"/>
  <c r="A92" i="19"/>
  <c r="A93" i="19"/>
  <c r="Q190" i="17"/>
  <c r="Q191" i="17"/>
  <c r="Q192" i="17"/>
  <c r="Q193" i="17"/>
  <c r="Q194" i="17"/>
  <c r="Q195" i="17"/>
  <c r="Q196" i="17"/>
  <c r="A94" i="19"/>
  <c r="A95" i="19"/>
  <c r="Q197" i="17"/>
  <c r="Q198" i="17"/>
  <c r="Q199" i="17"/>
  <c r="A96" i="19"/>
  <c r="A97" i="19"/>
  <c r="A98" i="19"/>
  <c r="Q200" i="17"/>
  <c r="Q201" i="17"/>
  <c r="Q202" i="17"/>
  <c r="Q203" i="17"/>
  <c r="Q204" i="17"/>
  <c r="Q205" i="17"/>
  <c r="Q206" i="17"/>
  <c r="A99" i="19"/>
  <c r="A100" i="19"/>
  <c r="Q207" i="17"/>
  <c r="H207" i="17" s="1"/>
  <c r="Q208" i="17"/>
  <c r="Q209" i="17"/>
  <c r="A101" i="19"/>
  <c r="J200" i="17" s="1"/>
  <c r="Q211" i="17"/>
  <c r="A102" i="19"/>
  <c r="Q212" i="17"/>
  <c r="A103" i="19"/>
  <c r="Q213" i="17"/>
  <c r="Q214" i="17"/>
  <c r="Q215" i="17"/>
  <c r="A104" i="19"/>
  <c r="Q216" i="17"/>
  <c r="Q217" i="17"/>
  <c r="Q218" i="17"/>
  <c r="A105" i="19"/>
  <c r="Q219" i="17"/>
  <c r="Q220" i="17"/>
  <c r="Q221" i="17"/>
  <c r="A106" i="19"/>
  <c r="Q222" i="17"/>
  <c r="Q223" i="17"/>
  <c r="Q111" i="17"/>
  <c r="A59" i="19"/>
  <c r="A60" i="19"/>
  <c r="A61" i="19"/>
  <c r="Q112" i="17"/>
  <c r="Q115" i="17"/>
  <c r="Q125" i="17"/>
  <c r="A62" i="19"/>
  <c r="A63" i="19"/>
  <c r="A64" i="19"/>
  <c r="H59" i="19"/>
  <c r="H60" i="19"/>
  <c r="H61" i="19"/>
  <c r="H62" i="19"/>
  <c r="H63" i="19"/>
  <c r="H64" i="19"/>
  <c r="A65" i="19"/>
  <c r="H65" i="19"/>
  <c r="A66" i="19"/>
  <c r="H66" i="19"/>
  <c r="A67" i="19"/>
  <c r="H67" i="19"/>
  <c r="A68" i="19"/>
  <c r="H68" i="19"/>
  <c r="A69" i="19"/>
  <c r="H69" i="19"/>
  <c r="Q118" i="17"/>
  <c r="Q121" i="17"/>
  <c r="Q122" i="17"/>
  <c r="Q128" i="17"/>
  <c r="Q131" i="17"/>
  <c r="I131" i="17" s="1"/>
  <c r="Q135" i="17"/>
  <c r="A70" i="19"/>
  <c r="Q139" i="17"/>
  <c r="A71" i="19"/>
  <c r="Q142" i="17"/>
  <c r="H142" i="17" s="1"/>
  <c r="H143" i="17" s="1"/>
  <c r="A72" i="19"/>
  <c r="Q145" i="17"/>
  <c r="A73" i="19"/>
  <c r="Q148" i="17"/>
  <c r="A74" i="19"/>
  <c r="Q153" i="17"/>
  <c r="A75" i="19"/>
  <c r="A76" i="19"/>
  <c r="A77" i="19"/>
  <c r="Q154" i="17"/>
  <c r="Q155" i="17"/>
  <c r="Q156" i="17"/>
  <c r="Q157" i="17"/>
  <c r="Q158" i="17"/>
  <c r="Q159" i="17"/>
  <c r="Q160" i="17"/>
  <c r="A78" i="19"/>
  <c r="A79" i="19"/>
  <c r="Q161" i="17"/>
  <c r="Q162" i="17"/>
  <c r="Q163" i="17"/>
  <c r="A80" i="19"/>
  <c r="A81" i="19"/>
  <c r="A82" i="19"/>
  <c r="Q164" i="17"/>
  <c r="Q165" i="17"/>
  <c r="Q166" i="17"/>
  <c r="Q167" i="17"/>
  <c r="Q168" i="17"/>
  <c r="Q169" i="17"/>
  <c r="Q170" i="17"/>
  <c r="A83" i="19"/>
  <c r="A84" i="19"/>
  <c r="Q171" i="17"/>
  <c r="Q172" i="17"/>
  <c r="Q173" i="17"/>
  <c r="A85" i="19"/>
  <c r="Q174" i="17"/>
  <c r="A86" i="19"/>
  <c r="Q175" i="17"/>
  <c r="H175" i="17" s="1"/>
  <c r="A87" i="19"/>
  <c r="Q176" i="17"/>
  <c r="H176" i="17" s="1"/>
  <c r="Q177" i="17"/>
  <c r="Q178" i="17"/>
  <c r="A88" i="19"/>
  <c r="Q179" i="17"/>
  <c r="Q180" i="17"/>
  <c r="Q181" i="17"/>
  <c r="A89" i="19"/>
  <c r="Q182" i="17"/>
  <c r="Q183" i="17"/>
  <c r="Q184" i="17"/>
  <c r="A90" i="19"/>
  <c r="Q185" i="17"/>
  <c r="Q186" i="17"/>
  <c r="Q91" i="17"/>
  <c r="A44" i="19"/>
  <c r="A45" i="19"/>
  <c r="A46" i="19"/>
  <c r="H44" i="19"/>
  <c r="H45" i="19"/>
  <c r="H46" i="19"/>
  <c r="A47" i="19"/>
  <c r="H47" i="19"/>
  <c r="A48" i="19"/>
  <c r="H48" i="19"/>
  <c r="A49" i="19"/>
  <c r="H49" i="19"/>
  <c r="A50" i="19"/>
  <c r="H50" i="19"/>
  <c r="A51" i="19"/>
  <c r="H51" i="19"/>
  <c r="A52" i="19"/>
  <c r="H52" i="19"/>
  <c r="A53" i="19"/>
  <c r="H53" i="19"/>
  <c r="A54" i="19"/>
  <c r="H54" i="19"/>
  <c r="A55" i="19"/>
  <c r="H55" i="19"/>
  <c r="A56" i="19"/>
  <c r="H56" i="19"/>
  <c r="A57" i="19"/>
  <c r="H57" i="19"/>
  <c r="A58" i="19"/>
  <c r="H58" i="19"/>
  <c r="Q92" i="17"/>
  <c r="H92" i="17" s="1"/>
  <c r="Q93" i="17"/>
  <c r="H93" i="17" s="1"/>
  <c r="Q94" i="17"/>
  <c r="Q95" i="17"/>
  <c r="Q99" i="17"/>
  <c r="Q100" i="17"/>
  <c r="Q101" i="17"/>
  <c r="Q102" i="17"/>
  <c r="Q103" i="17"/>
  <c r="Q104" i="17"/>
  <c r="Q105" i="17"/>
  <c r="H105" i="17" s="1"/>
  <c r="H106" i="17" s="1"/>
  <c r="H107" i="17" s="1"/>
  <c r="H108" i="17" s="1"/>
  <c r="Q79" i="17"/>
  <c r="A42" i="19"/>
  <c r="Q80" i="17"/>
  <c r="Q81" i="17"/>
  <c r="Q82" i="17"/>
  <c r="Q83" i="17"/>
  <c r="Q84" i="17"/>
  <c r="Q85" i="17"/>
  <c r="A43" i="19"/>
  <c r="H80" i="17" s="1"/>
  <c r="Q86" i="17"/>
  <c r="Q87" i="17"/>
  <c r="Q88" i="17"/>
  <c r="Q89" i="17"/>
  <c r="Q90" i="17"/>
  <c r="Q71" i="17"/>
  <c r="A19" i="19"/>
  <c r="A20" i="19"/>
  <c r="A21" i="19"/>
  <c r="H19" i="19"/>
  <c r="H20" i="19"/>
  <c r="H21" i="19"/>
  <c r="A22" i="19"/>
  <c r="H22" i="19"/>
  <c r="A23" i="19"/>
  <c r="H23" i="19"/>
  <c r="A24" i="19"/>
  <c r="H24" i="19"/>
  <c r="A25" i="19"/>
  <c r="H25" i="19"/>
  <c r="A26" i="19"/>
  <c r="H26" i="19"/>
  <c r="A27" i="19"/>
  <c r="H27" i="19"/>
  <c r="A28" i="19"/>
  <c r="H28" i="19"/>
  <c r="A29" i="19"/>
  <c r="H29" i="19"/>
  <c r="A30" i="19"/>
  <c r="H30" i="19"/>
  <c r="A31" i="19"/>
  <c r="H31" i="19"/>
  <c r="A32" i="19"/>
  <c r="H32" i="19"/>
  <c r="A33" i="19"/>
  <c r="H33" i="19"/>
  <c r="A34" i="19"/>
  <c r="H34" i="19"/>
  <c r="A35" i="19"/>
  <c r="H35" i="19"/>
  <c r="A36" i="19"/>
  <c r="H36" i="19"/>
  <c r="A37" i="19"/>
  <c r="H37" i="19"/>
  <c r="A38" i="19"/>
  <c r="H38" i="19"/>
  <c r="A39" i="19"/>
  <c r="H39" i="19"/>
  <c r="A40" i="19"/>
  <c r="H40" i="19"/>
  <c r="A41" i="19"/>
  <c r="H41" i="19"/>
  <c r="Q72" i="17"/>
  <c r="Q73" i="17"/>
  <c r="Q74" i="17"/>
  <c r="Q75" i="17"/>
  <c r="Q76" i="17"/>
  <c r="Q77" i="17"/>
  <c r="Q78" i="17"/>
  <c r="Q70" i="17"/>
  <c r="Q38" i="17"/>
  <c r="Q69" i="17"/>
  <c r="Q68" i="17"/>
  <c r="Q67" i="17"/>
  <c r="Q66" i="17"/>
  <c r="Q65" i="17"/>
  <c r="Q64" i="17"/>
  <c r="Q60" i="17"/>
  <c r="Q54" i="17"/>
  <c r="Q42" i="17"/>
  <c r="Q28" i="17"/>
  <c r="Q31" i="17"/>
  <c r="Q32" i="17"/>
  <c r="H32" i="17" s="1"/>
  <c r="Q33" i="17"/>
  <c r="Q34" i="17"/>
  <c r="Q35" i="17"/>
  <c r="Q36" i="17"/>
  <c r="Q37" i="17"/>
  <c r="Q39" i="17"/>
  <c r="Q40" i="17"/>
  <c r="Q41" i="17"/>
  <c r="Q43" i="17"/>
  <c r="Q44" i="17"/>
  <c r="Q49" i="17"/>
  <c r="Q50" i="17"/>
  <c r="Q51" i="17"/>
  <c r="Q52" i="17"/>
  <c r="Q53" i="17"/>
  <c r="Q57" i="17"/>
  <c r="Q58" i="17"/>
  <c r="Q59" i="17"/>
  <c r="Q27" i="17"/>
  <c r="Q7" i="17"/>
  <c r="A5" i="19"/>
  <c r="Q8" i="17"/>
  <c r="A6" i="19"/>
  <c r="Q9" i="17"/>
  <c r="Q10" i="17"/>
  <c r="Q11" i="17"/>
  <c r="Q12" i="17"/>
  <c r="Q13" i="17"/>
  <c r="A7" i="19"/>
  <c r="Q14" i="17"/>
  <c r="A8" i="19"/>
  <c r="Q15" i="17"/>
  <c r="A9" i="19"/>
  <c r="Q16" i="17"/>
  <c r="A10" i="19"/>
  <c r="Q17" i="17"/>
  <c r="A11" i="19"/>
  <c r="Q18" i="17"/>
  <c r="A12" i="19"/>
  <c r="Q19" i="17"/>
  <c r="A13" i="19"/>
  <c r="Q20" i="17"/>
  <c r="A14" i="19"/>
  <c r="Q21" i="17"/>
  <c r="H21" i="17" s="1"/>
  <c r="A15" i="19"/>
  <c r="Q22" i="17"/>
  <c r="A16" i="19"/>
  <c r="Q23" i="17"/>
  <c r="H23" i="17" s="1"/>
  <c r="A17" i="19"/>
  <c r="Q24" i="17"/>
  <c r="A18" i="19"/>
  <c r="D32" i="2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F190" i="17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154" i="17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G12" i="17"/>
  <c r="G10" i="17"/>
  <c r="G8" i="17"/>
  <c r="F12" i="17"/>
  <c r="F11" i="17"/>
  <c r="F10" i="17"/>
  <c r="F9" i="17"/>
  <c r="C32" i="21"/>
  <c r="F32" i="21"/>
  <c r="G32" i="21" s="1"/>
  <c r="H32" i="21" s="1"/>
  <c r="C33" i="21"/>
  <c r="F33" i="21"/>
  <c r="G33" i="21" s="1"/>
  <c r="H33" i="21" s="1"/>
  <c r="C34" i="21"/>
  <c r="F34" i="21" s="1"/>
  <c r="G34" i="21" s="1"/>
  <c r="H34" i="21" s="1"/>
  <c r="C35" i="21"/>
  <c r="F35" i="21" s="1"/>
  <c r="G35" i="21" s="1"/>
  <c r="H35" i="21" s="1"/>
  <c r="C36" i="21"/>
  <c r="F36" i="21"/>
  <c r="G36" i="21" s="1"/>
  <c r="H36" i="21" s="1"/>
  <c r="C37" i="21"/>
  <c r="F37" i="21" s="1"/>
  <c r="G37" i="21" s="1"/>
  <c r="H37" i="21" s="1"/>
  <c r="C38" i="21"/>
  <c r="F38" i="21" s="1"/>
  <c r="G38" i="21" s="1"/>
  <c r="H38" i="21" s="1"/>
  <c r="C39" i="21"/>
  <c r="F39" i="21"/>
  <c r="G39" i="21" s="1"/>
  <c r="H39" i="21" s="1"/>
  <c r="C40" i="21"/>
  <c r="F40" i="21" s="1"/>
  <c r="G40" i="21" s="1"/>
  <c r="H40" i="21" s="1"/>
  <c r="C41" i="21"/>
  <c r="F41" i="21" s="1"/>
  <c r="G41" i="21" s="1"/>
  <c r="H41" i="21" s="1"/>
  <c r="C42" i="21"/>
  <c r="F42" i="21"/>
  <c r="G42" i="21" s="1"/>
  <c r="H42" i="21" s="1"/>
  <c r="C31" i="21"/>
  <c r="F31" i="21" s="1"/>
  <c r="G31" i="21" s="1"/>
  <c r="H31" i="21" s="1"/>
  <c r="T25" i="21"/>
  <c r="T20" i="21"/>
  <c r="T15" i="21"/>
  <c r="N15" i="21"/>
  <c r="D11" i="21"/>
  <c r="T26" i="21"/>
  <c r="T21" i="21"/>
  <c r="T16" i="21"/>
  <c r="M16" i="21"/>
  <c r="N16" i="21" s="1"/>
  <c r="R7" i="17"/>
  <c r="AB57" i="21"/>
  <c r="AA53" i="21"/>
  <c r="AA36" i="21"/>
  <c r="AA54" i="21"/>
  <c r="AA55" i="21"/>
  <c r="AA56" i="21"/>
  <c r="AA57" i="21"/>
  <c r="AB56" i="21"/>
  <c r="AB55" i="21"/>
  <c r="AB54" i="21"/>
  <c r="AB53" i="21"/>
  <c r="AB52" i="21"/>
  <c r="AA47" i="21"/>
  <c r="AA48" i="21"/>
  <c r="AC48" i="21" s="1"/>
  <c r="AA49" i="21"/>
  <c r="AA50" i="21"/>
  <c r="AA51" i="21"/>
  <c r="AA52" i="21"/>
  <c r="AA46" i="21"/>
  <c r="Z46" i="2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D22" i="21"/>
  <c r="D21" i="21"/>
  <c r="C21" i="21" s="1"/>
  <c r="D20" i="21"/>
  <c r="D19" i="21"/>
  <c r="C19" i="21" s="1"/>
  <c r="D18" i="21"/>
  <c r="C18" i="21" s="1"/>
  <c r="D17" i="21"/>
  <c r="D14" i="21"/>
  <c r="C20" i="21"/>
  <c r="H74" i="19"/>
  <c r="H73" i="19"/>
  <c r="F21" i="17"/>
  <c r="F22" i="17"/>
  <c r="F23" i="17"/>
  <c r="F24" i="17"/>
  <c r="F20" i="17"/>
  <c r="F19" i="17"/>
  <c r="H89" i="19"/>
  <c r="H90" i="19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E92" i="19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76" i="19"/>
  <c r="E77" i="19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195" i="17"/>
  <c r="H217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6" i="17"/>
  <c r="G137" i="17" s="1"/>
  <c r="G138" i="17" s="1"/>
  <c r="G135" i="17"/>
  <c r="G132" i="17"/>
  <c r="G133" i="17" s="1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H72" i="19"/>
  <c r="H71" i="19"/>
  <c r="H70" i="19"/>
  <c r="H43" i="19"/>
  <c r="H42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AA35" i="21"/>
  <c r="AC49" i="21" s="1"/>
  <c r="AC50" i="21"/>
  <c r="AB51" i="21"/>
  <c r="AB50" i="21"/>
  <c r="AB49" i="21"/>
  <c r="AB48" i="21"/>
  <c r="AB47" i="21"/>
  <c r="AB46" i="21"/>
  <c r="Y47" i="2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D16" i="21"/>
  <c r="C16" i="21" s="1"/>
  <c r="D13" i="21"/>
  <c r="D15" i="21"/>
  <c r="C15" i="21" s="1"/>
  <c r="D12" i="21"/>
  <c r="Q150" i="17"/>
  <c r="Q149" i="17"/>
  <c r="M149" i="17"/>
  <c r="N149" i="17" s="1"/>
  <c r="O149" i="17" s="1"/>
  <c r="P149" i="17" s="1"/>
  <c r="Q147" i="17"/>
  <c r="Q146" i="17"/>
  <c r="M146" i="17"/>
  <c r="N146" i="17" s="1"/>
  <c r="O146" i="17" s="1"/>
  <c r="P146" i="17" s="1"/>
  <c r="M144" i="17"/>
  <c r="N144" i="17" s="1"/>
  <c r="O144" i="17" s="1"/>
  <c r="P144" i="17" s="1"/>
  <c r="M143" i="17"/>
  <c r="N143" i="17" s="1"/>
  <c r="O143" i="17" s="1"/>
  <c r="P143" i="17" s="1"/>
  <c r="Q132" i="17"/>
  <c r="Q133" i="17"/>
  <c r="Q134" i="17"/>
  <c r="Q136" i="17"/>
  <c r="Q137" i="17"/>
  <c r="Q138" i="17"/>
  <c r="Q96" i="17"/>
  <c r="Q97" i="17"/>
  <c r="Q98" i="17"/>
  <c r="Q106" i="17"/>
  <c r="Q107" i="17"/>
  <c r="Q108" i="17"/>
  <c r="F8" i="17"/>
  <c r="F13" i="17"/>
  <c r="F14" i="17"/>
  <c r="F15" i="17"/>
  <c r="F16" i="17"/>
  <c r="F17" i="17"/>
  <c r="F18" i="17"/>
  <c r="F7" i="17"/>
  <c r="Q144" i="17"/>
  <c r="Q143" i="17"/>
  <c r="Q141" i="17"/>
  <c r="M141" i="17"/>
  <c r="N141" i="17" s="1"/>
  <c r="O141" i="17" s="1"/>
  <c r="P141" i="17" s="1"/>
  <c r="Q140" i="17"/>
  <c r="M140" i="17"/>
  <c r="N140" i="17" s="1"/>
  <c r="O140" i="17" s="1"/>
  <c r="P140" i="17" s="1"/>
  <c r="F135" i="17"/>
  <c r="F133" i="17"/>
  <c r="G134" i="17"/>
  <c r="Q130" i="17"/>
  <c r="Q129" i="17"/>
  <c r="Q127" i="17"/>
  <c r="Q126" i="17"/>
  <c r="Q124" i="17"/>
  <c r="Q123" i="17"/>
  <c r="Q120" i="17"/>
  <c r="Q119" i="17"/>
  <c r="Q117" i="17"/>
  <c r="Q116" i="17"/>
  <c r="Q114" i="17"/>
  <c r="Q113" i="17"/>
  <c r="Q63" i="17"/>
  <c r="Q62" i="17"/>
  <c r="Q61" i="17"/>
  <c r="Q56" i="17"/>
  <c r="Q55" i="17"/>
  <c r="Q48" i="17"/>
  <c r="Q47" i="17"/>
  <c r="Q46" i="17"/>
  <c r="Q45" i="17"/>
  <c r="Q30" i="17"/>
  <c r="Q29" i="17"/>
  <c r="H99" i="17"/>
  <c r="H91" i="17"/>
  <c r="H19" i="17"/>
  <c r="H139" i="17"/>
  <c r="AE54" i="21" l="1"/>
  <c r="AF54" i="21"/>
  <c r="AD54" i="21"/>
  <c r="E18" i="21"/>
  <c r="F18" i="21"/>
  <c r="H18" i="21"/>
  <c r="G18" i="21"/>
  <c r="AE53" i="21"/>
  <c r="AF53" i="21"/>
  <c r="AD53" i="21"/>
  <c r="E12" i="21"/>
  <c r="F12" i="21"/>
  <c r="G12" i="21"/>
  <c r="H12" i="21"/>
  <c r="AD51" i="21"/>
  <c r="AF51" i="21"/>
  <c r="AE51" i="21"/>
  <c r="AF46" i="21"/>
  <c r="AE46" i="21"/>
  <c r="AE52" i="21"/>
  <c r="AF52" i="21"/>
  <c r="AD52" i="21"/>
  <c r="F19" i="21"/>
  <c r="E19" i="21"/>
  <c r="G19" i="21"/>
  <c r="H19" i="21"/>
  <c r="AE50" i="21"/>
  <c r="AF50" i="21"/>
  <c r="AD50" i="21"/>
  <c r="AF47" i="21"/>
  <c r="AD47" i="21"/>
  <c r="AE47" i="21"/>
  <c r="AE55" i="21"/>
  <c r="AF55" i="21"/>
  <c r="AD55" i="21"/>
  <c r="C17" i="21"/>
  <c r="E17" i="21"/>
  <c r="H17" i="21"/>
  <c r="F13" i="21"/>
  <c r="E13" i="21"/>
  <c r="G13" i="21"/>
  <c r="H13" i="21"/>
  <c r="AF49" i="21"/>
  <c r="AD49" i="21"/>
  <c r="AE49" i="21"/>
  <c r="AF57" i="21"/>
  <c r="AD57" i="21"/>
  <c r="AE57" i="21"/>
  <c r="G11" i="21"/>
  <c r="E11" i="21"/>
  <c r="F11" i="21"/>
  <c r="H11" i="21"/>
  <c r="C11" i="21"/>
  <c r="AE48" i="21"/>
  <c r="AF48" i="21"/>
  <c r="AD48" i="21"/>
  <c r="AF56" i="21"/>
  <c r="AD56" i="21"/>
  <c r="AE56" i="21"/>
  <c r="Q16" i="21"/>
  <c r="P16" i="21"/>
  <c r="G17" i="21" s="1"/>
  <c r="O16" i="21"/>
  <c r="F17" i="21" s="1"/>
  <c r="AD46" i="21"/>
  <c r="F209" i="17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10" i="17"/>
  <c r="I133" i="17"/>
  <c r="I134" i="17"/>
  <c r="K135" i="17"/>
  <c r="J135" i="17"/>
  <c r="J136" i="17" s="1"/>
  <c r="H135" i="17"/>
  <c r="I135" i="17"/>
  <c r="H199" i="17"/>
  <c r="H131" i="17"/>
  <c r="J131" i="17"/>
  <c r="J132" i="17" s="1"/>
  <c r="K131" i="17"/>
  <c r="AC52" i="21"/>
  <c r="AC51" i="21"/>
  <c r="AC53" i="21"/>
  <c r="AC57" i="21"/>
  <c r="AC46" i="21"/>
  <c r="AC56" i="21"/>
  <c r="AC47" i="21"/>
  <c r="AC55" i="21"/>
  <c r="AC54" i="21"/>
  <c r="C22" i="21"/>
  <c r="C13" i="21"/>
  <c r="C12" i="21"/>
  <c r="C14" i="21"/>
  <c r="H170" i="17"/>
  <c r="I211" i="17"/>
  <c r="I142" i="17"/>
  <c r="I143" i="17" s="1"/>
  <c r="H141" i="17"/>
  <c r="H144" i="17"/>
  <c r="J148" i="17"/>
  <c r="J150" i="17" s="1"/>
  <c r="H103" i="17"/>
  <c r="K37" i="17"/>
  <c r="J16" i="17"/>
  <c r="I16" i="17"/>
  <c r="H78" i="17"/>
  <c r="H216" i="17"/>
  <c r="H211" i="17"/>
  <c r="J104" i="17"/>
  <c r="H81" i="17"/>
  <c r="H208" i="17"/>
  <c r="H204" i="17"/>
  <c r="I82" i="17"/>
  <c r="K145" i="17"/>
  <c r="K147" i="17" s="1"/>
  <c r="I202" i="17"/>
  <c r="H214" i="17"/>
  <c r="I145" i="17"/>
  <c r="I146" i="17" s="1"/>
  <c r="H89" i="17"/>
  <c r="H27" i="17"/>
  <c r="H205" i="17"/>
  <c r="J7" i="17"/>
  <c r="H180" i="17"/>
  <c r="H54" i="17"/>
  <c r="H55" i="17" s="1"/>
  <c r="H56" i="17" s="1"/>
  <c r="H198" i="17"/>
  <c r="H223" i="17"/>
  <c r="K222" i="17"/>
  <c r="J215" i="17"/>
  <c r="H31" i="17"/>
  <c r="H145" i="17"/>
  <c r="H147" i="17" s="1"/>
  <c r="H196" i="17"/>
  <c r="H84" i="17"/>
  <c r="H104" i="17"/>
  <c r="K205" i="17"/>
  <c r="H76" i="17"/>
  <c r="H74" i="17"/>
  <c r="H90" i="17"/>
  <c r="H215" i="17"/>
  <c r="H197" i="17"/>
  <c r="H202" i="17"/>
  <c r="H213" i="17"/>
  <c r="H154" i="17"/>
  <c r="H219" i="17"/>
  <c r="I18" i="17"/>
  <c r="K33" i="17"/>
  <c r="H71" i="17"/>
  <c r="K74" i="17"/>
  <c r="K85" i="17"/>
  <c r="I204" i="17"/>
  <c r="K199" i="17"/>
  <c r="J191" i="17"/>
  <c r="H72" i="17"/>
  <c r="H49" i="17"/>
  <c r="H58" i="17"/>
  <c r="H212" i="17"/>
  <c r="H193" i="17"/>
  <c r="H192" i="17"/>
  <c r="H206" i="17"/>
  <c r="H177" i="17"/>
  <c r="H218" i="17"/>
  <c r="I102" i="17"/>
  <c r="J99" i="17"/>
  <c r="K167" i="17"/>
  <c r="I205" i="17"/>
  <c r="J217" i="17"/>
  <c r="J212" i="17"/>
  <c r="K190" i="17"/>
  <c r="K101" i="17"/>
  <c r="K207" i="17"/>
  <c r="H16" i="17"/>
  <c r="H28" i="17"/>
  <c r="H29" i="17" s="1"/>
  <c r="H30" i="17" s="1"/>
  <c r="H102" i="17"/>
  <c r="H57" i="17"/>
  <c r="H209" i="17"/>
  <c r="H203" i="17"/>
  <c r="H190" i="17"/>
  <c r="H189" i="17"/>
  <c r="H156" i="17"/>
  <c r="H222" i="17"/>
  <c r="J14" i="17"/>
  <c r="J52" i="17"/>
  <c r="I31" i="17"/>
  <c r="I148" i="17"/>
  <c r="I189" i="17"/>
  <c r="I213" i="17"/>
  <c r="J220" i="17"/>
  <c r="J202" i="17"/>
  <c r="H17" i="17"/>
  <c r="H34" i="17"/>
  <c r="H35" i="17" s="1"/>
  <c r="H36" i="17" s="1"/>
  <c r="H37" i="17" s="1"/>
  <c r="H101" i="17"/>
  <c r="H132" i="17"/>
  <c r="H148" i="17"/>
  <c r="H200" i="17"/>
  <c r="H201" i="17"/>
  <c r="H191" i="17"/>
  <c r="H162" i="17"/>
  <c r="H164" i="17"/>
  <c r="H221" i="17"/>
  <c r="I52" i="17"/>
  <c r="K77" i="17"/>
  <c r="I154" i="17"/>
  <c r="I194" i="17"/>
  <c r="I219" i="17"/>
  <c r="K193" i="17"/>
  <c r="H194" i="17"/>
  <c r="H186" i="17"/>
  <c r="H179" i="17"/>
  <c r="H220" i="17"/>
  <c r="J22" i="17"/>
  <c r="J59" i="17"/>
  <c r="I35" i="17"/>
  <c r="I178" i="17"/>
  <c r="I196" i="17"/>
  <c r="I221" i="17"/>
  <c r="K219" i="17"/>
  <c r="K198" i="17"/>
  <c r="J193" i="17"/>
  <c r="H155" i="17"/>
  <c r="J9" i="17"/>
  <c r="I59" i="17"/>
  <c r="J145" i="17"/>
  <c r="K136" i="17"/>
  <c r="I197" i="17"/>
  <c r="J209" i="17"/>
  <c r="K155" i="17"/>
  <c r="J158" i="17"/>
  <c r="J160" i="17"/>
  <c r="K164" i="17"/>
  <c r="J167" i="17"/>
  <c r="J176" i="17"/>
  <c r="K178" i="17"/>
  <c r="K183" i="17"/>
  <c r="I181" i="17"/>
  <c r="I173" i="17"/>
  <c r="H7" i="17"/>
  <c r="H20" i="17"/>
  <c r="H13" i="17"/>
  <c r="H60" i="17"/>
  <c r="H61" i="17" s="1"/>
  <c r="H83" i="17"/>
  <c r="H94" i="17"/>
  <c r="H82" i="17"/>
  <c r="H53" i="17"/>
  <c r="H77" i="17"/>
  <c r="H100" i="17"/>
  <c r="H178" i="17"/>
  <c r="H167" i="17"/>
  <c r="H158" i="17"/>
  <c r="H172" i="17"/>
  <c r="H12" i="17"/>
  <c r="J24" i="17"/>
  <c r="J57" i="17"/>
  <c r="J50" i="17"/>
  <c r="I37" i="17"/>
  <c r="I33" i="17"/>
  <c r="I72" i="17"/>
  <c r="I84" i="17"/>
  <c r="K87" i="17"/>
  <c r="J83" i="17"/>
  <c r="K79" i="17"/>
  <c r="I103" i="17"/>
  <c r="K92" i="17"/>
  <c r="I156" i="17"/>
  <c r="I180" i="17"/>
  <c r="J174" i="17"/>
  <c r="J170" i="17"/>
  <c r="J159" i="17"/>
  <c r="H22" i="17"/>
  <c r="H87" i="17"/>
  <c r="H161" i="17"/>
  <c r="I8" i="17"/>
  <c r="J10" i="17"/>
  <c r="K7" i="17"/>
  <c r="K12" i="17"/>
  <c r="K14" i="17"/>
  <c r="K16" i="17"/>
  <c r="K18" i="17"/>
  <c r="K20" i="17"/>
  <c r="K22" i="17"/>
  <c r="K24" i="17"/>
  <c r="I17" i="17"/>
  <c r="I9" i="17"/>
  <c r="K10" i="17"/>
  <c r="I23" i="17"/>
  <c r="I15" i="17"/>
  <c r="I7" i="17"/>
  <c r="H9" i="17"/>
  <c r="J8" i="17"/>
  <c r="J13" i="17"/>
  <c r="J15" i="17"/>
  <c r="J17" i="17"/>
  <c r="J19" i="17"/>
  <c r="J21" i="17"/>
  <c r="J23" i="17"/>
  <c r="I22" i="17"/>
  <c r="I14" i="17"/>
  <c r="K8" i="17"/>
  <c r="J11" i="17"/>
  <c r="K13" i="17"/>
  <c r="K15" i="17"/>
  <c r="K17" i="17"/>
  <c r="K19" i="17"/>
  <c r="K21" i="17"/>
  <c r="K23" i="17"/>
  <c r="I21" i="17"/>
  <c r="I13" i="17"/>
  <c r="K11" i="17"/>
  <c r="I20" i="17"/>
  <c r="I12" i="17"/>
  <c r="I57" i="17"/>
  <c r="I50" i="17"/>
  <c r="I74" i="17"/>
  <c r="K75" i="17"/>
  <c r="I85" i="17"/>
  <c r="J87" i="17"/>
  <c r="I105" i="17"/>
  <c r="I106" i="17" s="1"/>
  <c r="I107" i="17" s="1"/>
  <c r="I108" i="17" s="1"/>
  <c r="I157" i="17"/>
  <c r="I186" i="17"/>
  <c r="J153" i="17"/>
  <c r="J142" i="17"/>
  <c r="I24" i="17"/>
  <c r="H52" i="17"/>
  <c r="H75" i="17"/>
  <c r="H33" i="17"/>
  <c r="H157" i="17"/>
  <c r="H185" i="17"/>
  <c r="H146" i="17"/>
  <c r="H24" i="17"/>
  <c r="H51" i="17"/>
  <c r="H85" i="17"/>
  <c r="H184" i="17"/>
  <c r="H166" i="17"/>
  <c r="H159" i="17"/>
  <c r="H174" i="17"/>
  <c r="H182" i="17"/>
  <c r="I10" i="17"/>
  <c r="J20" i="17"/>
  <c r="K54" i="17"/>
  <c r="K55" i="17" s="1"/>
  <c r="K56" i="17" s="1"/>
  <c r="I75" i="17"/>
  <c r="I90" i="17"/>
  <c r="K82" i="17"/>
  <c r="K102" i="17"/>
  <c r="K95" i="17"/>
  <c r="K96" i="17" s="1"/>
  <c r="K97" i="17" s="1"/>
  <c r="K98" i="17" s="1"/>
  <c r="I139" i="17"/>
  <c r="I162" i="17"/>
  <c r="J186" i="17"/>
  <c r="J181" i="17"/>
  <c r="J177" i="17"/>
  <c r="K165" i="17"/>
  <c r="J161" i="17"/>
  <c r="K158" i="17"/>
  <c r="I163" i="17"/>
  <c r="H11" i="17"/>
  <c r="J18" i="17"/>
  <c r="H18" i="17"/>
  <c r="H183" i="17"/>
  <c r="H140" i="17"/>
  <c r="H14" i="17"/>
  <c r="H59" i="17"/>
  <c r="H79" i="17"/>
  <c r="H88" i="17"/>
  <c r="H8" i="17"/>
  <c r="H15" i="17"/>
  <c r="H50" i="17"/>
  <c r="H95" i="17"/>
  <c r="H96" i="17" s="1"/>
  <c r="H97" i="17" s="1"/>
  <c r="H98" i="17" s="1"/>
  <c r="H73" i="17"/>
  <c r="H86" i="17"/>
  <c r="H153" i="17"/>
  <c r="H181" i="17"/>
  <c r="H160" i="17"/>
  <c r="H173" i="17"/>
  <c r="H171" i="17"/>
  <c r="I11" i="17"/>
  <c r="K9" i="17"/>
  <c r="K35" i="17"/>
  <c r="K31" i="17"/>
  <c r="J78" i="17"/>
  <c r="J90" i="17"/>
  <c r="J82" i="17"/>
  <c r="I92" i="17"/>
  <c r="J95" i="17"/>
  <c r="J96" i="17" s="1"/>
  <c r="J97" i="17" s="1"/>
  <c r="J98" i="17" s="1"/>
  <c r="I164" i="17"/>
  <c r="K153" i="17"/>
  <c r="I94" i="17"/>
  <c r="J105" i="17"/>
  <c r="J106" i="17" s="1"/>
  <c r="J107" i="17" s="1"/>
  <c r="J108" i="17" s="1"/>
  <c r="I165" i="17"/>
  <c r="K176" i="17"/>
  <c r="K160" i="17"/>
  <c r="K72" i="17"/>
  <c r="J75" i="17"/>
  <c r="I73" i="17"/>
  <c r="I60" i="17"/>
  <c r="I61" i="17" s="1"/>
  <c r="J28" i="17"/>
  <c r="J29" i="17" s="1"/>
  <c r="J30" i="17" s="1"/>
  <c r="J31" i="17"/>
  <c r="J33" i="17"/>
  <c r="J35" i="17"/>
  <c r="J37" i="17"/>
  <c r="K50" i="17"/>
  <c r="K52" i="17"/>
  <c r="K57" i="17"/>
  <c r="K59" i="17"/>
  <c r="J73" i="17"/>
  <c r="K78" i="17"/>
  <c r="I71" i="17"/>
  <c r="K60" i="17"/>
  <c r="K61" i="17" s="1"/>
  <c r="J54" i="17"/>
  <c r="J55" i="17" s="1"/>
  <c r="J56" i="17" s="1"/>
  <c r="I38" i="17"/>
  <c r="I49" i="17"/>
  <c r="I51" i="17"/>
  <c r="I53" i="17"/>
  <c r="I58" i="17"/>
  <c r="K27" i="17"/>
  <c r="K73" i="17"/>
  <c r="J76" i="17"/>
  <c r="I78" i="17"/>
  <c r="I28" i="17"/>
  <c r="I29" i="17" s="1"/>
  <c r="I30" i="17" s="1"/>
  <c r="I32" i="17"/>
  <c r="I34" i="17"/>
  <c r="I36" i="17"/>
  <c r="J38" i="17"/>
  <c r="J49" i="17"/>
  <c r="J51" i="17"/>
  <c r="J53" i="17"/>
  <c r="J58" i="17"/>
  <c r="J27" i="17"/>
  <c r="J71" i="17"/>
  <c r="K76" i="17"/>
  <c r="I77" i="17"/>
  <c r="J32" i="17"/>
  <c r="J34" i="17"/>
  <c r="J36" i="17"/>
  <c r="K38" i="17"/>
  <c r="K49" i="17"/>
  <c r="K51" i="17"/>
  <c r="K53" i="17"/>
  <c r="K58" i="17"/>
  <c r="I27" i="17"/>
  <c r="K71" i="17"/>
  <c r="J74" i="17"/>
  <c r="I76" i="17"/>
  <c r="H38" i="17"/>
  <c r="J60" i="17"/>
  <c r="J61" i="17" s="1"/>
  <c r="I54" i="17"/>
  <c r="I55" i="17" s="1"/>
  <c r="I56" i="17" s="1"/>
  <c r="K28" i="17"/>
  <c r="K29" i="17" s="1"/>
  <c r="K30" i="17" s="1"/>
  <c r="K32" i="17"/>
  <c r="K34" i="17"/>
  <c r="K36" i="17"/>
  <c r="J80" i="17"/>
  <c r="J85" i="17"/>
  <c r="K90" i="17"/>
  <c r="I83" i="17"/>
  <c r="K83" i="17"/>
  <c r="K88" i="17"/>
  <c r="I89" i="17"/>
  <c r="I81" i="17"/>
  <c r="J81" i="17"/>
  <c r="J86" i="17"/>
  <c r="I88" i="17"/>
  <c r="I80" i="17"/>
  <c r="K81" i="17"/>
  <c r="J84" i="17"/>
  <c r="K86" i="17"/>
  <c r="J89" i="17"/>
  <c r="I87" i="17"/>
  <c r="I79" i="17"/>
  <c r="J79" i="17"/>
  <c r="K84" i="17"/>
  <c r="K89" i="17"/>
  <c r="I86" i="17"/>
  <c r="J92" i="17"/>
  <c r="J101" i="17"/>
  <c r="K105" i="17"/>
  <c r="K106" i="17" s="1"/>
  <c r="K107" i="17" s="1"/>
  <c r="K108" i="17" s="1"/>
  <c r="I104" i="17"/>
  <c r="I170" i="17"/>
  <c r="J184" i="17"/>
  <c r="J172" i="17"/>
  <c r="J168" i="17"/>
  <c r="K156" i="17"/>
  <c r="J139" i="17"/>
  <c r="K142" i="17"/>
  <c r="K139" i="17"/>
  <c r="H163" i="17"/>
  <c r="H168" i="17"/>
  <c r="H165" i="17"/>
  <c r="H169" i="17"/>
  <c r="H10" i="17"/>
  <c r="I19" i="17"/>
  <c r="J12" i="17"/>
  <c r="J77" i="17"/>
  <c r="J72" i="17"/>
  <c r="J88" i="17"/>
  <c r="K80" i="17"/>
  <c r="I100" i="17"/>
  <c r="K104" i="17"/>
  <c r="K93" i="17"/>
  <c r="J93" i="17"/>
  <c r="I172" i="17"/>
  <c r="K179" i="17"/>
  <c r="I214" i="17"/>
  <c r="I222" i="17"/>
  <c r="K221" i="17"/>
  <c r="J219" i="17"/>
  <c r="K214" i="17"/>
  <c r="K206" i="17"/>
  <c r="K204" i="17"/>
  <c r="J199" i="17"/>
  <c r="K197" i="17"/>
  <c r="K195" i="17"/>
  <c r="J190" i="17"/>
  <c r="I158" i="17"/>
  <c r="I166" i="17"/>
  <c r="I174" i="17"/>
  <c r="I182" i="17"/>
  <c r="K185" i="17"/>
  <c r="J183" i="17"/>
  <c r="J178" i="17"/>
  <c r="K171" i="17"/>
  <c r="K169" i="17"/>
  <c r="J164" i="17"/>
  <c r="K162" i="17"/>
  <c r="J155" i="17"/>
  <c r="K132" i="17"/>
  <c r="I190" i="17"/>
  <c r="I198" i="17"/>
  <c r="I206" i="17"/>
  <c r="I215" i="17"/>
  <c r="I223" i="17"/>
  <c r="J221" i="17"/>
  <c r="K216" i="17"/>
  <c r="J214" i="17"/>
  <c r="J206" i="17"/>
  <c r="J204" i="17"/>
  <c r="K201" i="17"/>
  <c r="J197" i="17"/>
  <c r="J195" i="17"/>
  <c r="K192" i="17"/>
  <c r="K103" i="17"/>
  <c r="K94" i="17"/>
  <c r="I132" i="17"/>
  <c r="I159" i="17"/>
  <c r="I167" i="17"/>
  <c r="I175" i="17"/>
  <c r="I183" i="17"/>
  <c r="J185" i="17"/>
  <c r="K180" i="17"/>
  <c r="K175" i="17"/>
  <c r="K173" i="17"/>
  <c r="J171" i="17"/>
  <c r="J169" i="17"/>
  <c r="K166" i="17"/>
  <c r="J162" i="17"/>
  <c r="K157" i="17"/>
  <c r="K125" i="17"/>
  <c r="K112" i="17" s="1"/>
  <c r="K118" i="17" s="1"/>
  <c r="K119" i="17" s="1"/>
  <c r="I191" i="17"/>
  <c r="I199" i="17"/>
  <c r="I207" i="17"/>
  <c r="I216" i="17"/>
  <c r="K223" i="17"/>
  <c r="K218" i="17"/>
  <c r="J216" i="17"/>
  <c r="K211" i="17"/>
  <c r="K208" i="17"/>
  <c r="J201" i="17"/>
  <c r="J192" i="17"/>
  <c r="K189" i="17"/>
  <c r="I95" i="17"/>
  <c r="I96" i="17" s="1"/>
  <c r="I97" i="17" s="1"/>
  <c r="I98" i="17" s="1"/>
  <c r="J103" i="17"/>
  <c r="K100" i="17"/>
  <c r="J94" i="17"/>
  <c r="K91" i="17"/>
  <c r="I125" i="17"/>
  <c r="I112" i="17" s="1"/>
  <c r="I114" i="17" s="1"/>
  <c r="I160" i="17"/>
  <c r="I168" i="17"/>
  <c r="I176" i="17"/>
  <c r="I184" i="17"/>
  <c r="K182" i="17"/>
  <c r="J180" i="17"/>
  <c r="J175" i="17"/>
  <c r="J173" i="17"/>
  <c r="J166" i="17"/>
  <c r="K163" i="17"/>
  <c r="J157" i="17"/>
  <c r="K154" i="17"/>
  <c r="I192" i="17"/>
  <c r="I200" i="17"/>
  <c r="I208" i="17"/>
  <c r="I217" i="17"/>
  <c r="J223" i="17"/>
  <c r="J218" i="17"/>
  <c r="K213" i="17"/>
  <c r="J211" i="17"/>
  <c r="J208" i="17"/>
  <c r="K203" i="17"/>
  <c r="K196" i="17"/>
  <c r="K194" i="17"/>
  <c r="J189" i="17"/>
  <c r="I91" i="17"/>
  <c r="I99" i="17"/>
  <c r="J100" i="17"/>
  <c r="J91" i="17"/>
  <c r="I153" i="17"/>
  <c r="I161" i="17"/>
  <c r="I169" i="17"/>
  <c r="I177" i="17"/>
  <c r="I185" i="17"/>
  <c r="K184" i="17"/>
  <c r="J182" i="17"/>
  <c r="K177" i="17"/>
  <c r="K170" i="17"/>
  <c r="K168" i="17"/>
  <c r="J163" i="17"/>
  <c r="K161" i="17"/>
  <c r="K159" i="17"/>
  <c r="J154" i="17"/>
  <c r="J125" i="17"/>
  <c r="J112" i="17" s="1"/>
  <c r="J118" i="17" s="1"/>
  <c r="I193" i="17"/>
  <c r="I201" i="17"/>
  <c r="I209" i="17"/>
  <c r="I218" i="17"/>
  <c r="K220" i="17"/>
  <c r="K215" i="17"/>
  <c r="J213" i="17"/>
  <c r="J203" i="17"/>
  <c r="K200" i="17"/>
  <c r="J196" i="17"/>
  <c r="J194" i="17"/>
  <c r="K191" i="17"/>
  <c r="I93" i="17"/>
  <c r="I101" i="17"/>
  <c r="J102" i="17"/>
  <c r="K99" i="17"/>
  <c r="I155" i="17"/>
  <c r="I171" i="17"/>
  <c r="I179" i="17"/>
  <c r="K186" i="17"/>
  <c r="K181" i="17"/>
  <c r="J179" i="17"/>
  <c r="K174" i="17"/>
  <c r="K172" i="17"/>
  <c r="J165" i="17"/>
  <c r="J156" i="17"/>
  <c r="K148" i="17"/>
  <c r="H125" i="17"/>
  <c r="H112" i="17" s="1"/>
  <c r="I195" i="17"/>
  <c r="I203" i="17"/>
  <c r="I212" i="17"/>
  <c r="I220" i="17"/>
  <c r="J222" i="17"/>
  <c r="K217" i="17"/>
  <c r="K212" i="17"/>
  <c r="K209" i="17"/>
  <c r="J207" i="17"/>
  <c r="J205" i="17"/>
  <c r="K202" i="17"/>
  <c r="J198" i="17"/>
  <c r="J138" i="17" l="1"/>
  <c r="J137" i="17"/>
  <c r="H138" i="17"/>
  <c r="H137" i="17"/>
  <c r="K138" i="17"/>
  <c r="K137" i="17"/>
  <c r="K134" i="17"/>
  <c r="K133" i="17"/>
  <c r="J133" i="17"/>
  <c r="J134" i="17"/>
  <c r="H134" i="17"/>
  <c r="H133" i="17"/>
  <c r="K146" i="17"/>
  <c r="H136" i="17"/>
  <c r="I136" i="17"/>
  <c r="I138" i="17"/>
  <c r="I137" i="17"/>
  <c r="H39" i="17"/>
  <c r="K39" i="17"/>
  <c r="K40" i="17" s="1"/>
  <c r="K41" i="17" s="1"/>
  <c r="K42" i="17" s="1"/>
  <c r="I39" i="17"/>
  <c r="I40" i="17" s="1"/>
  <c r="I41" i="17" s="1"/>
  <c r="I42" i="17" s="1"/>
  <c r="J39" i="17"/>
  <c r="J40" i="17" s="1"/>
  <c r="J41" i="17" s="1"/>
  <c r="J42" i="17" s="1"/>
  <c r="H40" i="17"/>
  <c r="H41" i="17" s="1"/>
  <c r="H42" i="17" s="1"/>
  <c r="J111" i="17"/>
  <c r="J149" i="17"/>
  <c r="I111" i="17"/>
  <c r="K111" i="17"/>
  <c r="K120" i="17"/>
  <c r="H113" i="17"/>
  <c r="H118" i="17"/>
  <c r="H120" i="17" s="1"/>
  <c r="K115" i="17"/>
  <c r="K116" i="17" s="1"/>
  <c r="K121" i="17"/>
  <c r="I121" i="17"/>
  <c r="I122" i="17"/>
  <c r="I128" i="17" s="1"/>
  <c r="J122" i="17"/>
  <c r="J128" i="17" s="1"/>
  <c r="H111" i="17"/>
  <c r="I118" i="17"/>
  <c r="I120" i="17" s="1"/>
  <c r="I144" i="17"/>
  <c r="H122" i="17"/>
  <c r="H128" i="17" s="1"/>
  <c r="H130" i="17" s="1"/>
  <c r="J121" i="17"/>
  <c r="I115" i="17"/>
  <c r="I116" i="17" s="1"/>
  <c r="K122" i="17"/>
  <c r="K128" i="17" s="1"/>
  <c r="K129" i="17" s="1"/>
  <c r="J115" i="17"/>
  <c r="J116" i="17" s="1"/>
  <c r="H121" i="17"/>
  <c r="H115" i="17"/>
  <c r="H116" i="17" s="1"/>
  <c r="I147" i="17"/>
  <c r="H114" i="17"/>
  <c r="I113" i="17"/>
  <c r="J147" i="17"/>
  <c r="J146" i="17"/>
  <c r="I150" i="17"/>
  <c r="I149" i="17"/>
  <c r="H149" i="17"/>
  <c r="H150" i="17"/>
  <c r="H126" i="17"/>
  <c r="H127" i="17"/>
  <c r="I127" i="17"/>
  <c r="I126" i="17"/>
  <c r="J143" i="17"/>
  <c r="J144" i="17"/>
  <c r="K113" i="17"/>
  <c r="K114" i="17"/>
  <c r="J126" i="17"/>
  <c r="J127" i="17"/>
  <c r="H62" i="17"/>
  <c r="H63" i="17"/>
  <c r="K150" i="17"/>
  <c r="K149" i="17"/>
  <c r="J119" i="17"/>
  <c r="J120" i="17"/>
  <c r="J62" i="17"/>
  <c r="J63" i="17"/>
  <c r="K126" i="17"/>
  <c r="K127" i="17"/>
  <c r="K140" i="17"/>
  <c r="K141" i="17"/>
  <c r="I64" i="17"/>
  <c r="K64" i="17"/>
  <c r="H64" i="17"/>
  <c r="J64" i="17"/>
  <c r="J123" i="17"/>
  <c r="J124" i="17"/>
  <c r="K144" i="17"/>
  <c r="K143" i="17"/>
  <c r="J140" i="17"/>
  <c r="J141" i="17"/>
  <c r="K62" i="17"/>
  <c r="K63" i="17"/>
  <c r="I63" i="17"/>
  <c r="I62" i="17"/>
  <c r="J113" i="17"/>
  <c r="J114" i="17"/>
  <c r="I140" i="17"/>
  <c r="I141" i="17"/>
  <c r="K117" i="17" l="1"/>
  <c r="H123" i="17"/>
  <c r="H129" i="17"/>
  <c r="H124" i="17"/>
  <c r="I65" i="17"/>
  <c r="I66" i="17" s="1"/>
  <c r="I67" i="17" s="1"/>
  <c r="I68" i="17" s="1"/>
  <c r="I69" i="17" s="1"/>
  <c r="I70" i="17" s="1"/>
  <c r="K65" i="17"/>
  <c r="H65" i="17"/>
  <c r="H66" i="17" s="1"/>
  <c r="H67" i="17" s="1"/>
  <c r="H68" i="17" s="1"/>
  <c r="H69" i="17" s="1"/>
  <c r="H70" i="17" s="1"/>
  <c r="K66" i="17"/>
  <c r="K67" i="17" s="1"/>
  <c r="K68" i="17" s="1"/>
  <c r="K69" i="17" s="1"/>
  <c r="K70" i="17" s="1"/>
  <c r="J65" i="17"/>
  <c r="J66" i="17" s="1"/>
  <c r="J67" i="17" s="1"/>
  <c r="J68" i="17" s="1"/>
  <c r="J69" i="17" s="1"/>
  <c r="J70" i="17" s="1"/>
  <c r="H43" i="17"/>
  <c r="H44" i="17" s="1"/>
  <c r="H45" i="17"/>
  <c r="H117" i="17"/>
  <c r="J43" i="17"/>
  <c r="J44" i="17" s="1"/>
  <c r="J45" i="17"/>
  <c r="H119" i="17"/>
  <c r="K43" i="17"/>
  <c r="K44" i="17" s="1"/>
  <c r="K45" i="17"/>
  <c r="I43" i="17"/>
  <c r="I44" i="17" s="1"/>
  <c r="I45" i="17"/>
  <c r="I119" i="17"/>
  <c r="J130" i="17"/>
  <c r="J129" i="17"/>
  <c r="I130" i="17"/>
  <c r="I129" i="17"/>
  <c r="K123" i="17"/>
  <c r="K124" i="17"/>
  <c r="K130" i="17"/>
  <c r="J117" i="17"/>
  <c r="I123" i="17"/>
  <c r="I124" i="17"/>
  <c r="I117" i="17"/>
  <c r="J48" i="17" l="1"/>
  <c r="J46" i="17"/>
  <c r="J47" i="17"/>
  <c r="K47" i="17"/>
  <c r="K48" i="17"/>
  <c r="K46" i="17"/>
  <c r="I48" i="17"/>
  <c r="I47" i="17"/>
  <c r="I46" i="17"/>
  <c r="H46" i="17"/>
  <c r="H48" i="17"/>
  <c r="H4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Availability of Technologies by Region
</t>
        </r>
      </text>
    </comment>
  </commentList>
</comments>
</file>

<file path=xl/sharedStrings.xml><?xml version="1.0" encoding="utf-8"?>
<sst xmlns="http://schemas.openxmlformats.org/spreadsheetml/2006/main" count="1238" uniqueCount="376">
  <si>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</si>
  <si>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</si>
  <si>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</si>
  <si>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</si>
  <si>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</si>
  <si>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</si>
  <si>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</si>
  <si>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</si>
  <si>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</si>
  <si>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</si>
  <si>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</si>
  <si>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</si>
  <si>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</si>
  <si>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AllRegions</t>
  </si>
  <si>
    <t>~TFM_FILL</t>
  </si>
  <si>
    <t>Operation_Sum_Avg_Count</t>
  </si>
  <si>
    <t>Scenario Name</t>
  </si>
  <si>
    <t>~TFM_AVA</t>
  </si>
  <si>
    <t>Collect parameter values from the Base year templates callibration</t>
  </si>
  <si>
    <t>Lookups</t>
  </si>
  <si>
    <t>A</t>
  </si>
  <si>
    <t>BASE</t>
  </si>
  <si>
    <t>INPUT</t>
  </si>
  <si>
    <t>NCAP_AFA</t>
  </si>
  <si>
    <t>Availability factors of heating equipment</t>
  </si>
  <si>
    <t>Availability factors of cooling equipment</t>
  </si>
  <si>
    <t>Availability factors of water heating equipment</t>
  </si>
  <si>
    <t>Fuel input per unit output for Cooking appliances</t>
  </si>
  <si>
    <t xml:space="preserve">Input per unit output for Lighting </t>
  </si>
  <si>
    <t xml:space="preserve">Input per unit output for Other Electric Appliances </t>
  </si>
  <si>
    <t>Update values for the New Technologies</t>
  </si>
  <si>
    <t>*</t>
  </si>
  <si>
    <t>Availability Factors of Technologies</t>
  </si>
  <si>
    <t>Availability Factors for Space Heating Equipment</t>
  </si>
  <si>
    <t>Availability Factors for Space Cooling Equipment</t>
  </si>
  <si>
    <t>Availability Factors for Water Heating Equipment</t>
  </si>
  <si>
    <t>Input per Unit output</t>
  </si>
  <si>
    <t>Improvements in fuel input per unit output</t>
  </si>
  <si>
    <t>Input per unit output for Cooking</t>
  </si>
  <si>
    <t>Input per unit output for Lighting</t>
  </si>
  <si>
    <t>Input per unit output for Appliances</t>
  </si>
  <si>
    <t>Collect the Demand of Energy Services per type of Building</t>
  </si>
  <si>
    <t>Tertiary Sector Buildings</t>
  </si>
  <si>
    <t>Building Retrofit Options</t>
  </si>
  <si>
    <t>Processes</t>
  </si>
  <si>
    <t>N</t>
  </si>
  <si>
    <t>TechName</t>
  </si>
  <si>
    <t>YEAR</t>
  </si>
  <si>
    <t>INVCOST</t>
  </si>
  <si>
    <t>TechDesc</t>
  </si>
  <si>
    <t>CommName</t>
  </si>
  <si>
    <t>CommDesc</t>
  </si>
  <si>
    <t>Technology Description</t>
  </si>
  <si>
    <t>Technology Name</t>
  </si>
  <si>
    <t>Commodity Name</t>
  </si>
  <si>
    <t>Commodity Description</t>
  </si>
  <si>
    <t>*Units:</t>
  </si>
  <si>
    <t>Maximum Number of Retrofits that can be done annualyis limited by the number of buildings (Scenario files can be used to limit this)</t>
  </si>
  <si>
    <t>CSET_CN</t>
  </si>
  <si>
    <t>PSET_PN</t>
  </si>
  <si>
    <t>OUTPUT</t>
  </si>
  <si>
    <t>UP</t>
  </si>
  <si>
    <t>Investment Costs for Retrofits</t>
  </si>
  <si>
    <t xml:space="preserve"> </t>
  </si>
  <si>
    <t>DEMAND</t>
  </si>
  <si>
    <t>Years</t>
  </si>
  <si>
    <t>LIFE</t>
  </si>
  <si>
    <t>BASE_YEAR</t>
  </si>
  <si>
    <t>PRC_CAPACT</t>
  </si>
  <si>
    <t>Annual Availability Factors</t>
  </si>
  <si>
    <t>Capacity to activity</t>
  </si>
  <si>
    <t>Availability Factors</t>
  </si>
  <si>
    <t>Capacity to Activity</t>
  </si>
  <si>
    <t>Savings  of Space Heating Demand for each retrofit option, per type</t>
  </si>
  <si>
    <t>Savings  of Space Heating Demand for each retrofit option, per Building</t>
  </si>
  <si>
    <t>000m2</t>
  </si>
  <si>
    <t>Dummy Process to control Total Retrofits</t>
  </si>
  <si>
    <t>PJ/000m2</t>
  </si>
  <si>
    <t>000€/m2</t>
  </si>
  <si>
    <t>standard refurbishment</t>
  </si>
  <si>
    <t>advanced refurbishment</t>
  </si>
  <si>
    <t xml:space="preserve">Energy savings </t>
  </si>
  <si>
    <t>EE measures costs</t>
  </si>
  <si>
    <t>Euro/m2 of floor area</t>
  </si>
  <si>
    <t>Energy Service Demands per m2</t>
  </si>
  <si>
    <t>%</t>
  </si>
  <si>
    <t>TJ/m2</t>
  </si>
  <si>
    <t>KZK</t>
  </si>
  <si>
    <t>AZJ</t>
  </si>
  <si>
    <t>TKM</t>
  </si>
  <si>
    <t>UZB</t>
  </si>
  <si>
    <t>TERGASNAT</t>
  </si>
  <si>
    <t>TEROILLPG</t>
  </si>
  <si>
    <t>TERBIOLOG</t>
  </si>
  <si>
    <t>TERBIOCHR</t>
  </si>
  <si>
    <t>TERELC</t>
  </si>
  <si>
    <t>TER_BU_TP</t>
  </si>
  <si>
    <t>TER_TP_SH</t>
  </si>
  <si>
    <t>TER_TP_WH</t>
  </si>
  <si>
    <t>TER_TP_SC</t>
  </si>
  <si>
    <t>TER_TP_CK</t>
  </si>
  <si>
    <t>TER_TP_LI</t>
  </si>
  <si>
    <t>TER_TP_RF</t>
  </si>
  <si>
    <t>TER_TP_AP</t>
  </si>
  <si>
    <t>TER_TP_SH_BIC_*</t>
  </si>
  <si>
    <t>TER_TP_SH_BKB_*</t>
  </si>
  <si>
    <t>TER_TP_SH_DSL_*</t>
  </si>
  <si>
    <t>TER_TP_SH_HFO_*</t>
  </si>
  <si>
    <t>TER_TP_SH_GAS_*</t>
  </si>
  <si>
    <t>TER_TP_SH_LTH_*</t>
  </si>
  <si>
    <t>TER_TP_SH_LOG_*</t>
  </si>
  <si>
    <t>TER_TP_SH_ELC_*</t>
  </si>
  <si>
    <t>TER_TP_SH_LPG_*</t>
  </si>
  <si>
    <t>TER_TP_SC_ELC_*</t>
  </si>
  <si>
    <t>TER_TP_WH_GAS_*</t>
  </si>
  <si>
    <t>TER_TP_WH_LTH_*</t>
  </si>
  <si>
    <t>TER_TP_WH_LPG_*</t>
  </si>
  <si>
    <t>TER_TP_WH_LOG_*</t>
  </si>
  <si>
    <t>TER_TP_WH_DSL_*</t>
  </si>
  <si>
    <t>TER_TP_WH_ELC_*</t>
  </si>
  <si>
    <t>TER_TP_CK_GAS_*</t>
  </si>
  <si>
    <t>TER_TP_CK_LPG_*</t>
  </si>
  <si>
    <t>TER_TP_CK_LOG_*</t>
  </si>
  <si>
    <t>TER_TP_CK_CHR_*</t>
  </si>
  <si>
    <t>TER_TP_CK_ELC_*</t>
  </si>
  <si>
    <t>TER_TP_LI_E01</t>
  </si>
  <si>
    <t>TER_TP_RF_*</t>
  </si>
  <si>
    <t>TER_TP_AP_*</t>
  </si>
  <si>
    <t>TER_TP_LI_*</t>
  </si>
  <si>
    <t>TER_BU_TS</t>
  </si>
  <si>
    <t>TER_TS_SH</t>
  </si>
  <si>
    <t>TER_TS_WH</t>
  </si>
  <si>
    <t>TER_TS_SC</t>
  </si>
  <si>
    <t>TER_TS_CK</t>
  </si>
  <si>
    <t>TER_TS_LI</t>
  </si>
  <si>
    <t>TER_TS_RF</t>
  </si>
  <si>
    <t>TER_TS_AP</t>
  </si>
  <si>
    <t>TER_TS_SH_BIC_*</t>
  </si>
  <si>
    <t>TER_TS_SH_BKB_*</t>
  </si>
  <si>
    <t>TER_TS_SH_DSL_*</t>
  </si>
  <si>
    <t>TER_TS_SH_HFO_*</t>
  </si>
  <si>
    <t>TER_TS_SH_GAS_*</t>
  </si>
  <si>
    <t>TER_TS_SH_LTH_*</t>
  </si>
  <si>
    <t>TER_TS_SH_LOG_*</t>
  </si>
  <si>
    <t>TER_TS_SH_ELC_*</t>
  </si>
  <si>
    <t>TER_TS_SH_GEO_*</t>
  </si>
  <si>
    <t>TER_TS_SH_LPG_*</t>
  </si>
  <si>
    <t>TER_TS_SC_ELC_*</t>
  </si>
  <si>
    <t>TER_TS_WH_BKB_*</t>
  </si>
  <si>
    <t>TER_TS_WH_GAS_*</t>
  </si>
  <si>
    <t>TER_TS_WH_LTH_*</t>
  </si>
  <si>
    <t>TER_TS_WH_LPG_*</t>
  </si>
  <si>
    <t>TER_TS_WH_LOG_*</t>
  </si>
  <si>
    <t>TER_TS_WH_DSL_*</t>
  </si>
  <si>
    <t>TER_TS_WH_ELC_*</t>
  </si>
  <si>
    <t>TER_TS_CK_GAS_*</t>
  </si>
  <si>
    <t>TER_TS_CK_LPG_*</t>
  </si>
  <si>
    <t>TER_TS_CK_LOG_*</t>
  </si>
  <si>
    <t>TER_TS_CK_CHR_*</t>
  </si>
  <si>
    <t>TER_TS_CK_ELC_*</t>
  </si>
  <si>
    <t>TER_TS_LI_E01</t>
  </si>
  <si>
    <t>TER_TS_RF_*</t>
  </si>
  <si>
    <t>TER_TS_AP_*</t>
  </si>
  <si>
    <t>TER_TS_LI_*</t>
  </si>
  <si>
    <t>TER_BU_TP_N</t>
  </si>
  <si>
    <t>TER_BU_TS_N</t>
  </si>
  <si>
    <t>TER_TP_SH_BKB_N_ST</t>
  </si>
  <si>
    <t>TER_TP_SH_LOG_N_ST01</t>
  </si>
  <si>
    <t>TER_TP_SH_PLT_N_ST01</t>
  </si>
  <si>
    <t>TER_TP_SH_PLT_N_IM01</t>
  </si>
  <si>
    <t>TER_TP_SH_GAS_N_ST01</t>
  </si>
  <si>
    <t>TER_TP_SH_GAS_N_ST02</t>
  </si>
  <si>
    <t>TER_TP_SH_GAS_N_AD01</t>
  </si>
  <si>
    <t>TER_TP_SH_GAS_N_AD02</t>
  </si>
  <si>
    <t>TER_TP_SH_LTH_N_ST01</t>
  </si>
  <si>
    <t>TER_TP_SH_LTH_N_IM01</t>
  </si>
  <si>
    <t>TER_TP_SH_LTH_N_AD01</t>
  </si>
  <si>
    <t>TER_TP_SH_ELC_N_ST01</t>
  </si>
  <si>
    <t>TER_TP_SH_ELC_N_ST02</t>
  </si>
  <si>
    <t>TER_TP_SH_ELC_N_ST03</t>
  </si>
  <si>
    <t>TER_TP_SH_ELC_N_IM01</t>
  </si>
  <si>
    <t>TER_TP_SH_ELC_N_IM02</t>
  </si>
  <si>
    <t>TER_TP_SH_ELC_N_AD01</t>
  </si>
  <si>
    <t>TER_TP_SH_ELC_N_AD02</t>
  </si>
  <si>
    <t>TER_TP_SH_GEO_N_ST01</t>
  </si>
  <si>
    <t>TER_TP_SH_GEO_N_ST02</t>
  </si>
  <si>
    <t>TER_TP_SH_GEO_N_IM01</t>
  </si>
  <si>
    <t>TER_TP_SH_GEO_N_IM02</t>
  </si>
  <si>
    <t>TER_TP_SH_DSL_N_ST01</t>
  </si>
  <si>
    <t>TER_TP_SH_DSL_N_ST02</t>
  </si>
  <si>
    <t>TER_TP_SH_DSL_N_IM01</t>
  </si>
  <si>
    <t>TER_TP_SH_DSL_N_IM02</t>
  </si>
  <si>
    <t>TER_TP_SC_ELC_N_ST01</t>
  </si>
  <si>
    <t>TER_TP_SC_ELC_N_ST02</t>
  </si>
  <si>
    <t>TER_TP_SC_ELC_N_IM01</t>
  </si>
  <si>
    <t>TER_TP_SC_ELC_N_IM02</t>
  </si>
  <si>
    <t>TER_TP_SC_ELC_N_AD01</t>
  </si>
  <si>
    <t>TER_TP_SC_ELC_N_ST03</t>
  </si>
  <si>
    <t>TER_TP_WH_ELC_N_ST</t>
  </si>
  <si>
    <t>TER_TP_WH_ELC_N_IM</t>
  </si>
  <si>
    <t>TER_TP_WH_GAS_N_ST</t>
  </si>
  <si>
    <t>TER_TP_WH_GAS_N_IM</t>
  </si>
  <si>
    <t>TER_TP_WH_GAS_N_AD</t>
  </si>
  <si>
    <t>TER_TP_WH_LTH_N_IM</t>
  </si>
  <si>
    <t>TER_TP_WH_SOL_N_IM01</t>
  </si>
  <si>
    <t>TER_TP_WH_SOL_N_IM02</t>
  </si>
  <si>
    <t>TER_TS_SH_BKB_N_ST</t>
  </si>
  <si>
    <t>TER_TS_SH_LOG_N_ST01</t>
  </si>
  <si>
    <t>TER_TS_SH_PLT_N_ST01</t>
  </si>
  <si>
    <t>TER_TS_SH_PLT_N_IM01</t>
  </si>
  <si>
    <t>TER_TS_SH_GAS_N_ST01</t>
  </si>
  <si>
    <t>TER_TS_SH_GAS_N_ST02</t>
  </si>
  <si>
    <t>TER_TS_SH_GAS_N_AD01</t>
  </si>
  <si>
    <t>TER_TS_SH_GAS_N_AD02</t>
  </si>
  <si>
    <t>TER_TS_SH_LTH_N_ST01</t>
  </si>
  <si>
    <t>TER_TS_SH_LTH_N_IM01</t>
  </si>
  <si>
    <t>TER_TS_SH_LTH_N_AD01</t>
  </si>
  <si>
    <t>TER_TS_SH_ELC_N_ST01</t>
  </si>
  <si>
    <t>TER_TS_SH_ELC_N_ST02</t>
  </si>
  <si>
    <t>TER_TS_SH_ELC_N_ST03</t>
  </si>
  <si>
    <t>TER_TS_SH_ELC_N_IM01</t>
  </si>
  <si>
    <t>TER_TS_SH_ELC_N_IM02</t>
  </si>
  <si>
    <t>TER_TS_SH_ELC_N_AD01</t>
  </si>
  <si>
    <t>TER_TS_SH_ELC_N_AD02</t>
  </si>
  <si>
    <t>TER_TS_SH_GEO_N_ST01</t>
  </si>
  <si>
    <t>TER_TS_SH_GEO_N_ST02</t>
  </si>
  <si>
    <t>TER_TS_SH_GEO_N_IM01</t>
  </si>
  <si>
    <t>TER_TS_SH_GEO_N_IM02</t>
  </si>
  <si>
    <t>TER_TS_SH_DSL_N_ST01</t>
  </si>
  <si>
    <t>TER_TS_SH_DSL_N_ST02</t>
  </si>
  <si>
    <t>TER_TS_SH_DSL_N_IM01</t>
  </si>
  <si>
    <t>TER_TS_SH_DSL_N_IM02</t>
  </si>
  <si>
    <t>TER_TS_SC_ELC_N_ST01</t>
  </si>
  <si>
    <t>TER_TS_SC_ELC_N_ST02</t>
  </si>
  <si>
    <t>TER_TS_SC_ELC_N_IM01</t>
  </si>
  <si>
    <t>TER_TS_SC_ELC_N_IM02</t>
  </si>
  <si>
    <t>TER_TS_SC_ELC_N_AD01</t>
  </si>
  <si>
    <t>TER_TS_SC_ELC_N_ST03</t>
  </si>
  <si>
    <t>TER_TS_WH_ELC_N_ST</t>
  </si>
  <si>
    <t>TER_TS_WH_ELC_N_IM</t>
  </si>
  <si>
    <t>TER_TS_WH_LOG_N_ST</t>
  </si>
  <si>
    <t>TER_TS_WH_LOG_N_IM</t>
  </si>
  <si>
    <t>TER_TS_WH_GAS_N_ST</t>
  </si>
  <si>
    <t>TER_TS_WH_GAS_N_IM</t>
  </si>
  <si>
    <t>TER_TS_WH_GAS_N_AD</t>
  </si>
  <si>
    <t>TER_TS_WH_LTH_N_IM</t>
  </si>
  <si>
    <t>TER_TS_WH_SOL_N_IM01</t>
  </si>
  <si>
    <t>TER_TS_WH_SOL_N_IM02</t>
  </si>
  <si>
    <t>TER_TP_CK_LOG_N_ST</t>
  </si>
  <si>
    <t>TER_TP_CK_GAS_N_ST</t>
  </si>
  <si>
    <t>TER_TP_CK_GAS_N_IM</t>
  </si>
  <si>
    <t>TER_TP_CK_GAS_N_AD</t>
  </si>
  <si>
    <t>TER_TP_CK_LPG_N_ST</t>
  </si>
  <si>
    <t>TER_TP_CK_LPG_N_IM</t>
  </si>
  <si>
    <t>TER_TP_CK_LPG_N_AD</t>
  </si>
  <si>
    <t>TER_TP_CK_ELC_N_ST</t>
  </si>
  <si>
    <t>TER_TP_CK_ELC_N_IM</t>
  </si>
  <si>
    <t>TER_TP_CK_ELC_N_AD</t>
  </si>
  <si>
    <t>TER_TS_CK_LOG_N_ST</t>
  </si>
  <si>
    <t>TER_TS_CK_GAS_N_ST</t>
  </si>
  <si>
    <t>TER_TS_CK_GAS_N_IM</t>
  </si>
  <si>
    <t>TER_TS_CK_GAS_N_AD</t>
  </si>
  <si>
    <t>TER_TS_CK_LPG_N_ST</t>
  </si>
  <si>
    <t>TER_TS_CK_LPG_N_IM</t>
  </si>
  <si>
    <t>TER_TS_CK_LPG_N_AD</t>
  </si>
  <si>
    <t>TER_TS_CK_ELC_N_ST</t>
  </si>
  <si>
    <t>TER_TS_CK_ELC_N_IM</t>
  </si>
  <si>
    <t>TER_TS_CK_ELC_N_AD</t>
  </si>
  <si>
    <t>TER_TP_LI_N01</t>
  </si>
  <si>
    <t>TER_TP_LI_N02</t>
  </si>
  <si>
    <t>TER_TP_LI_N03</t>
  </si>
  <si>
    <t>TER_TP_LI_N04</t>
  </si>
  <si>
    <t>TER_TS_LI_N01</t>
  </si>
  <si>
    <t>TER_TS_LI_N02</t>
  </si>
  <si>
    <t>TER_TS_LI_N03</t>
  </si>
  <si>
    <t>TER_TS_LI_N04</t>
  </si>
  <si>
    <t>TER_TP_RF_N_ST</t>
  </si>
  <si>
    <t>TER_TP_RF_N_IM</t>
  </si>
  <si>
    <t>TER_TP_RF_N_AD</t>
  </si>
  <si>
    <t>TER_TS_RF_N_ST</t>
  </si>
  <si>
    <t>TER_TS_RF_N_IM</t>
  </si>
  <si>
    <t>TER_TS_RF_N_AD</t>
  </si>
  <si>
    <t>TER_TP_AP_N_ST</t>
  </si>
  <si>
    <t>TER_TP_AP_N_IM</t>
  </si>
  <si>
    <t>TER_TP_AP_N_AD</t>
  </si>
  <si>
    <t>TER_TS_AP_N_ST</t>
  </si>
  <si>
    <t>TER_TS_AP_N_IM</t>
  </si>
  <si>
    <t>TER_TS_AP_N_AD</t>
  </si>
  <si>
    <t>TER_TP_LI_N*</t>
  </si>
  <si>
    <t>TER_TS_LI_N*</t>
  </si>
  <si>
    <t>TER_TP_Ret1</t>
  </si>
  <si>
    <t>TER_TS_Ret1</t>
  </si>
  <si>
    <t>TER_TP_Ret2</t>
  </si>
  <si>
    <t>TER_TS_Ret2</t>
  </si>
  <si>
    <t>TER_TP_Ret3</t>
  </si>
  <si>
    <t>TER_TS_Ret3</t>
  </si>
  <si>
    <t>TER*Ret1*</t>
  </si>
  <si>
    <t>TER*Ret2*</t>
  </si>
  <si>
    <t>TER*Ret3*</t>
  </si>
  <si>
    <t>Dum_TER_Retrofit</t>
  </si>
  <si>
    <t>TER_TP_Ret11</t>
  </si>
  <si>
    <t>TER_TP_Ret21</t>
  </si>
  <si>
    <t>TER_TP_Ret31</t>
  </si>
  <si>
    <t>TER_TP_Ret12</t>
  </si>
  <si>
    <t>TER_TP_Ret22</t>
  </si>
  <si>
    <t>TER_TP_Ret32</t>
  </si>
  <si>
    <t>TER_TS_Ret11</t>
  </si>
  <si>
    <t>TER_TS_Ret21</t>
  </si>
  <si>
    <t>TER_TS_Ret31</t>
  </si>
  <si>
    <t>TER_TS_Ret12</t>
  </si>
  <si>
    <t>TER_TS_Ret22</t>
  </si>
  <si>
    <t>TER_TS_Ret32</t>
  </si>
  <si>
    <t>DumTER_TP_Ret11</t>
  </si>
  <si>
    <t>DumTER_TP_Ret21</t>
  </si>
  <si>
    <t>DumTER_TP_Ret31</t>
  </si>
  <si>
    <t>DumTER_TP_Ret12</t>
  </si>
  <si>
    <t>DumTER_TP_Ret22</t>
  </si>
  <si>
    <t>DumTER_TP_Ret32</t>
  </si>
  <si>
    <t>DumTER_TS_Ret11</t>
  </si>
  <si>
    <t>DumTER_TS_Ret21</t>
  </si>
  <si>
    <t>DumTER_TS_Ret31</t>
  </si>
  <si>
    <t>DumTER_TS_Ret12</t>
  </si>
  <si>
    <t>DumTER_TS_Ret22</t>
  </si>
  <si>
    <t>DumTER_TS_Ret32</t>
  </si>
  <si>
    <t>TP</t>
  </si>
  <si>
    <t>TS</t>
  </si>
  <si>
    <t>Services (Public) Envelope Insulation Standard (N)</t>
  </si>
  <si>
    <t>Services (Public) Windows Replacement  Standard (N)</t>
  </si>
  <si>
    <t>Services (Public) Env. Insulation&amp;Windows repl. Standard (N)</t>
  </si>
  <si>
    <t>Services (Public) Envelope Insulation Advanced (N)</t>
  </si>
  <si>
    <t>Services (Public) Windows Replacement  Advanced (N)</t>
  </si>
  <si>
    <t>Services (Public) Env. Insulation&amp;Windows repl. Advanced (N)</t>
  </si>
  <si>
    <t>Private (Commercial) Envelope Insulation Standard (N)</t>
  </si>
  <si>
    <t>Private (Commercial) Windows Replacement  Standard (N)</t>
  </si>
  <si>
    <t>Private (Commercial) Env. Insulation&amp;Windows repl. Standard (N)</t>
  </si>
  <si>
    <t>Private (Commercial) Envelope Insulation Advanced (N)</t>
  </si>
  <si>
    <t>Private (Commercial) Windows Replacement  Advanced (N)</t>
  </si>
  <si>
    <t>Private (Commercial) Env. Insulation&amp;Windows repl. Advanced (N)</t>
  </si>
  <si>
    <t>Private (Commercial)</t>
  </si>
  <si>
    <t>Services (Public)</t>
  </si>
  <si>
    <t>Private (Commercial) Dummy to control Insulation Standard</t>
  </si>
  <si>
    <t>Private (Commercial) Dummy to control Windows Repl. Standard</t>
  </si>
  <si>
    <t>Private (Commercial) Dummy to control Insulation&amp;Windows Standard</t>
  </si>
  <si>
    <t>Private (Commercial) Dummy to control Insulation  Advanced</t>
  </si>
  <si>
    <t>Private (Commercial) Dummy to control Windows Repl.  Advanced</t>
  </si>
  <si>
    <t>Private (Commercial) Dummy to control Insulation&amp;Windows  Advanced</t>
  </si>
  <si>
    <t>Services (Public) Dummy to control Insulation Standard</t>
  </si>
  <si>
    <t>Services (Public) Dummy to control Windows Repl. Standard</t>
  </si>
  <si>
    <t>Services (Public) Dummy to control Insulation&amp;Windows Standard</t>
  </si>
  <si>
    <t>Services (Public) Dummy to control Insulation  Advanced</t>
  </si>
  <si>
    <t>Services (Public) Dummy to control Windows Repl.  Advanced</t>
  </si>
  <si>
    <t>Services (Public) Dummy to control Insulation&amp;Windows  Advanced</t>
  </si>
  <si>
    <t>TER_TP</t>
  </si>
  <si>
    <t>TER_TS</t>
  </si>
  <si>
    <t>Tertriary Building Stock per Typology, and per Region (data linked from BY TER Template)</t>
  </si>
  <si>
    <t>TER_TP_SH_SUB_*</t>
  </si>
  <si>
    <t>TER_TS_SH_SUB_*</t>
  </si>
  <si>
    <t>TER_TP_WH_BIC_*</t>
  </si>
  <si>
    <t>TER_TS_WH_BIC_*</t>
  </si>
  <si>
    <t>Heat Pumps</t>
  </si>
  <si>
    <t>2018,2019</t>
  </si>
  <si>
    <t>Compliance to the new building regulation (cat. "X") after 2025</t>
  </si>
  <si>
    <t>Compliance to the new buidlings regulation 2020-2025</t>
  </si>
  <si>
    <t>CSet_CN</t>
  </si>
  <si>
    <t>Ret1</t>
  </si>
  <si>
    <t>Re2</t>
  </si>
  <si>
    <t>Ret3</t>
  </si>
  <si>
    <t>TER_SL_LI_*</t>
  </si>
  <si>
    <t>TER_SL_LI_N*</t>
  </si>
  <si>
    <t>Improvement of New Buildings Demand compared to the stock  in 2017</t>
  </si>
  <si>
    <t>TER_TP_SH_BCO_*</t>
  </si>
  <si>
    <t>TER_TS_SH_BCO_*</t>
  </si>
  <si>
    <t>Zero means that new buildings have the same demand in cooking appliance  compared to the  built in 2017</t>
  </si>
  <si>
    <t>Zero means that new buildings have the same demand in lighting bulbs  compared to the buildings built in 2017</t>
  </si>
  <si>
    <t>Zero means that new buildings have the same demand in number of refrigerators  compared to the buildings built in 2017</t>
  </si>
  <si>
    <t>Zero means that new buildings have the same demand in number of washing machines  compared to the buildings built in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</si>
</sst>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00"/>
    <numFmt numFmtId="166" formatCode="_-* #,##0.0000_-;\-* #,##0.0000_-;_-* &quot;-&quot;??_-;_-@_-"/>
    <numFmt numFmtId="167" formatCode="_-* #,##0.000_-;\-* #,##0.000_-;_-* &quot;-&quot;??_-;_-@_-"/>
    <numFmt numFmtId="168" formatCode="\Te\x\t"/>
    <numFmt numFmtId="169" formatCode="0.000000"/>
    <numFmt numFmtId="170" formatCode="_-* #,##0.00000000_-;\-* #,##0.00000000_-;_-* &quot;-&quot;??_-;_-@_-"/>
    <numFmt numFmtId="171" formatCode="0.00000"/>
    <numFmt numFmtId="172" formatCode="0.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8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vertical="center"/>
    </xf>
    <xf numFmtId="1" fontId="9" fillId="4" borderId="1" xfId="0" applyNumberFormat="1" applyFont="1" applyFill="1" applyBorder="1" applyAlignment="1">
      <alignment horizontal="right" vertical="center"/>
    </xf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horizontal="right"/>
    </xf>
    <xf numFmtId="0" fontId="0" fillId="0" borderId="0" xfId="0" applyFill="1" applyBorder="1"/>
    <xf numFmtId="0" fontId="3" fillId="0" borderId="0" xfId="0" applyFont="1"/>
    <xf numFmtId="0" fontId="0" fillId="0" borderId="2" xfId="0" applyFill="1" applyBorder="1"/>
    <xf numFmtId="0" fontId="3" fillId="0" borderId="2" xfId="0" applyFont="1" applyBorder="1"/>
    <xf numFmtId="0" fontId="0" fillId="0" borderId="0" xfId="0" applyBorder="1"/>
    <xf numFmtId="0" fontId="2" fillId="0" borderId="0" xfId="0" applyFont="1" applyBorder="1"/>
    <xf numFmtId="0" fontId="11" fillId="0" borderId="0" xfId="0" applyFont="1"/>
    <xf numFmtId="2" fontId="2" fillId="5" borderId="0" xfId="0" applyNumberFormat="1" applyFont="1" applyFill="1"/>
    <xf numFmtId="0" fontId="0" fillId="6" borderId="13" xfId="0" applyFill="1" applyBorder="1"/>
    <xf numFmtId="0" fontId="0" fillId="6" borderId="3" xfId="0" applyFill="1" applyBorder="1"/>
    <xf numFmtId="0" fontId="2" fillId="5" borderId="0" xfId="0" applyFont="1" applyFill="1"/>
    <xf numFmtId="0" fontId="14" fillId="3" borderId="1" xfId="0" applyFont="1" applyFill="1" applyBorder="1" applyAlignment="1">
      <alignment horizontal="center"/>
    </xf>
    <xf numFmtId="0" fontId="7" fillId="0" borderId="0" xfId="0" applyFont="1" applyFill="1"/>
    <xf numFmtId="0" fontId="14" fillId="0" borderId="1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/>
    </xf>
    <xf numFmtId="2" fontId="12" fillId="0" borderId="15" xfId="0" applyNumberFormat="1" applyFont="1" applyFill="1" applyBorder="1"/>
    <xf numFmtId="2" fontId="12" fillId="0" borderId="13" xfId="0" applyNumberFormat="1" applyFont="1" applyFill="1" applyBorder="1"/>
    <xf numFmtId="2" fontId="12" fillId="0" borderId="16" xfId="0" applyNumberFormat="1" applyFont="1" applyFill="1" applyBorder="1"/>
    <xf numFmtId="2" fontId="12" fillId="0" borderId="15" xfId="0" applyNumberFormat="1" applyFont="1" applyFill="1" applyBorder="1" applyAlignment="1">
      <alignment horizontal="left"/>
    </xf>
    <xf numFmtId="2" fontId="12" fillId="0" borderId="13" xfId="0" applyNumberFormat="1" applyFont="1" applyFill="1" applyBorder="1" applyAlignment="1">
      <alignment horizontal="center"/>
    </xf>
    <xf numFmtId="2" fontId="12" fillId="0" borderId="16" xfId="0" applyNumberFormat="1" applyFont="1" applyFill="1" applyBorder="1" applyAlignment="1">
      <alignment horizontal="center"/>
    </xf>
    <xf numFmtId="171" fontId="16" fillId="0" borderId="8" xfId="2" applyNumberFormat="1" applyFont="1" applyFill="1" applyBorder="1" applyAlignment="1">
      <alignment horizontal="center"/>
    </xf>
    <xf numFmtId="0" fontId="15" fillId="0" borderId="0" xfId="0" applyFont="1" applyFill="1" applyAlignment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left"/>
    </xf>
    <xf numFmtId="1" fontId="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0" xfId="0" quotePrefix="1" applyFont="1" applyFill="1" applyBorder="1" applyAlignment="1">
      <alignment horizontal="center"/>
    </xf>
    <xf numFmtId="170" fontId="18" fillId="0" borderId="0" xfId="1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0" fontId="18" fillId="0" borderId="2" xfId="0" applyFont="1" applyFill="1" applyBorder="1"/>
    <xf numFmtId="0" fontId="18" fillId="0" borderId="2" xfId="0" applyFont="1" applyFill="1" applyBorder="1" applyAlignment="1">
      <alignment horizontal="center"/>
    </xf>
    <xf numFmtId="170" fontId="18" fillId="0" borderId="2" xfId="1" applyNumberFormat="1" applyFont="1" applyFill="1" applyBorder="1" applyAlignment="1">
      <alignment horizontal="center"/>
    </xf>
    <xf numFmtId="2" fontId="18" fillId="0" borderId="2" xfId="0" applyNumberFormat="1" applyFont="1" applyFill="1" applyBorder="1" applyAlignment="1">
      <alignment horizontal="center"/>
    </xf>
    <xf numFmtId="0" fontId="15" fillId="0" borderId="0" xfId="0" applyFont="1" applyFill="1"/>
    <xf numFmtId="0" fontId="18" fillId="0" borderId="0" xfId="0" applyFont="1" applyFill="1" applyBorder="1" applyAlignment="1">
      <alignment horizontal="center"/>
    </xf>
    <xf numFmtId="0" fontId="18" fillId="0" borderId="3" xfId="0" applyFont="1" applyFill="1" applyBorder="1"/>
    <xf numFmtId="1" fontId="7" fillId="0" borderId="8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66" fontId="18" fillId="0" borderId="0" xfId="1" applyNumberFormat="1" applyFont="1" applyFill="1" applyAlignment="1">
      <alignment horizontal="center"/>
    </xf>
    <xf numFmtId="165" fontId="18" fillId="0" borderId="0" xfId="0" applyNumberFormat="1" applyFont="1" applyFill="1"/>
    <xf numFmtId="0" fontId="19" fillId="0" borderId="0" xfId="0" applyFont="1" applyFill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166" fontId="19" fillId="0" borderId="0" xfId="1" applyNumberFormat="1" applyFont="1" applyFill="1" applyAlignment="1">
      <alignment horizontal="center"/>
    </xf>
    <xf numFmtId="166" fontId="18" fillId="0" borderId="2" xfId="1" applyNumberFormat="1" applyFont="1" applyFill="1" applyBorder="1" applyAlignment="1">
      <alignment horizontal="center"/>
    </xf>
    <xf numFmtId="166" fontId="18" fillId="0" borderId="0" xfId="1" applyNumberFormat="1" applyFont="1" applyFill="1" applyBorder="1" applyAlignment="1">
      <alignment horizontal="center"/>
    </xf>
    <xf numFmtId="165" fontId="18" fillId="0" borderId="0" xfId="0" applyNumberFormat="1" applyFont="1" applyFill="1" applyBorder="1"/>
    <xf numFmtId="166" fontId="7" fillId="0" borderId="1" xfId="1" applyNumberFormat="1" applyFont="1" applyFill="1" applyBorder="1" applyAlignment="1">
      <alignment horizontal="center" vertical="center"/>
    </xf>
    <xf numFmtId="172" fontId="18" fillId="0" borderId="0" xfId="0" applyNumberFormat="1" applyFont="1" applyFill="1" applyBorder="1"/>
    <xf numFmtId="172" fontId="18" fillId="0" borderId="0" xfId="0" applyNumberFormat="1" applyFont="1" applyFill="1"/>
    <xf numFmtId="172" fontId="18" fillId="0" borderId="2" xfId="0" applyNumberFormat="1" applyFont="1" applyFill="1" applyBorder="1"/>
    <xf numFmtId="0" fontId="17" fillId="0" borderId="0" xfId="0" applyFont="1" applyFill="1" applyBorder="1"/>
    <xf numFmtId="0" fontId="20" fillId="0" borderId="0" xfId="0" applyFont="1" applyFill="1"/>
    <xf numFmtId="0" fontId="17" fillId="0" borderId="0" xfId="0" applyFont="1" applyFill="1"/>
    <xf numFmtId="0" fontId="17" fillId="0" borderId="0" xfId="0" applyFont="1" applyFill="1" applyAlignment="1">
      <alignment horizontal="center"/>
    </xf>
    <xf numFmtId="168" fontId="18" fillId="0" borderId="0" xfId="0" applyNumberFormat="1" applyFont="1" applyFill="1"/>
    <xf numFmtId="168" fontId="18" fillId="0" borderId="0" xfId="0" applyNumberFormat="1" applyFont="1" applyFill="1" applyBorder="1"/>
    <xf numFmtId="168" fontId="15" fillId="0" borderId="0" xfId="0" applyNumberFormat="1" applyFont="1" applyFill="1"/>
    <xf numFmtId="168" fontId="14" fillId="0" borderId="0" xfId="0" applyNumberFormat="1" applyFont="1" applyFill="1" applyAlignment="1"/>
    <xf numFmtId="168" fontId="17" fillId="0" borderId="0" xfId="0" applyNumberFormat="1" applyFont="1" applyFill="1" applyAlignment="1"/>
    <xf numFmtId="168" fontId="17" fillId="0" borderId="0" xfId="0" applyNumberFormat="1" applyFont="1" applyFill="1" applyAlignment="1">
      <alignment horizontal="center"/>
    </xf>
    <xf numFmtId="0" fontId="17" fillId="0" borderId="0" xfId="0" applyFont="1" applyFill="1" applyAlignment="1"/>
    <xf numFmtId="168" fontId="15" fillId="0" borderId="6" xfId="0" applyNumberFormat="1" applyFont="1" applyFill="1" applyBorder="1"/>
    <xf numFmtId="0" fontId="14" fillId="0" borderId="4" xfId="0" applyFont="1" applyFill="1" applyBorder="1" applyAlignment="1"/>
    <xf numFmtId="168" fontId="15" fillId="0" borderId="6" xfId="0" applyNumberFormat="1" applyFont="1" applyFill="1" applyBorder="1" applyAlignment="1">
      <alignment horizontal="center"/>
    </xf>
    <xf numFmtId="168" fontId="14" fillId="0" borderId="4" xfId="0" applyNumberFormat="1" applyFont="1" applyFill="1" applyBorder="1" applyAlignment="1"/>
    <xf numFmtId="168" fontId="18" fillId="0" borderId="6" xfId="0" applyNumberFormat="1" applyFont="1" applyFill="1" applyBorder="1" applyAlignment="1">
      <alignment horizontal="center" wrapText="1"/>
    </xf>
    <xf numFmtId="0" fontId="17" fillId="0" borderId="6" xfId="0" applyFont="1" applyFill="1" applyBorder="1" applyAlignment="1">
      <alignment horizontal="left"/>
    </xf>
    <xf numFmtId="168" fontId="17" fillId="0" borderId="6" xfId="0" applyNumberFormat="1" applyFont="1" applyFill="1" applyBorder="1" applyAlignment="1">
      <alignment horizontal="left"/>
    </xf>
    <xf numFmtId="168" fontId="14" fillId="0" borderId="0" xfId="0" applyNumberFormat="1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Alignment="1"/>
    <xf numFmtId="168" fontId="18" fillId="0" borderId="0" xfId="0" applyNumberFormat="1" applyFont="1" applyFill="1" applyAlignment="1"/>
    <xf numFmtId="0" fontId="15" fillId="0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0" fontId="18" fillId="0" borderId="7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10" xfId="0" applyFont="1" applyFill="1" applyBorder="1" applyAlignment="1">
      <alignment horizontal="center"/>
    </xf>
    <xf numFmtId="169" fontId="18" fillId="0" borderId="0" xfId="0" applyNumberFormat="1" applyFont="1" applyFill="1" applyBorder="1" applyAlignment="1">
      <alignment horizontal="center"/>
    </xf>
    <xf numFmtId="169" fontId="18" fillId="0" borderId="21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2" fontId="16" fillId="0" borderId="16" xfId="0" applyNumberFormat="1" applyFont="1" applyFill="1" applyBorder="1"/>
    <xf numFmtId="2" fontId="16" fillId="0" borderId="0" xfId="0" applyNumberFormat="1" applyFont="1" applyFill="1" applyBorder="1"/>
    <xf numFmtId="0" fontId="18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169" fontId="18" fillId="0" borderId="14" xfId="0" applyNumberFormat="1" applyFont="1" applyFill="1" applyBorder="1" applyAlignment="1">
      <alignment horizontal="center"/>
    </xf>
    <xf numFmtId="169" fontId="18" fillId="0" borderId="22" xfId="0" applyNumberFormat="1" applyFont="1" applyFill="1" applyBorder="1" applyAlignment="1">
      <alignment horizontal="center"/>
    </xf>
    <xf numFmtId="169" fontId="18" fillId="0" borderId="3" xfId="0" applyNumberFormat="1" applyFont="1" applyFill="1" applyBorder="1" applyAlignment="1">
      <alignment horizontal="center"/>
    </xf>
    <xf numFmtId="164" fontId="16" fillId="0" borderId="17" xfId="1" applyFont="1" applyFill="1" applyBorder="1" applyAlignment="1">
      <alignment horizontal="left"/>
    </xf>
    <xf numFmtId="2" fontId="16" fillId="0" borderId="17" xfId="0" applyNumberFormat="1" applyFont="1" applyFill="1" applyBorder="1"/>
    <xf numFmtId="2" fontId="16" fillId="0" borderId="18" xfId="0" applyNumberFormat="1" applyFont="1" applyFill="1" applyBorder="1"/>
    <xf numFmtId="0" fontId="16" fillId="0" borderId="17" xfId="0" applyFont="1" applyFill="1" applyBorder="1" applyAlignment="1">
      <alignment horizontal="left"/>
    </xf>
    <xf numFmtId="2" fontId="16" fillId="0" borderId="17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6" fillId="0" borderId="18" xfId="0" applyNumberFormat="1" applyFont="1" applyFill="1" applyBorder="1" applyAlignment="1">
      <alignment horizontal="center" wrapText="1"/>
    </xf>
    <xf numFmtId="2" fontId="16" fillId="0" borderId="0" xfId="0" applyNumberFormat="1" applyFont="1" applyFill="1" applyBorder="1" applyAlignment="1">
      <alignment horizontal="center" wrapText="1"/>
    </xf>
    <xf numFmtId="9" fontId="16" fillId="0" borderId="17" xfId="2" applyFont="1" applyFill="1" applyBorder="1" applyAlignment="1">
      <alignment horizontal="center"/>
    </xf>
    <xf numFmtId="171" fontId="16" fillId="0" borderId="0" xfId="2" applyNumberFormat="1" applyFont="1" applyFill="1" applyBorder="1" applyAlignment="1">
      <alignment horizontal="center"/>
    </xf>
    <xf numFmtId="2" fontId="16" fillId="0" borderId="18" xfId="0" applyNumberFormat="1" applyFont="1" applyFill="1" applyBorder="1" applyAlignment="1">
      <alignment horizontal="center"/>
    </xf>
    <xf numFmtId="164" fontId="17" fillId="0" borderId="0" xfId="1" applyFont="1" applyFill="1"/>
    <xf numFmtId="2" fontId="16" fillId="0" borderId="18" xfId="1" applyNumberFormat="1" applyFont="1" applyFill="1" applyBorder="1" applyAlignment="1">
      <alignment horizontal="center"/>
    </xf>
    <xf numFmtId="169" fontId="18" fillId="0" borderId="23" xfId="0" applyNumberFormat="1" applyFont="1" applyFill="1" applyBorder="1" applyAlignment="1">
      <alignment horizontal="center"/>
    </xf>
    <xf numFmtId="2" fontId="12" fillId="0" borderId="15" xfId="0" applyNumberFormat="1" applyFont="1" applyFill="1" applyBorder="1" applyAlignment="1">
      <alignment horizontal="center"/>
    </xf>
    <xf numFmtId="2" fontId="16" fillId="0" borderId="16" xfId="0" applyNumberFormat="1" applyFont="1" applyFill="1" applyBorder="1" applyAlignment="1">
      <alignment horizontal="center"/>
    </xf>
    <xf numFmtId="164" fontId="16" fillId="0" borderId="19" xfId="1" applyFont="1" applyFill="1" applyBorder="1" applyAlignment="1">
      <alignment horizontal="left"/>
    </xf>
    <xf numFmtId="9" fontId="16" fillId="0" borderId="19" xfId="2" applyFont="1" applyFill="1" applyBorder="1" applyAlignment="1">
      <alignment horizontal="center"/>
    </xf>
    <xf numFmtId="2" fontId="16" fillId="0" borderId="20" xfId="1" applyNumberFormat="1" applyFont="1" applyFill="1" applyBorder="1" applyAlignment="1">
      <alignment horizontal="center"/>
    </xf>
    <xf numFmtId="2" fontId="16" fillId="0" borderId="20" xfId="0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172" fontId="18" fillId="0" borderId="0" xfId="0" applyNumberFormat="1" applyFont="1" applyFill="1" applyBorder="1" applyAlignment="1">
      <alignment horizontal="center"/>
    </xf>
    <xf numFmtId="172" fontId="18" fillId="0" borderId="3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vertical="center"/>
    </xf>
    <xf numFmtId="2" fontId="18" fillId="0" borderId="12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2" fontId="18" fillId="0" borderId="0" xfId="0" applyNumberFormat="1" applyFont="1" applyFill="1" applyAlignment="1">
      <alignment horizontal="center"/>
    </xf>
    <xf numFmtId="168" fontId="18" fillId="0" borderId="0" xfId="0" applyNumberFormat="1" applyFont="1" applyFill="1" applyAlignment="1">
      <alignment horizontal="center"/>
    </xf>
    <xf numFmtId="0" fontId="14" fillId="0" borderId="0" xfId="0" applyFont="1" applyFill="1"/>
    <xf numFmtId="2" fontId="14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8"/>
  <sheetViews>
    <sheetView zoomScale="70" zoomScaleNormal="70" workbookViewId="0">
      <selection activeCell="L5" sqref="L5"/>
    </sheetView>
  </sheetViews>
  <sheetFormatPr defaultRowHeight="13.2" x14ac:dyDescent="0.25"/>
  <cols>
    <col min="1" max="1" width="24.5546875" bestFit="1" customWidth="1"/>
    <col min="2" max="2" width="3.5546875" customWidth="1"/>
    <col min="3" max="3" width="26.44140625" bestFit="1" customWidth="1"/>
    <col min="4" max="4" width="19" customWidth="1"/>
    <col min="5" max="5" width="19.5546875" customWidth="1"/>
    <col min="6" max="6" width="28.33203125" bestFit="1" customWidth="1"/>
    <col min="7" max="7" width="14.33203125" bestFit="1" customWidth="1"/>
    <col min="8" max="8" width="16.88671875" style="8" bestFit="1" customWidth="1"/>
    <col min="9" max="12" width="18.44140625" customWidth="1"/>
  </cols>
  <sheetData>
    <row r="1" spans="1:14" ht="17.399999999999999" x14ac:dyDescent="0.3">
      <c r="C1" s="7" t="s">
        <v>18</v>
      </c>
      <c r="I1" s="9"/>
      <c r="J1" s="9"/>
      <c r="K1" s="9"/>
      <c r="L1" s="9"/>
    </row>
    <row r="3" spans="1:14" x14ac:dyDescent="0.25">
      <c r="C3" t="s">
        <v>14</v>
      </c>
      <c r="G3" s="9"/>
      <c r="I3" s="9"/>
      <c r="J3" s="9"/>
      <c r="K3" s="9"/>
      <c r="L3" s="9"/>
    </row>
    <row r="4" spans="1:14" ht="15" thickBot="1" x14ac:dyDescent="0.3">
      <c r="A4" s="10" t="s">
        <v>19</v>
      </c>
      <c r="C4" s="11" t="s">
        <v>15</v>
      </c>
      <c r="D4" s="11" t="s">
        <v>16</v>
      </c>
      <c r="E4" s="11" t="s">
        <v>3</v>
      </c>
      <c r="F4" s="11" t="s">
        <v>6</v>
      </c>
      <c r="G4" s="11" t="s">
        <v>363</v>
      </c>
      <c r="H4" s="12" t="s">
        <v>4</v>
      </c>
      <c r="I4" s="28" t="s">
        <v>87</v>
      </c>
      <c r="J4" s="28" t="s">
        <v>88</v>
      </c>
      <c r="K4" s="28" t="s">
        <v>89</v>
      </c>
      <c r="L4" s="28" t="s">
        <v>90</v>
      </c>
    </row>
    <row r="5" spans="1:14" x14ac:dyDescent="0.25">
      <c r="A5" t="str">
        <f>G5</f>
        <v>TER_TP_SH</v>
      </c>
      <c r="C5" t="s">
        <v>20</v>
      </c>
      <c r="D5" s="13" t="s">
        <v>21</v>
      </c>
      <c r="E5" t="s">
        <v>22</v>
      </c>
      <c r="F5" t="s">
        <v>96</v>
      </c>
      <c r="G5" s="25" t="s">
        <v>97</v>
      </c>
      <c r="H5" s="8">
        <f t="shared" ref="H5:H26" si="0">BASE_YEAR</f>
        <v>2017</v>
      </c>
      <c r="I5" s="24">
        <v>1.0052042195456E-3</v>
      </c>
      <c r="J5" s="24">
        <v>2.05088494909091E-4</v>
      </c>
      <c r="K5" s="24">
        <v>9.1727763840000005E-4</v>
      </c>
      <c r="L5" s="24">
        <v>8.7373575575999999E-4</v>
      </c>
      <c r="N5" t="s">
        <v>41</v>
      </c>
    </row>
    <row r="6" spans="1:14" x14ac:dyDescent="0.25">
      <c r="A6" t="str">
        <f t="shared" ref="A6:A18" si="1">G6</f>
        <v>TER_TS_SH</v>
      </c>
      <c r="C6" t="s">
        <v>20</v>
      </c>
      <c r="D6" s="13" t="s">
        <v>21</v>
      </c>
      <c r="E6" t="s">
        <v>22</v>
      </c>
      <c r="F6" t="s">
        <v>129</v>
      </c>
      <c r="G6" s="26" t="s">
        <v>130</v>
      </c>
      <c r="H6" s="8">
        <f t="shared" si="0"/>
        <v>2017</v>
      </c>
      <c r="I6" s="24">
        <v>1.21641510778822E-3</v>
      </c>
      <c r="J6" s="24">
        <v>2.143871874E-4</v>
      </c>
      <c r="K6" s="24">
        <v>1.130770944E-3</v>
      </c>
      <c r="L6" s="24">
        <v>1.0343615004E-3</v>
      </c>
    </row>
    <row r="7" spans="1:14" x14ac:dyDescent="0.25">
      <c r="A7" t="str">
        <f t="shared" si="1"/>
        <v>TER_TP_WH</v>
      </c>
      <c r="C7" t="s">
        <v>20</v>
      </c>
      <c r="D7" s="13" t="s">
        <v>21</v>
      </c>
      <c r="E7" t="s">
        <v>22</v>
      </c>
      <c r="F7" t="s">
        <v>96</v>
      </c>
      <c r="G7" t="s">
        <v>98</v>
      </c>
      <c r="H7" s="8">
        <f t="shared" si="0"/>
        <v>2017</v>
      </c>
      <c r="I7" s="24">
        <v>2.147565394528E-4</v>
      </c>
      <c r="J7" s="24">
        <v>2.41193935636364E-5</v>
      </c>
      <c r="K7" s="24">
        <v>1.03497696E-4</v>
      </c>
      <c r="L7" s="24">
        <v>1.3224761424E-4</v>
      </c>
    </row>
    <row r="8" spans="1:14" x14ac:dyDescent="0.25">
      <c r="A8" t="str">
        <f t="shared" si="1"/>
        <v>TER_TS_WH</v>
      </c>
      <c r="C8" t="s">
        <v>20</v>
      </c>
      <c r="D8" s="13" t="s">
        <v>21</v>
      </c>
      <c r="E8" t="s">
        <v>22</v>
      </c>
      <c r="F8" t="s">
        <v>129</v>
      </c>
      <c r="G8" t="s">
        <v>131</v>
      </c>
      <c r="H8" s="8">
        <f t="shared" si="0"/>
        <v>2017</v>
      </c>
      <c r="I8" s="24">
        <v>2.63564843873891E-4</v>
      </c>
      <c r="J8" s="24">
        <v>2.8426428128571401E-5</v>
      </c>
      <c r="K8" s="24">
        <v>1.2937212E-4</v>
      </c>
      <c r="L8" s="24">
        <v>1.5869713708800001E-4</v>
      </c>
    </row>
    <row r="9" spans="1:14" x14ac:dyDescent="0.25">
      <c r="A9" t="str">
        <f t="shared" si="1"/>
        <v>TER_TP_SC</v>
      </c>
      <c r="C9" t="s">
        <v>20</v>
      </c>
      <c r="D9" s="13" t="s">
        <v>21</v>
      </c>
      <c r="E9" t="s">
        <v>22</v>
      </c>
      <c r="F9" t="s">
        <v>96</v>
      </c>
      <c r="G9" t="s">
        <v>99</v>
      </c>
      <c r="H9" s="8">
        <f t="shared" si="0"/>
        <v>2017</v>
      </c>
      <c r="I9" s="24">
        <v>1.734712192E-5</v>
      </c>
      <c r="J9" s="24">
        <v>1.12701043636364E-4</v>
      </c>
      <c r="K9" s="24">
        <v>1.5630720000000001E-5</v>
      </c>
      <c r="L9" s="24">
        <v>1.4528196E-5</v>
      </c>
    </row>
    <row r="10" spans="1:14" x14ac:dyDescent="0.25">
      <c r="A10" t="str">
        <f t="shared" si="1"/>
        <v>TER_TS_SC</v>
      </c>
      <c r="C10" t="s">
        <v>20</v>
      </c>
      <c r="D10" s="13" t="s">
        <v>21</v>
      </c>
      <c r="E10" t="s">
        <v>22</v>
      </c>
      <c r="F10" t="s">
        <v>129</v>
      </c>
      <c r="G10" t="s">
        <v>132</v>
      </c>
      <c r="H10" s="8">
        <f t="shared" si="0"/>
        <v>2017</v>
      </c>
      <c r="I10" s="24">
        <v>2.66120620363636E-5</v>
      </c>
      <c r="J10" s="24">
        <v>9.4875878571428596E-5</v>
      </c>
      <c r="K10" s="24">
        <v>2.4423E-5</v>
      </c>
      <c r="L10" s="24">
        <v>2.1792294000000002E-5</v>
      </c>
    </row>
    <row r="11" spans="1:14" x14ac:dyDescent="0.25">
      <c r="A11" t="str">
        <f t="shared" si="1"/>
        <v>TER_TP_CK</v>
      </c>
      <c r="C11" t="s">
        <v>20</v>
      </c>
      <c r="D11" s="13" t="s">
        <v>21</v>
      </c>
      <c r="E11" t="s">
        <v>22</v>
      </c>
      <c r="F11" t="s">
        <v>96</v>
      </c>
      <c r="G11" t="s">
        <v>100</v>
      </c>
      <c r="H11" s="8">
        <f t="shared" si="0"/>
        <v>2017</v>
      </c>
      <c r="I11" s="24">
        <v>8.0000000000000002E-3</v>
      </c>
      <c r="J11" s="24">
        <v>8.0000000000000002E-3</v>
      </c>
      <c r="K11" s="24">
        <v>8.0000000000000002E-3</v>
      </c>
      <c r="L11" s="24">
        <v>8.0000000000000002E-3</v>
      </c>
    </row>
    <row r="12" spans="1:14" x14ac:dyDescent="0.25">
      <c r="A12" t="str">
        <f t="shared" si="1"/>
        <v>TER_TS_CK</v>
      </c>
      <c r="C12" t="s">
        <v>20</v>
      </c>
      <c r="D12" s="13" t="s">
        <v>21</v>
      </c>
      <c r="E12" t="s">
        <v>22</v>
      </c>
      <c r="F12" t="s">
        <v>129</v>
      </c>
      <c r="G12" t="s">
        <v>133</v>
      </c>
      <c r="H12" s="8">
        <f t="shared" si="0"/>
        <v>2017</v>
      </c>
      <c r="I12" s="24">
        <v>8.0000000000000002E-3</v>
      </c>
      <c r="J12" s="24">
        <v>8.0000000000000002E-3</v>
      </c>
      <c r="K12" s="24">
        <v>8.0000000000000002E-3</v>
      </c>
      <c r="L12" s="24">
        <v>8.0000000000000002E-3</v>
      </c>
    </row>
    <row r="13" spans="1:14" x14ac:dyDescent="0.25">
      <c r="A13" t="str">
        <f t="shared" si="1"/>
        <v>TER_TP_LI</v>
      </c>
      <c r="C13" t="s">
        <v>20</v>
      </c>
      <c r="D13" s="13" t="s">
        <v>21</v>
      </c>
      <c r="E13" t="s">
        <v>22</v>
      </c>
      <c r="F13" t="s">
        <v>96</v>
      </c>
      <c r="G13" t="s">
        <v>101</v>
      </c>
      <c r="H13" s="8">
        <f t="shared" si="0"/>
        <v>2017</v>
      </c>
      <c r="I13" s="24">
        <v>0.1</v>
      </c>
      <c r="J13" s="24">
        <v>0.1</v>
      </c>
      <c r="K13" s="24">
        <v>0.1</v>
      </c>
      <c r="L13" s="24">
        <v>0.1</v>
      </c>
    </row>
    <row r="14" spans="1:14" x14ac:dyDescent="0.25">
      <c r="A14" t="str">
        <f t="shared" si="1"/>
        <v>TER_TS_LI</v>
      </c>
      <c r="C14" t="s">
        <v>20</v>
      </c>
      <c r="D14" s="13" t="s">
        <v>21</v>
      </c>
      <c r="E14" t="s">
        <v>22</v>
      </c>
      <c r="F14" t="s">
        <v>129</v>
      </c>
      <c r="G14" t="s">
        <v>134</v>
      </c>
      <c r="H14" s="8">
        <f t="shared" si="0"/>
        <v>2017</v>
      </c>
      <c r="I14" s="24">
        <v>0.1</v>
      </c>
      <c r="J14" s="24">
        <v>0.1</v>
      </c>
      <c r="K14" s="24">
        <v>0.1</v>
      </c>
      <c r="L14" s="24">
        <v>0.1</v>
      </c>
    </row>
    <row r="15" spans="1:14" x14ac:dyDescent="0.25">
      <c r="A15" t="str">
        <f t="shared" si="1"/>
        <v>TER_TP_RF</v>
      </c>
      <c r="C15" t="s">
        <v>20</v>
      </c>
      <c r="D15" s="13" t="s">
        <v>21</v>
      </c>
      <c r="E15" t="s">
        <v>22</v>
      </c>
      <c r="F15" t="s">
        <v>96</v>
      </c>
      <c r="G15" t="s">
        <v>102</v>
      </c>
      <c r="H15" s="8">
        <f t="shared" si="0"/>
        <v>2017</v>
      </c>
      <c r="I15" s="24">
        <v>2E-3</v>
      </c>
      <c r="J15" s="24">
        <v>2E-3</v>
      </c>
      <c r="K15" s="24">
        <v>2E-3</v>
      </c>
      <c r="L15" s="24">
        <v>2E-3</v>
      </c>
    </row>
    <row r="16" spans="1:14" x14ac:dyDescent="0.25">
      <c r="A16" t="str">
        <f t="shared" si="1"/>
        <v>TER_TS_RF</v>
      </c>
      <c r="C16" t="s">
        <v>20</v>
      </c>
      <c r="D16" s="13" t="s">
        <v>21</v>
      </c>
      <c r="E16" t="s">
        <v>22</v>
      </c>
      <c r="F16" t="s">
        <v>129</v>
      </c>
      <c r="G16" t="s">
        <v>135</v>
      </c>
      <c r="H16" s="8">
        <f t="shared" si="0"/>
        <v>2017</v>
      </c>
      <c r="I16" s="24">
        <v>2E-3</v>
      </c>
      <c r="J16" s="24">
        <v>2E-3</v>
      </c>
      <c r="K16" s="24">
        <v>2E-3</v>
      </c>
      <c r="L16" s="24">
        <v>2E-3</v>
      </c>
    </row>
    <row r="17" spans="1:14" x14ac:dyDescent="0.25">
      <c r="A17" t="str">
        <f t="shared" si="1"/>
        <v>TER_TP_AP</v>
      </c>
      <c r="C17" t="s">
        <v>20</v>
      </c>
      <c r="D17" s="13" t="s">
        <v>21</v>
      </c>
      <c r="E17" t="s">
        <v>22</v>
      </c>
      <c r="F17" t="s">
        <v>96</v>
      </c>
      <c r="G17" t="s">
        <v>103</v>
      </c>
      <c r="H17" s="8">
        <f t="shared" si="0"/>
        <v>2017</v>
      </c>
      <c r="I17" s="24">
        <v>1.4999999999999999E-2</v>
      </c>
      <c r="J17" s="24">
        <v>1.4999999999999999E-2</v>
      </c>
      <c r="K17" s="24">
        <v>1.4999999999999999E-2</v>
      </c>
      <c r="L17" s="24">
        <v>1.4999999999999999E-2</v>
      </c>
    </row>
    <row r="18" spans="1:14" ht="13.8" thickBot="1" x14ac:dyDescent="0.3">
      <c r="A18" s="14" t="str">
        <f t="shared" si="1"/>
        <v>TER_TS_AP</v>
      </c>
      <c r="B18" s="14"/>
      <c r="C18" s="14" t="s">
        <v>20</v>
      </c>
      <c r="D18" s="15" t="s">
        <v>21</v>
      </c>
      <c r="E18" s="14" t="s">
        <v>22</v>
      </c>
      <c r="F18" s="14" t="s">
        <v>129</v>
      </c>
      <c r="G18" s="14" t="s">
        <v>136</v>
      </c>
      <c r="H18" s="16">
        <f t="shared" si="0"/>
        <v>2017</v>
      </c>
      <c r="I18" s="24">
        <v>1.4999999999999999E-2</v>
      </c>
      <c r="J18" s="24">
        <v>1.4999999999999999E-2</v>
      </c>
      <c r="K18" s="24">
        <v>1.4999999999999999E-2</v>
      </c>
      <c r="L18" s="24">
        <v>1.4999999999999999E-2</v>
      </c>
      <c r="M18" s="14"/>
    </row>
    <row r="19" spans="1:14" ht="13.8" thickTop="1" x14ac:dyDescent="0.25">
      <c r="A19" s="17" t="str">
        <f>LEFT(F19,13)</f>
        <v>TER_TP_SH_SUB</v>
      </c>
      <c r="C19" t="s">
        <v>20</v>
      </c>
      <c r="D19" s="13" t="s">
        <v>21</v>
      </c>
      <c r="E19" s="17" t="s">
        <v>23</v>
      </c>
      <c r="F19" s="17" t="s">
        <v>355</v>
      </c>
      <c r="H19" s="8">
        <f t="shared" si="0"/>
        <v>2017</v>
      </c>
      <c r="I19" s="24">
        <v>0.15</v>
      </c>
      <c r="J19" s="24">
        <v>0.15</v>
      </c>
      <c r="K19" s="24">
        <v>0.15</v>
      </c>
      <c r="L19" s="24">
        <v>0.15</v>
      </c>
      <c r="N19" s="18" t="s">
        <v>24</v>
      </c>
    </row>
    <row r="20" spans="1:14" x14ac:dyDescent="0.25">
      <c r="A20" s="17" t="str">
        <f t="shared" ref="A20:A41" si="2">LEFT(F20,13)</f>
        <v>TER_TP_SH_BIC</v>
      </c>
      <c r="C20" t="s">
        <v>20</v>
      </c>
      <c r="D20" s="13" t="s">
        <v>21</v>
      </c>
      <c r="E20" s="17" t="s">
        <v>23</v>
      </c>
      <c r="F20" s="17" t="s">
        <v>104</v>
      </c>
      <c r="H20" s="8">
        <f t="shared" si="0"/>
        <v>2017</v>
      </c>
      <c r="I20" s="24">
        <v>0.20820046061897499</v>
      </c>
      <c r="J20" s="24">
        <v>0.2</v>
      </c>
      <c r="K20" s="24">
        <v>0.2</v>
      </c>
      <c r="L20" s="24">
        <v>0.2</v>
      </c>
    </row>
    <row r="21" spans="1:14" x14ac:dyDescent="0.25">
      <c r="A21" s="17" t="str">
        <f t="shared" si="2"/>
        <v>TER_TP_SH_BCO</v>
      </c>
      <c r="C21" t="s">
        <v>20</v>
      </c>
      <c r="D21" s="13" t="s">
        <v>21</v>
      </c>
      <c r="E21" s="17" t="s">
        <v>23</v>
      </c>
      <c r="F21" s="17" t="s">
        <v>370</v>
      </c>
      <c r="H21" s="8">
        <f t="shared" si="0"/>
        <v>2017</v>
      </c>
      <c r="I21" s="24">
        <v>0.22902050668087301</v>
      </c>
      <c r="J21" s="24">
        <v>0.2</v>
      </c>
      <c r="K21" s="24">
        <v>0.2</v>
      </c>
      <c r="L21" s="24">
        <v>0.189524059874429</v>
      </c>
    </row>
    <row r="22" spans="1:14" x14ac:dyDescent="0.25">
      <c r="A22" s="17" t="str">
        <f t="shared" si="2"/>
        <v>TER_TP_SH_BKB</v>
      </c>
      <c r="C22" t="s">
        <v>20</v>
      </c>
      <c r="D22" s="13" t="s">
        <v>21</v>
      </c>
      <c r="E22" s="17" t="s">
        <v>23</v>
      </c>
      <c r="F22" s="17" t="s">
        <v>105</v>
      </c>
      <c r="H22" s="8">
        <f t="shared" si="0"/>
        <v>2017</v>
      </c>
      <c r="I22" s="24">
        <v>0.2</v>
      </c>
      <c r="J22" s="24">
        <v>0.2</v>
      </c>
      <c r="K22" s="24">
        <v>0.2</v>
      </c>
      <c r="L22" s="24">
        <v>0.2</v>
      </c>
    </row>
    <row r="23" spans="1:14" x14ac:dyDescent="0.25">
      <c r="A23" s="17" t="str">
        <f t="shared" si="2"/>
        <v>TER_TP_SH_DSL</v>
      </c>
      <c r="C23" t="s">
        <v>20</v>
      </c>
      <c r="D23" s="13" t="s">
        <v>21</v>
      </c>
      <c r="E23" s="17" t="s">
        <v>23</v>
      </c>
      <c r="F23" s="17" t="s">
        <v>106</v>
      </c>
      <c r="H23" s="8">
        <f t="shared" si="0"/>
        <v>2017</v>
      </c>
      <c r="I23" s="24">
        <v>0.31230069092846302</v>
      </c>
      <c r="J23" s="24">
        <v>0.2</v>
      </c>
      <c r="K23" s="24">
        <v>0.2</v>
      </c>
      <c r="L23" s="24">
        <v>0.25844189982876697</v>
      </c>
    </row>
    <row r="24" spans="1:14" x14ac:dyDescent="0.25">
      <c r="A24" s="17" t="str">
        <f t="shared" si="2"/>
        <v>TER_TP_SH_HFO</v>
      </c>
      <c r="C24" t="s">
        <v>20</v>
      </c>
      <c r="D24" s="13" t="s">
        <v>21</v>
      </c>
      <c r="E24" s="17" t="s">
        <v>23</v>
      </c>
      <c r="F24" s="17" t="s">
        <v>107</v>
      </c>
      <c r="H24" s="8">
        <f t="shared" si="0"/>
        <v>2017</v>
      </c>
      <c r="I24" s="24">
        <v>0.291480644866565</v>
      </c>
      <c r="J24" s="24">
        <v>5.5375021170610203E-2</v>
      </c>
      <c r="K24" s="24">
        <v>0.26764931506849299</v>
      </c>
      <c r="L24" s="24">
        <v>0.2</v>
      </c>
    </row>
    <row r="25" spans="1:14" x14ac:dyDescent="0.25">
      <c r="A25" s="17" t="str">
        <f t="shared" si="2"/>
        <v>TER_TP_SH_GAS</v>
      </c>
      <c r="C25" t="s">
        <v>20</v>
      </c>
      <c r="D25" s="13" t="s">
        <v>21</v>
      </c>
      <c r="E25" s="17" t="s">
        <v>23</v>
      </c>
      <c r="F25" s="17" t="s">
        <v>108</v>
      </c>
      <c r="H25" s="8">
        <f t="shared" si="0"/>
        <v>2017</v>
      </c>
      <c r="I25" s="24">
        <v>0.33312073699035999</v>
      </c>
      <c r="J25" s="24">
        <v>6.3285738480697407E-2</v>
      </c>
      <c r="K25" s="24">
        <v>0.30588493150684898</v>
      </c>
      <c r="L25" s="24">
        <v>0.27567135981735202</v>
      </c>
    </row>
    <row r="26" spans="1:14" x14ac:dyDescent="0.25">
      <c r="A26" s="17" t="str">
        <f>LEFT(F26,13)</f>
        <v>TER_TP_SH_LTH</v>
      </c>
      <c r="C26" t="s">
        <v>20</v>
      </c>
      <c r="D26" s="13" t="s">
        <v>21</v>
      </c>
      <c r="E26" s="17" t="s">
        <v>23</v>
      </c>
      <c r="F26" s="17" t="s">
        <v>109</v>
      </c>
      <c r="H26" s="8">
        <f t="shared" si="0"/>
        <v>2017</v>
      </c>
      <c r="I26" s="24">
        <v>0.35394078305225801</v>
      </c>
      <c r="J26" s="24">
        <v>6.7241097135741001E-2</v>
      </c>
      <c r="K26" s="24">
        <v>0.325002739726028</v>
      </c>
      <c r="L26" s="24">
        <v>0.29290081980593602</v>
      </c>
    </row>
    <row r="27" spans="1:14" x14ac:dyDescent="0.25">
      <c r="A27" s="17" t="str">
        <f t="shared" si="2"/>
        <v>TER_TP_SH_LOG</v>
      </c>
      <c r="C27" t="s">
        <v>20</v>
      </c>
      <c r="D27" s="13" t="s">
        <v>21</v>
      </c>
      <c r="E27" s="17" t="s">
        <v>23</v>
      </c>
      <c r="F27" s="17" t="s">
        <v>110</v>
      </c>
      <c r="H27" s="8">
        <f t="shared" ref="H27:H41" si="3">BASE_YEAR</f>
        <v>2017</v>
      </c>
      <c r="I27" s="24">
        <v>0.2</v>
      </c>
      <c r="J27" s="24">
        <v>4.3508945205479502E-2</v>
      </c>
      <c r="K27" s="24">
        <v>0.2</v>
      </c>
      <c r="L27" s="24">
        <v>0.2</v>
      </c>
    </row>
    <row r="28" spans="1:14" x14ac:dyDescent="0.25">
      <c r="A28" s="17" t="str">
        <f t="shared" si="2"/>
        <v>TER_TP_SH_ELC</v>
      </c>
      <c r="C28" t="s">
        <v>20</v>
      </c>
      <c r="D28" s="13" t="s">
        <v>21</v>
      </c>
      <c r="E28" s="17" t="s">
        <v>23</v>
      </c>
      <c r="F28" s="17" t="s">
        <v>111</v>
      </c>
      <c r="H28" s="8">
        <f t="shared" si="3"/>
        <v>2017</v>
      </c>
      <c r="I28" s="24">
        <v>0.53537261302022199</v>
      </c>
      <c r="J28" s="24">
        <v>0.10170922255826401</v>
      </c>
      <c r="K28" s="24">
        <v>0.49160078277886499</v>
      </c>
      <c r="L28" s="24">
        <v>0.443043256849315</v>
      </c>
    </row>
    <row r="29" spans="1:14" x14ac:dyDescent="0.25">
      <c r="A29" s="17" t="str">
        <f t="shared" si="2"/>
        <v>TER_TP_SH_LPG</v>
      </c>
      <c r="C29" t="s">
        <v>20</v>
      </c>
      <c r="D29" s="13" t="s">
        <v>21</v>
      </c>
      <c r="E29" s="17" t="s">
        <v>23</v>
      </c>
      <c r="F29" s="17" t="s">
        <v>112</v>
      </c>
      <c r="H29" s="8">
        <f t="shared" si="3"/>
        <v>2017</v>
      </c>
      <c r="I29" s="24">
        <v>0.2</v>
      </c>
      <c r="J29" s="24">
        <v>0.2</v>
      </c>
      <c r="K29" s="24">
        <v>0.2</v>
      </c>
      <c r="L29" s="24">
        <v>0.2</v>
      </c>
    </row>
    <row r="30" spans="1:14" x14ac:dyDescent="0.25">
      <c r="A30" s="17" t="str">
        <f t="shared" si="2"/>
        <v>TER_TS_SH_SUB</v>
      </c>
      <c r="C30" t="s">
        <v>20</v>
      </c>
      <c r="D30" s="13" t="s">
        <v>21</v>
      </c>
      <c r="E30" s="17" t="s">
        <v>23</v>
      </c>
      <c r="F30" s="17" t="s">
        <v>356</v>
      </c>
      <c r="H30" s="8">
        <f t="shared" si="3"/>
        <v>2017</v>
      </c>
      <c r="I30" s="24">
        <v>0.25</v>
      </c>
      <c r="J30" s="24">
        <v>0.25</v>
      </c>
      <c r="K30" s="24">
        <v>0.25</v>
      </c>
      <c r="L30" s="24">
        <v>0.25</v>
      </c>
    </row>
    <row r="31" spans="1:14" x14ac:dyDescent="0.25">
      <c r="A31" s="17" t="str">
        <f t="shared" si="2"/>
        <v>TER_TS_SH_BIC</v>
      </c>
      <c r="C31" t="s">
        <v>20</v>
      </c>
      <c r="D31" s="13" t="s">
        <v>21</v>
      </c>
      <c r="E31" s="17" t="s">
        <v>23</v>
      </c>
      <c r="F31" s="17" t="s">
        <v>137</v>
      </c>
      <c r="H31" s="8">
        <f t="shared" si="3"/>
        <v>2017</v>
      </c>
      <c r="I31" s="24">
        <v>0.25248084049813202</v>
      </c>
      <c r="J31" s="24">
        <v>0.25</v>
      </c>
      <c r="K31" s="24">
        <v>0.25</v>
      </c>
      <c r="L31" s="24">
        <v>0.25</v>
      </c>
    </row>
    <row r="32" spans="1:14" x14ac:dyDescent="0.25">
      <c r="A32" s="17" t="str">
        <f t="shared" si="2"/>
        <v>TER_TS_SH_BCO</v>
      </c>
      <c r="C32" t="s">
        <v>20</v>
      </c>
      <c r="D32" s="13" t="s">
        <v>21</v>
      </c>
      <c r="E32" s="17" t="s">
        <v>23</v>
      </c>
      <c r="F32" s="17" t="s">
        <v>371</v>
      </c>
      <c r="H32" s="8">
        <f t="shared" si="3"/>
        <v>2017</v>
      </c>
      <c r="I32" s="24">
        <v>0.27772892454794501</v>
      </c>
      <c r="J32" s="24">
        <v>0.25</v>
      </c>
      <c r="K32" s="24">
        <v>0.25</v>
      </c>
      <c r="L32" s="24">
        <v>0.22469239657534201</v>
      </c>
    </row>
    <row r="33" spans="1:15" x14ac:dyDescent="0.25">
      <c r="A33" s="17" t="str">
        <f t="shared" si="2"/>
        <v>TER_TS_SH_BKB</v>
      </c>
      <c r="C33" t="s">
        <v>20</v>
      </c>
      <c r="D33" s="13" t="s">
        <v>21</v>
      </c>
      <c r="E33" s="17" t="s">
        <v>23</v>
      </c>
      <c r="F33" s="17" t="s">
        <v>138</v>
      </c>
      <c r="H33" s="8">
        <f t="shared" si="3"/>
        <v>2017</v>
      </c>
      <c r="I33" s="24">
        <v>0.25</v>
      </c>
      <c r="J33" s="24">
        <v>0.25</v>
      </c>
      <c r="K33" s="24">
        <v>0.25</v>
      </c>
      <c r="L33" s="24">
        <v>0.25</v>
      </c>
    </row>
    <row r="34" spans="1:15" x14ac:dyDescent="0.25">
      <c r="A34" s="17" t="str">
        <f t="shared" si="2"/>
        <v>TER_TS_SH_DSL</v>
      </c>
      <c r="C34" t="s">
        <v>20</v>
      </c>
      <c r="D34" s="13" t="s">
        <v>21</v>
      </c>
      <c r="E34" s="17" t="s">
        <v>23</v>
      </c>
      <c r="F34" s="17" t="s">
        <v>139</v>
      </c>
      <c r="H34" s="8">
        <f t="shared" si="3"/>
        <v>2017</v>
      </c>
      <c r="I34" s="24">
        <v>0.37872126074719797</v>
      </c>
      <c r="J34" s="24">
        <v>0.25</v>
      </c>
      <c r="K34" s="24">
        <v>0.25</v>
      </c>
      <c r="L34" s="24">
        <v>0.30639872260273998</v>
      </c>
    </row>
    <row r="35" spans="1:15" x14ac:dyDescent="0.25">
      <c r="A35" s="17" t="str">
        <f t="shared" si="2"/>
        <v>TER_TS_SH_HFO</v>
      </c>
      <c r="C35" t="s">
        <v>20</v>
      </c>
      <c r="D35" s="13" t="s">
        <v>21</v>
      </c>
      <c r="E35" s="17" t="s">
        <v>23</v>
      </c>
      <c r="F35" s="17" t="s">
        <v>140</v>
      </c>
      <c r="H35" s="8">
        <f t="shared" si="3"/>
        <v>2017</v>
      </c>
      <c r="I35" s="24">
        <v>0.35347317669738498</v>
      </c>
      <c r="J35" s="24">
        <v>5.8524390410958901E-2</v>
      </c>
      <c r="K35" s="24">
        <v>0.33065842465753398</v>
      </c>
      <c r="L35" s="24">
        <v>0.25</v>
      </c>
    </row>
    <row r="36" spans="1:15" x14ac:dyDescent="0.25">
      <c r="A36" s="17" t="str">
        <f t="shared" si="2"/>
        <v>TER_TS_SH_GAS</v>
      </c>
      <c r="C36" t="s">
        <v>20</v>
      </c>
      <c r="D36" s="13" t="s">
        <v>21</v>
      </c>
      <c r="E36" s="17" t="s">
        <v>23</v>
      </c>
      <c r="F36" s="17" t="s">
        <v>141</v>
      </c>
      <c r="H36" s="8">
        <f t="shared" si="3"/>
        <v>2017</v>
      </c>
      <c r="I36" s="24">
        <v>0.40396934479701102</v>
      </c>
      <c r="J36" s="24">
        <v>6.6885017612524494E-2</v>
      </c>
      <c r="K36" s="24">
        <v>0.37789534246575301</v>
      </c>
      <c r="L36" s="24">
        <v>0.32682530410958899</v>
      </c>
    </row>
    <row r="37" spans="1:15" x14ac:dyDescent="0.25">
      <c r="A37" s="17" t="str">
        <f t="shared" si="2"/>
        <v>TER_TS_SH_LTH</v>
      </c>
      <c r="C37" t="s">
        <v>20</v>
      </c>
      <c r="D37" s="13" t="s">
        <v>21</v>
      </c>
      <c r="E37" s="17" t="s">
        <v>23</v>
      </c>
      <c r="F37" s="17" t="s">
        <v>142</v>
      </c>
      <c r="H37" s="8">
        <f t="shared" si="3"/>
        <v>2017</v>
      </c>
      <c r="I37" s="24">
        <v>0.42921742884682401</v>
      </c>
      <c r="J37" s="24">
        <v>7.1065331213307201E-2</v>
      </c>
      <c r="K37" s="24">
        <v>0.40151380136986298</v>
      </c>
      <c r="L37" s="24">
        <v>0.34725188561643799</v>
      </c>
    </row>
    <row r="38" spans="1:15" x14ac:dyDescent="0.25">
      <c r="A38" s="17" t="str">
        <f t="shared" si="2"/>
        <v>TER_TS_SH_LOG</v>
      </c>
      <c r="C38" t="s">
        <v>20</v>
      </c>
      <c r="D38" s="13" t="s">
        <v>21</v>
      </c>
      <c r="E38" s="17" t="s">
        <v>23</v>
      </c>
      <c r="F38" s="17" t="s">
        <v>143</v>
      </c>
      <c r="H38" s="8">
        <f t="shared" si="3"/>
        <v>2017</v>
      </c>
      <c r="I38" s="24">
        <v>0.25</v>
      </c>
      <c r="J38" s="24">
        <v>4.5983449608610602E-2</v>
      </c>
      <c r="K38" s="24">
        <v>0.25</v>
      </c>
      <c r="L38" s="24">
        <v>0.25</v>
      </c>
    </row>
    <row r="39" spans="1:15" x14ac:dyDescent="0.25">
      <c r="A39" s="17" t="str">
        <f t="shared" si="2"/>
        <v>TER_TS_SH_ELC</v>
      </c>
      <c r="C39" t="s">
        <v>20</v>
      </c>
      <c r="D39" s="13" t="s">
        <v>21</v>
      </c>
      <c r="E39" s="17" t="s">
        <v>23</v>
      </c>
      <c r="F39" s="17" t="s">
        <v>144</v>
      </c>
      <c r="H39" s="8">
        <f t="shared" si="3"/>
        <v>2017</v>
      </c>
      <c r="I39" s="24">
        <v>0.4</v>
      </c>
      <c r="J39" s="24">
        <v>0.107493778305843</v>
      </c>
      <c r="K39" s="24">
        <v>0.4</v>
      </c>
      <c r="L39" s="24">
        <v>0.4</v>
      </c>
    </row>
    <row r="40" spans="1:15" x14ac:dyDescent="0.25">
      <c r="A40" s="17" t="str">
        <f t="shared" si="2"/>
        <v>TER_TS_SH_GEO</v>
      </c>
      <c r="C40" t="s">
        <v>20</v>
      </c>
      <c r="D40" s="13" t="s">
        <v>21</v>
      </c>
      <c r="E40" s="17" t="s">
        <v>23</v>
      </c>
      <c r="F40" s="17" t="s">
        <v>145</v>
      </c>
      <c r="H40" s="8">
        <f t="shared" si="3"/>
        <v>2017</v>
      </c>
      <c r="I40" s="24">
        <v>0.25</v>
      </c>
      <c r="J40" s="24">
        <v>0.25</v>
      </c>
      <c r="K40" s="24">
        <v>0.25</v>
      </c>
      <c r="L40" s="24">
        <v>0.25</v>
      </c>
    </row>
    <row r="41" spans="1:15" ht="13.8" thickBot="1" x14ac:dyDescent="0.3">
      <c r="A41" s="19" t="str">
        <f t="shared" si="2"/>
        <v>TER_TS_SH_LPG</v>
      </c>
      <c r="B41" s="14"/>
      <c r="C41" s="14" t="s">
        <v>20</v>
      </c>
      <c r="D41" s="15" t="s">
        <v>21</v>
      </c>
      <c r="E41" s="19" t="s">
        <v>23</v>
      </c>
      <c r="F41" s="19" t="s">
        <v>146</v>
      </c>
      <c r="G41" s="14"/>
      <c r="H41" s="16">
        <f t="shared" si="3"/>
        <v>2017</v>
      </c>
      <c r="I41" s="24">
        <v>0.25</v>
      </c>
      <c r="J41" s="24">
        <v>0.25</v>
      </c>
      <c r="K41" s="24">
        <v>0.25</v>
      </c>
      <c r="L41" s="24">
        <v>0.25</v>
      </c>
      <c r="M41" s="14"/>
      <c r="N41" s="14"/>
      <c r="O41" s="14"/>
    </row>
    <row r="42" spans="1:15" ht="13.8" thickTop="1" x14ac:dyDescent="0.25">
      <c r="A42" s="17" t="str">
        <f t="shared" ref="A42:A68" si="4">LEFT(F42,13)</f>
        <v>TER_TP_SC_ELC</v>
      </c>
      <c r="C42" t="s">
        <v>20</v>
      </c>
      <c r="D42" s="13" t="s">
        <v>21</v>
      </c>
      <c r="E42" s="17" t="s">
        <v>23</v>
      </c>
      <c r="F42" s="18" t="s">
        <v>113</v>
      </c>
      <c r="H42" s="8">
        <f t="shared" ref="H42:H58" si="5">BASE_YEAR</f>
        <v>2017</v>
      </c>
      <c r="I42" s="24">
        <v>1.83357875866734E-2</v>
      </c>
      <c r="J42" s="24">
        <v>0.11912422166874199</v>
      </c>
      <c r="K42" s="24">
        <v>1.6521562658549E-2</v>
      </c>
      <c r="L42" s="24">
        <v>1.5356202435311999E-2</v>
      </c>
      <c r="N42" s="18" t="s">
        <v>25</v>
      </c>
    </row>
    <row r="43" spans="1:15" ht="13.8" thickBot="1" x14ac:dyDescent="0.3">
      <c r="A43" s="19" t="str">
        <f t="shared" si="4"/>
        <v>TER_TS_SC_ELC</v>
      </c>
      <c r="B43" s="14"/>
      <c r="C43" s="14" t="s">
        <v>20</v>
      </c>
      <c r="D43" s="15" t="s">
        <v>21</v>
      </c>
      <c r="E43" s="19" t="s">
        <v>23</v>
      </c>
      <c r="F43" s="20" t="s">
        <v>147</v>
      </c>
      <c r="G43" s="14"/>
      <c r="H43" s="16">
        <f t="shared" si="5"/>
        <v>2017</v>
      </c>
      <c r="I43" s="24">
        <v>4.2193147571606499E-2</v>
      </c>
      <c r="J43" s="24">
        <v>0.15042471868884499</v>
      </c>
      <c r="K43" s="24">
        <v>3.8722412480974099E-2</v>
      </c>
      <c r="L43" s="24">
        <v>3.4551455479452001E-2</v>
      </c>
      <c r="M43" s="14"/>
      <c r="N43" s="14"/>
    </row>
    <row r="44" spans="1:15" ht="13.8" thickTop="1" x14ac:dyDescent="0.25">
      <c r="A44" s="17" t="str">
        <f t="shared" si="4"/>
        <v>TER_TP_WH_BIC</v>
      </c>
      <c r="C44" t="s">
        <v>20</v>
      </c>
      <c r="D44" s="13" t="s">
        <v>21</v>
      </c>
      <c r="E44" s="17" t="s">
        <v>23</v>
      </c>
      <c r="F44" t="s">
        <v>357</v>
      </c>
      <c r="H44" s="8">
        <f t="shared" si="5"/>
        <v>2017</v>
      </c>
      <c r="I44" s="24">
        <v>3.4448411673262298E-2</v>
      </c>
      <c r="J44" s="24">
        <v>0.02</v>
      </c>
      <c r="K44" s="24">
        <v>0.02</v>
      </c>
      <c r="L44" s="24">
        <v>0.02</v>
      </c>
      <c r="N44" s="18" t="s">
        <v>26</v>
      </c>
    </row>
    <row r="45" spans="1:15" x14ac:dyDescent="0.25">
      <c r="A45" s="17" t="str">
        <f t="shared" si="4"/>
        <v>TER_TP_WH_GAS</v>
      </c>
      <c r="C45" t="s">
        <v>20</v>
      </c>
      <c r="D45" s="13" t="s">
        <v>21</v>
      </c>
      <c r="E45" s="17" t="s">
        <v>23</v>
      </c>
      <c r="F45" t="s">
        <v>114</v>
      </c>
      <c r="H45" s="8">
        <f t="shared" si="5"/>
        <v>2017</v>
      </c>
      <c r="I45" s="24">
        <v>5.1672617509893499E-2</v>
      </c>
      <c r="J45" s="24">
        <v>5.8627945205479504E-3</v>
      </c>
      <c r="K45" s="24">
        <v>2.5596621004566202E-2</v>
      </c>
      <c r="L45" s="24">
        <v>3.1549959589041103E-2</v>
      </c>
      <c r="N45" s="18"/>
    </row>
    <row r="46" spans="1:15" x14ac:dyDescent="0.25">
      <c r="A46" s="17" t="str">
        <f t="shared" si="4"/>
        <v>TER_TP_WH_LTH</v>
      </c>
      <c r="C46" t="s">
        <v>20</v>
      </c>
      <c r="D46" s="13" t="s">
        <v>21</v>
      </c>
      <c r="E46" s="17" t="s">
        <v>23</v>
      </c>
      <c r="F46" t="s">
        <v>115</v>
      </c>
      <c r="H46" s="8">
        <f t="shared" si="5"/>
        <v>2017</v>
      </c>
      <c r="I46" s="24">
        <v>6.2007141011872102E-2</v>
      </c>
      <c r="J46" s="24">
        <v>7.0353534246575299E-3</v>
      </c>
      <c r="K46" s="24">
        <v>3.0715945205479399E-2</v>
      </c>
      <c r="L46" s="24">
        <v>3.7859951506849301E-2</v>
      </c>
    </row>
    <row r="47" spans="1:15" x14ac:dyDescent="0.25">
      <c r="A47" s="17" t="str">
        <f t="shared" si="4"/>
        <v>TER_TP_WH_LPG</v>
      </c>
      <c r="C47" t="s">
        <v>20</v>
      </c>
      <c r="D47" s="13" t="s">
        <v>21</v>
      </c>
      <c r="E47" s="17" t="s">
        <v>23</v>
      </c>
      <c r="F47" t="s">
        <v>116</v>
      </c>
      <c r="H47" s="8">
        <f t="shared" si="5"/>
        <v>2017</v>
      </c>
      <c r="I47" s="24">
        <v>0.04</v>
      </c>
      <c r="J47" s="24">
        <v>0.02</v>
      </c>
      <c r="K47" s="24">
        <v>0.02</v>
      </c>
      <c r="L47" s="24">
        <v>0.02</v>
      </c>
    </row>
    <row r="48" spans="1:15" x14ac:dyDescent="0.25">
      <c r="A48" s="17" t="str">
        <f t="shared" si="4"/>
        <v>TER_TP_WH_LOG</v>
      </c>
      <c r="C48" t="s">
        <v>20</v>
      </c>
      <c r="D48" s="13" t="s">
        <v>21</v>
      </c>
      <c r="E48" s="17" t="s">
        <v>23</v>
      </c>
      <c r="F48" t="s">
        <v>117</v>
      </c>
      <c r="H48" s="8">
        <f t="shared" si="5"/>
        <v>2017</v>
      </c>
      <c r="I48" s="24">
        <v>0.04</v>
      </c>
      <c r="J48" s="24">
        <v>0.02</v>
      </c>
      <c r="K48" s="24">
        <v>0.02</v>
      </c>
      <c r="L48" s="24">
        <v>0.02</v>
      </c>
    </row>
    <row r="49" spans="1:14" x14ac:dyDescent="0.25">
      <c r="A49" s="17" t="str">
        <f t="shared" si="4"/>
        <v>TER_TP_WH_DSL</v>
      </c>
      <c r="C49" t="s">
        <v>20</v>
      </c>
      <c r="D49" s="13" t="s">
        <v>21</v>
      </c>
      <c r="E49" s="17" t="s">
        <v>23</v>
      </c>
      <c r="F49" t="s">
        <v>118</v>
      </c>
      <c r="H49" s="8">
        <f t="shared" si="5"/>
        <v>2017</v>
      </c>
      <c r="I49" s="24">
        <v>3.7893252840588497E-2</v>
      </c>
      <c r="J49" s="24">
        <v>0.02</v>
      </c>
      <c r="K49" s="24">
        <v>0.02</v>
      </c>
      <c r="L49" s="24">
        <v>2.3136637031963499E-2</v>
      </c>
    </row>
    <row r="50" spans="1:14" x14ac:dyDescent="0.25">
      <c r="A50" s="17" t="str">
        <f t="shared" si="4"/>
        <v>TER_TP_WH_ELC</v>
      </c>
      <c r="C50" t="s">
        <v>20</v>
      </c>
      <c r="D50" s="13" t="s">
        <v>21</v>
      </c>
      <c r="E50" s="17" t="s">
        <v>23</v>
      </c>
      <c r="F50" t="s">
        <v>119</v>
      </c>
      <c r="H50" s="8">
        <f t="shared" si="5"/>
        <v>2017</v>
      </c>
      <c r="I50" s="24">
        <v>1.7716326003391999E-2</v>
      </c>
      <c r="J50" s="24">
        <v>2.0101009784735798E-3</v>
      </c>
      <c r="K50" s="24">
        <v>8.7759843444226993E-3</v>
      </c>
      <c r="L50" s="24">
        <v>1.08171290019569E-2</v>
      </c>
    </row>
    <row r="51" spans="1:14" x14ac:dyDescent="0.25">
      <c r="A51" s="17" t="str">
        <f t="shared" si="4"/>
        <v>TER_TS_WH_BIC</v>
      </c>
      <c r="C51" t="s">
        <v>20</v>
      </c>
      <c r="D51" s="13" t="s">
        <v>21</v>
      </c>
      <c r="E51" s="17" t="s">
        <v>23</v>
      </c>
      <c r="F51" t="s">
        <v>358</v>
      </c>
      <c r="H51" s="8">
        <f t="shared" si="5"/>
        <v>2017</v>
      </c>
      <c r="I51" s="24">
        <v>4.22775961444583E-2</v>
      </c>
      <c r="J51" s="24">
        <v>0.02</v>
      </c>
      <c r="K51" s="24">
        <v>0.02</v>
      </c>
      <c r="L51" s="24">
        <v>0.02</v>
      </c>
    </row>
    <row r="52" spans="1:14" x14ac:dyDescent="0.25">
      <c r="A52" s="17" t="str">
        <f t="shared" si="4"/>
        <v>TER_TS_WH_BKB</v>
      </c>
      <c r="C52" t="s">
        <v>20</v>
      </c>
      <c r="D52" s="13" t="s">
        <v>21</v>
      </c>
      <c r="E52" s="17" t="s">
        <v>23</v>
      </c>
      <c r="F52" t="s">
        <v>148</v>
      </c>
      <c r="H52" s="8">
        <f t="shared" si="5"/>
        <v>2017</v>
      </c>
      <c r="I52" s="24">
        <v>0.05</v>
      </c>
      <c r="J52" s="24">
        <v>0.02</v>
      </c>
      <c r="K52" s="24">
        <v>0.02</v>
      </c>
      <c r="L52" s="24">
        <v>0.02</v>
      </c>
    </row>
    <row r="53" spans="1:14" x14ac:dyDescent="0.25">
      <c r="A53" s="17" t="str">
        <f t="shared" si="4"/>
        <v>TER_TS_WH_GAS</v>
      </c>
      <c r="C53" t="s">
        <v>20</v>
      </c>
      <c r="D53" s="13" t="s">
        <v>21</v>
      </c>
      <c r="E53" s="17" t="s">
        <v>23</v>
      </c>
      <c r="F53" t="s">
        <v>149</v>
      </c>
      <c r="H53" s="8">
        <f t="shared" si="5"/>
        <v>2017</v>
      </c>
      <c r="I53" s="24">
        <v>6.3416394216687405E-2</v>
      </c>
      <c r="J53" s="24">
        <v>6.9097221135029302E-3</v>
      </c>
      <c r="K53" s="24">
        <v>3.1995776255707799E-2</v>
      </c>
      <c r="L53" s="24">
        <v>3.7859951506849301E-2</v>
      </c>
    </row>
    <row r="54" spans="1:14" x14ac:dyDescent="0.25">
      <c r="A54" s="17" t="str">
        <f t="shared" si="4"/>
        <v>TER_TS_WH_LTH</v>
      </c>
      <c r="C54" t="s">
        <v>20</v>
      </c>
      <c r="D54" s="13" t="s">
        <v>21</v>
      </c>
      <c r="E54" s="17" t="s">
        <v>23</v>
      </c>
      <c r="F54" t="s">
        <v>150</v>
      </c>
      <c r="H54" s="8">
        <f t="shared" si="5"/>
        <v>2017</v>
      </c>
      <c r="I54" s="24">
        <v>7.6099673060024894E-2</v>
      </c>
      <c r="J54" s="24">
        <v>8.2916665362035204E-3</v>
      </c>
      <c r="K54" s="24">
        <v>3.8394931506849299E-2</v>
      </c>
      <c r="L54" s="24">
        <v>4.5431941808219203E-2</v>
      </c>
    </row>
    <row r="55" spans="1:14" x14ac:dyDescent="0.25">
      <c r="A55" s="17" t="str">
        <f t="shared" si="4"/>
        <v>TER_TS_WH_LPG</v>
      </c>
      <c r="C55" t="s">
        <v>20</v>
      </c>
      <c r="D55" s="13" t="s">
        <v>21</v>
      </c>
      <c r="E55" s="17" t="s">
        <v>23</v>
      </c>
      <c r="F55" t="s">
        <v>151</v>
      </c>
      <c r="H55" s="8">
        <f t="shared" si="5"/>
        <v>2017</v>
      </c>
      <c r="I55" s="24">
        <v>0.05</v>
      </c>
      <c r="J55" s="24">
        <v>0.02</v>
      </c>
      <c r="K55" s="24">
        <v>0.02</v>
      </c>
      <c r="L55" s="24">
        <v>0.02</v>
      </c>
    </row>
    <row r="56" spans="1:14" x14ac:dyDescent="0.25">
      <c r="A56" s="17" t="str">
        <f t="shared" si="4"/>
        <v>TER_TS_WH_LOG</v>
      </c>
      <c r="C56" t="s">
        <v>20</v>
      </c>
      <c r="D56" s="13" t="s">
        <v>21</v>
      </c>
      <c r="E56" s="17" t="s">
        <v>23</v>
      </c>
      <c r="F56" t="s">
        <v>152</v>
      </c>
      <c r="H56" s="8">
        <f t="shared" si="5"/>
        <v>2017</v>
      </c>
      <c r="I56" s="24">
        <v>0.05</v>
      </c>
      <c r="J56" s="24">
        <v>0.02</v>
      </c>
      <c r="K56" s="24">
        <v>0.02</v>
      </c>
      <c r="L56" s="24">
        <v>0.02</v>
      </c>
    </row>
    <row r="57" spans="1:14" x14ac:dyDescent="0.25">
      <c r="A57" s="17" t="str">
        <f t="shared" si="4"/>
        <v>TER_TS_WH_DSL</v>
      </c>
      <c r="C57" t="s">
        <v>20</v>
      </c>
      <c r="D57" s="13" t="s">
        <v>21</v>
      </c>
      <c r="E57" s="17" t="s">
        <v>23</v>
      </c>
      <c r="F57" t="s">
        <v>153</v>
      </c>
      <c r="H57" s="8">
        <f t="shared" si="5"/>
        <v>2017</v>
      </c>
      <c r="I57" s="24">
        <v>4.6505355758904098E-2</v>
      </c>
      <c r="J57" s="24">
        <v>0.02</v>
      </c>
      <c r="K57" s="24">
        <v>0.02</v>
      </c>
      <c r="L57" s="24">
        <v>7.9325612681017607E-3</v>
      </c>
    </row>
    <row r="58" spans="1:14" ht="13.8" thickBot="1" x14ac:dyDescent="0.3">
      <c r="A58" s="19" t="str">
        <f t="shared" si="4"/>
        <v>TER_TS_WH_ELC</v>
      </c>
      <c r="B58" s="14"/>
      <c r="C58" s="14" t="s">
        <v>20</v>
      </c>
      <c r="D58" s="15" t="s">
        <v>21</v>
      </c>
      <c r="E58" s="19" t="s">
        <v>23</v>
      </c>
      <c r="F58" s="14" t="s">
        <v>154</v>
      </c>
      <c r="G58" s="14"/>
      <c r="H58" s="16">
        <f t="shared" si="5"/>
        <v>2017</v>
      </c>
      <c r="I58" s="24">
        <v>2.1742763731435698E-2</v>
      </c>
      <c r="J58" s="24">
        <v>2.3690475817724301E-3</v>
      </c>
      <c r="K58" s="24">
        <v>1.09699804305284E-2</v>
      </c>
      <c r="L58" s="24">
        <v>1.2980554802348301E-2</v>
      </c>
    </row>
    <row r="59" spans="1:14" ht="13.8" thickTop="1" x14ac:dyDescent="0.25">
      <c r="A59" s="17" t="str">
        <f t="shared" si="4"/>
        <v>TER_TP_CK_GAS</v>
      </c>
      <c r="C59" s="21" t="s">
        <v>20</v>
      </c>
      <c r="D59" s="22" t="s">
        <v>21</v>
      </c>
      <c r="E59" s="17" t="s">
        <v>22</v>
      </c>
      <c r="F59" t="s">
        <v>120</v>
      </c>
      <c r="G59" t="s">
        <v>91</v>
      </c>
      <c r="H59" s="8">
        <f t="shared" ref="H59:H75" si="6">BASE_YEAR</f>
        <v>2017</v>
      </c>
      <c r="I59" s="24">
        <v>8.3567690639999997E-3</v>
      </c>
      <c r="J59" s="24">
        <v>9.4555071818181805E-3</v>
      </c>
      <c r="K59" s="24">
        <v>3.9076800000000002E-2</v>
      </c>
      <c r="L59" s="24">
        <v>9.0016200000000001E-3</v>
      </c>
      <c r="N59" t="s">
        <v>27</v>
      </c>
    </row>
    <row r="60" spans="1:14" x14ac:dyDescent="0.25">
      <c r="A60" s="17" t="str">
        <f t="shared" si="4"/>
        <v>TER_TP_CK_LPG</v>
      </c>
      <c r="C60" s="21" t="s">
        <v>20</v>
      </c>
      <c r="D60" s="22" t="s">
        <v>21</v>
      </c>
      <c r="E60" s="17" t="s">
        <v>22</v>
      </c>
      <c r="F60" t="s">
        <v>121</v>
      </c>
      <c r="G60" t="s">
        <v>92</v>
      </c>
      <c r="H60" s="8">
        <f t="shared" si="6"/>
        <v>2017</v>
      </c>
      <c r="I60" s="27">
        <v>8.3567690639999997E-3</v>
      </c>
      <c r="J60" s="27"/>
      <c r="K60" s="27">
        <v>3.9076800000000002E-2</v>
      </c>
      <c r="L60" s="27"/>
    </row>
    <row r="61" spans="1:14" ht="12" customHeight="1" x14ac:dyDescent="0.25">
      <c r="A61" s="17" t="str">
        <f t="shared" si="4"/>
        <v>TER_TP_CK_LOG</v>
      </c>
      <c r="C61" s="21" t="s">
        <v>20</v>
      </c>
      <c r="D61" s="22" t="s">
        <v>21</v>
      </c>
      <c r="E61" s="17" t="s">
        <v>22</v>
      </c>
      <c r="F61" t="s">
        <v>122</v>
      </c>
      <c r="G61" t="s">
        <v>93</v>
      </c>
      <c r="H61" s="8">
        <f t="shared" si="6"/>
        <v>2017</v>
      </c>
      <c r="I61" s="27"/>
      <c r="J61" s="27"/>
      <c r="K61" s="27"/>
      <c r="L61" s="27"/>
    </row>
    <row r="62" spans="1:14" x14ac:dyDescent="0.25">
      <c r="A62" s="17" t="str">
        <f t="shared" si="4"/>
        <v>TER_TP_CK_CHR</v>
      </c>
      <c r="C62" s="21" t="s">
        <v>20</v>
      </c>
      <c r="D62" s="22" t="s">
        <v>21</v>
      </c>
      <c r="E62" s="17" t="s">
        <v>22</v>
      </c>
      <c r="F62" t="s">
        <v>123</v>
      </c>
      <c r="G62" t="s">
        <v>94</v>
      </c>
      <c r="H62" s="8">
        <f t="shared" si="6"/>
        <v>2017</v>
      </c>
      <c r="I62" s="27"/>
      <c r="J62" s="27"/>
      <c r="K62" s="27"/>
      <c r="L62" s="27"/>
    </row>
    <row r="63" spans="1:14" x14ac:dyDescent="0.25">
      <c r="A63" s="17" t="str">
        <f t="shared" si="4"/>
        <v>TER_TP_CK_ELC</v>
      </c>
      <c r="C63" s="21" t="s">
        <v>20</v>
      </c>
      <c r="D63" s="22" t="s">
        <v>21</v>
      </c>
      <c r="E63" s="17" t="s">
        <v>22</v>
      </c>
      <c r="F63" t="s">
        <v>124</v>
      </c>
      <c r="G63" t="s">
        <v>95</v>
      </c>
      <c r="H63" s="8">
        <f t="shared" si="6"/>
        <v>2017</v>
      </c>
      <c r="I63" s="24">
        <v>8.3567690639999997E-3</v>
      </c>
      <c r="J63" s="24">
        <v>9.4555071818181805E-3</v>
      </c>
      <c r="K63" s="24">
        <v>3.9076800000000002E-2</v>
      </c>
      <c r="L63" s="24">
        <v>9.0016200000000001E-3</v>
      </c>
    </row>
    <row r="64" spans="1:14" x14ac:dyDescent="0.25">
      <c r="A64" s="17" t="str">
        <f t="shared" si="4"/>
        <v>TER_TS_CK_GAS</v>
      </c>
      <c r="C64" s="21" t="s">
        <v>20</v>
      </c>
      <c r="D64" s="22" t="s">
        <v>21</v>
      </c>
      <c r="E64" s="17" t="s">
        <v>22</v>
      </c>
      <c r="F64" t="s">
        <v>155</v>
      </c>
      <c r="G64" t="s">
        <v>91</v>
      </c>
      <c r="H64" s="8">
        <f t="shared" si="6"/>
        <v>2017</v>
      </c>
      <c r="I64" s="24">
        <v>7.8609491770909104E-3</v>
      </c>
      <c r="J64" s="24">
        <v>6.87457607142857E-3</v>
      </c>
      <c r="K64" s="24">
        <v>4.6647929999999997E-2</v>
      </c>
      <c r="L64" s="24">
        <v>8.8406375399999997E-3</v>
      </c>
    </row>
    <row r="65" spans="1:15" x14ac:dyDescent="0.25">
      <c r="A65" s="17" t="str">
        <f t="shared" si="4"/>
        <v>TER_TS_CK_LPG</v>
      </c>
      <c r="C65" s="21" t="s">
        <v>20</v>
      </c>
      <c r="D65" s="22" t="s">
        <v>21</v>
      </c>
      <c r="E65" s="17" t="s">
        <v>22</v>
      </c>
      <c r="F65" t="s">
        <v>156</v>
      </c>
      <c r="G65" t="s">
        <v>92</v>
      </c>
      <c r="H65" s="8">
        <f t="shared" si="6"/>
        <v>2017</v>
      </c>
      <c r="I65" s="24">
        <v>7.8609491770909104E-3</v>
      </c>
      <c r="J65" s="24"/>
      <c r="K65" s="24">
        <v>4.6647929999999997E-2</v>
      </c>
      <c r="L65" s="24"/>
    </row>
    <row r="66" spans="1:15" x14ac:dyDescent="0.25">
      <c r="A66" s="17" t="str">
        <f t="shared" si="4"/>
        <v>TER_TS_CK_LOG</v>
      </c>
      <c r="C66" s="21" t="s">
        <v>20</v>
      </c>
      <c r="D66" s="22" t="s">
        <v>21</v>
      </c>
      <c r="E66" s="17" t="s">
        <v>22</v>
      </c>
      <c r="F66" t="s">
        <v>157</v>
      </c>
      <c r="G66" t="s">
        <v>93</v>
      </c>
      <c r="H66" s="8">
        <f t="shared" si="6"/>
        <v>2017</v>
      </c>
      <c r="I66" s="27"/>
      <c r="J66" s="27"/>
      <c r="K66" s="27"/>
      <c r="L66" s="27"/>
    </row>
    <row r="67" spans="1:15" x14ac:dyDescent="0.25">
      <c r="A67" s="17" t="str">
        <f t="shared" si="4"/>
        <v>TER_TS_CK_CHR</v>
      </c>
      <c r="C67" s="21" t="s">
        <v>20</v>
      </c>
      <c r="D67" s="22" t="s">
        <v>21</v>
      </c>
      <c r="E67" s="17" t="s">
        <v>22</v>
      </c>
      <c r="F67" t="s">
        <v>158</v>
      </c>
      <c r="G67" t="s">
        <v>94</v>
      </c>
      <c r="H67" s="8">
        <f t="shared" si="6"/>
        <v>2017</v>
      </c>
      <c r="I67" s="27"/>
      <c r="J67" s="27"/>
      <c r="K67" s="27"/>
      <c r="L67" s="27"/>
    </row>
    <row r="68" spans="1:15" ht="13.8" thickBot="1" x14ac:dyDescent="0.3">
      <c r="A68" s="19" t="str">
        <f t="shared" si="4"/>
        <v>TER_TS_CK_ELC</v>
      </c>
      <c r="B68" s="14"/>
      <c r="C68" s="14" t="s">
        <v>20</v>
      </c>
      <c r="D68" s="15" t="s">
        <v>21</v>
      </c>
      <c r="E68" s="19" t="s">
        <v>22</v>
      </c>
      <c r="F68" s="14" t="s">
        <v>159</v>
      </c>
      <c r="G68" s="14" t="s">
        <v>95</v>
      </c>
      <c r="H68" s="16">
        <f t="shared" si="6"/>
        <v>2017</v>
      </c>
      <c r="I68" s="24">
        <v>7.8609491770909104E-3</v>
      </c>
      <c r="J68" s="24">
        <v>6.87457607142857E-3</v>
      </c>
      <c r="K68" s="24">
        <v>4.6647929999999997E-2</v>
      </c>
      <c r="L68" s="24">
        <v>8.8406375399999997E-3</v>
      </c>
      <c r="M68" s="14"/>
      <c r="N68" s="14"/>
      <c r="O68" s="14"/>
    </row>
    <row r="69" spans="1:15" ht="13.8" thickTop="1" x14ac:dyDescent="0.25">
      <c r="A69" s="17" t="str">
        <f>LEFT(F69,10)&amp;RIGHT(F69,1)</f>
        <v>TER_TP_LI_1</v>
      </c>
      <c r="C69" s="21" t="s">
        <v>20</v>
      </c>
      <c r="D69" s="22" t="s">
        <v>21</v>
      </c>
      <c r="E69" s="17" t="s">
        <v>22</v>
      </c>
      <c r="F69" t="s">
        <v>125</v>
      </c>
      <c r="G69" t="s">
        <v>95</v>
      </c>
      <c r="H69" s="8">
        <f t="shared" si="6"/>
        <v>2017</v>
      </c>
      <c r="I69" s="24">
        <v>6.0714926720000005E-4</v>
      </c>
      <c r="J69" s="24">
        <v>7.0840656000000001E-4</v>
      </c>
      <c r="K69" s="24">
        <v>5.4707520000000002E-4</v>
      </c>
      <c r="L69" s="24">
        <v>5.0848685999999998E-4</v>
      </c>
      <c r="N69" s="18" t="s">
        <v>28</v>
      </c>
    </row>
    <row r="70" spans="1:15" ht="13.8" thickBot="1" x14ac:dyDescent="0.3">
      <c r="A70" s="19" t="str">
        <f t="shared" ref="A70" si="7">LEFT(F70,10)&amp;RIGHT(F70,1)</f>
        <v>TER_TS_LI_1</v>
      </c>
      <c r="B70" s="14"/>
      <c r="C70" s="14" t="s">
        <v>20</v>
      </c>
      <c r="D70" s="15" t="s">
        <v>21</v>
      </c>
      <c r="E70" s="19" t="s">
        <v>22</v>
      </c>
      <c r="F70" s="14" t="s">
        <v>160</v>
      </c>
      <c r="G70" s="14" t="s">
        <v>95</v>
      </c>
      <c r="H70" s="16">
        <f t="shared" si="6"/>
        <v>2017</v>
      </c>
      <c r="I70" s="24">
        <v>6.3868948887272703E-4</v>
      </c>
      <c r="J70" s="24">
        <v>7.5900702857142899E-4</v>
      </c>
      <c r="K70" s="24">
        <v>5.8615200000000005E-4</v>
      </c>
      <c r="L70" s="24">
        <v>5.2301505600000004E-4</v>
      </c>
      <c r="M70" s="14"/>
      <c r="N70" s="14"/>
    </row>
    <row r="71" spans="1:15" ht="13.8" thickTop="1" x14ac:dyDescent="0.25">
      <c r="A71" s="17" t="str">
        <f>LEFT(F71,9)</f>
        <v>TER_TP_RF</v>
      </c>
      <c r="C71" s="21" t="s">
        <v>20</v>
      </c>
      <c r="D71" s="22" t="s">
        <v>21</v>
      </c>
      <c r="E71" s="17" t="s">
        <v>22</v>
      </c>
      <c r="F71" t="s">
        <v>126</v>
      </c>
      <c r="G71" t="s">
        <v>95</v>
      </c>
      <c r="H71" s="8">
        <f t="shared" si="6"/>
        <v>2017</v>
      </c>
      <c r="I71" s="24">
        <v>1.734712192E-2</v>
      </c>
      <c r="J71" s="24">
        <v>1.6100149090909101E-2</v>
      </c>
      <c r="K71" s="24">
        <v>1.5630720000000001E-2</v>
      </c>
      <c r="L71" s="24">
        <v>1.4528196E-2</v>
      </c>
      <c r="N71" s="18" t="s">
        <v>29</v>
      </c>
    </row>
    <row r="72" spans="1:15" ht="13.8" thickBot="1" x14ac:dyDescent="0.3">
      <c r="A72" s="19" t="str">
        <f t="shared" ref="A72" si="8">LEFT(F72,9)</f>
        <v>TER_TS_RF</v>
      </c>
      <c r="B72" s="14"/>
      <c r="C72" s="14" t="s">
        <v>20</v>
      </c>
      <c r="D72" s="15" t="s">
        <v>21</v>
      </c>
      <c r="E72" s="19" t="s">
        <v>22</v>
      </c>
      <c r="F72" s="14" t="s">
        <v>161</v>
      </c>
      <c r="G72" s="14" t="s">
        <v>95</v>
      </c>
      <c r="H72" s="16">
        <f t="shared" si="6"/>
        <v>2017</v>
      </c>
      <c r="I72" s="24">
        <v>1.2773789777454501E-2</v>
      </c>
      <c r="J72" s="24">
        <v>1.5180140571428601E-2</v>
      </c>
      <c r="K72" s="24">
        <v>1.1723040000000001E-2</v>
      </c>
      <c r="L72" s="24">
        <v>1.0460301119999999E-2</v>
      </c>
    </row>
    <row r="73" spans="1:15" ht="13.8" thickTop="1" x14ac:dyDescent="0.25">
      <c r="A73" s="17" t="str">
        <f>LEFT(F73,9)</f>
        <v>TER_TP_AP</v>
      </c>
      <c r="C73" s="21" t="s">
        <v>20</v>
      </c>
      <c r="D73" s="22" t="s">
        <v>21</v>
      </c>
      <c r="E73" s="17" t="s">
        <v>22</v>
      </c>
      <c r="F73" s="21" t="s">
        <v>127</v>
      </c>
      <c r="G73" t="s">
        <v>95</v>
      </c>
      <c r="H73" s="8">
        <f t="shared" si="6"/>
        <v>2017</v>
      </c>
      <c r="I73" s="24">
        <v>1.2721222741333301E-3</v>
      </c>
      <c r="J73" s="24">
        <v>1.0733432727272701E-3</v>
      </c>
      <c r="K73" s="24">
        <v>1.1462528E-3</v>
      </c>
      <c r="L73" s="24">
        <v>1.0654010399999999E-3</v>
      </c>
    </row>
    <row r="74" spans="1:15" ht="13.8" thickBot="1" x14ac:dyDescent="0.3">
      <c r="A74" s="19" t="str">
        <f t="shared" ref="A74" si="9">LEFT(F74,9)</f>
        <v>TER_TS_AP</v>
      </c>
      <c r="B74" s="14"/>
      <c r="C74" s="14" t="s">
        <v>20</v>
      </c>
      <c r="D74" s="15" t="s">
        <v>21</v>
      </c>
      <c r="E74" s="19" t="s">
        <v>22</v>
      </c>
      <c r="F74" s="14" t="s">
        <v>162</v>
      </c>
      <c r="G74" s="14" t="s">
        <v>95</v>
      </c>
      <c r="H74" s="16">
        <f t="shared" si="6"/>
        <v>2017</v>
      </c>
      <c r="I74" s="24">
        <v>1.5612409728E-3</v>
      </c>
      <c r="J74" s="24">
        <v>1.2650117142857099E-3</v>
      </c>
      <c r="K74" s="24">
        <v>1.432816E-3</v>
      </c>
      <c r="L74" s="24">
        <v>1.278481248E-3</v>
      </c>
    </row>
    <row r="75" spans="1:15" ht="13.8" thickTop="1" x14ac:dyDescent="0.25">
      <c r="A75" s="17" t="str">
        <f t="shared" ref="A75:A84" si="10">LEFT(F75,13)</f>
        <v>TER_TP_CK_GAS</v>
      </c>
      <c r="C75" s="21" t="s">
        <v>20</v>
      </c>
      <c r="D75" s="22" t="s">
        <v>21</v>
      </c>
      <c r="E75" s="17" t="s">
        <v>23</v>
      </c>
      <c r="F75" t="s">
        <v>120</v>
      </c>
      <c r="H75" s="8">
        <f t="shared" si="6"/>
        <v>2017</v>
      </c>
      <c r="I75" s="24">
        <v>1</v>
      </c>
      <c r="J75" s="24">
        <v>1</v>
      </c>
      <c r="K75" s="24">
        <v>1</v>
      </c>
      <c r="L75" s="24">
        <v>1</v>
      </c>
      <c r="N75" t="s">
        <v>69</v>
      </c>
    </row>
    <row r="76" spans="1:15" x14ac:dyDescent="0.25">
      <c r="A76" s="17" t="str">
        <f t="shared" si="10"/>
        <v>TER_TP_CK_LPG</v>
      </c>
      <c r="C76" s="21" t="s">
        <v>20</v>
      </c>
      <c r="D76" s="22" t="s">
        <v>21</v>
      </c>
      <c r="E76" s="17" t="str">
        <f>E75</f>
        <v>NCAP_AFA</v>
      </c>
      <c r="F76" t="s">
        <v>121</v>
      </c>
      <c r="H76" s="8">
        <f t="shared" ref="H76:H90" si="11">BASE_YEAR</f>
        <v>2017</v>
      </c>
      <c r="I76" s="24">
        <v>1</v>
      </c>
      <c r="J76" s="24">
        <v>1</v>
      </c>
      <c r="K76" s="24">
        <v>1</v>
      </c>
      <c r="L76" s="24">
        <v>1</v>
      </c>
    </row>
    <row r="77" spans="1:15" x14ac:dyDescent="0.25">
      <c r="A77" s="17" t="str">
        <f t="shared" si="10"/>
        <v>TER_TP_CK_LOG</v>
      </c>
      <c r="C77" s="21" t="s">
        <v>20</v>
      </c>
      <c r="D77" s="22" t="s">
        <v>21</v>
      </c>
      <c r="E77" s="17" t="str">
        <f t="shared" ref="E77:E88" si="12">E76</f>
        <v>NCAP_AFA</v>
      </c>
      <c r="F77" t="s">
        <v>122</v>
      </c>
      <c r="H77" s="8">
        <f t="shared" si="11"/>
        <v>2017</v>
      </c>
      <c r="I77" s="24">
        <v>1</v>
      </c>
      <c r="J77" s="24">
        <v>1</v>
      </c>
      <c r="K77" s="24">
        <v>1</v>
      </c>
      <c r="L77" s="24">
        <v>1</v>
      </c>
    </row>
    <row r="78" spans="1:15" x14ac:dyDescent="0.25">
      <c r="A78" s="17" t="str">
        <f t="shared" si="10"/>
        <v>TER_TP_CK_CHR</v>
      </c>
      <c r="C78" s="21" t="s">
        <v>20</v>
      </c>
      <c r="D78" s="22" t="s">
        <v>21</v>
      </c>
      <c r="E78" s="17" t="str">
        <f t="shared" si="12"/>
        <v>NCAP_AFA</v>
      </c>
      <c r="F78" t="s">
        <v>123</v>
      </c>
      <c r="H78" s="8">
        <f t="shared" si="11"/>
        <v>2017</v>
      </c>
      <c r="I78" s="24">
        <v>1</v>
      </c>
      <c r="J78" s="24">
        <v>1</v>
      </c>
      <c r="K78" s="24">
        <v>1</v>
      </c>
      <c r="L78" s="24">
        <v>1</v>
      </c>
    </row>
    <row r="79" spans="1:15" x14ac:dyDescent="0.25">
      <c r="A79" s="17" t="str">
        <f t="shared" si="10"/>
        <v>TER_TP_CK_ELC</v>
      </c>
      <c r="C79" s="21" t="s">
        <v>20</v>
      </c>
      <c r="D79" s="22" t="s">
        <v>21</v>
      </c>
      <c r="E79" s="17" t="str">
        <f t="shared" si="12"/>
        <v>NCAP_AFA</v>
      </c>
      <c r="F79" t="s">
        <v>124</v>
      </c>
      <c r="H79" s="8">
        <f t="shared" si="11"/>
        <v>2017</v>
      </c>
      <c r="I79" s="24">
        <v>1</v>
      </c>
      <c r="J79" s="24">
        <v>1</v>
      </c>
      <c r="K79" s="24">
        <v>1</v>
      </c>
      <c r="L79" s="24">
        <v>1</v>
      </c>
    </row>
    <row r="80" spans="1:15" x14ac:dyDescent="0.25">
      <c r="A80" s="17" t="str">
        <f t="shared" si="10"/>
        <v>TER_TS_CK_GAS</v>
      </c>
      <c r="C80" s="21" t="s">
        <v>20</v>
      </c>
      <c r="D80" s="22" t="s">
        <v>21</v>
      </c>
      <c r="E80" s="17" t="str">
        <f t="shared" si="12"/>
        <v>NCAP_AFA</v>
      </c>
      <c r="F80" t="s">
        <v>155</v>
      </c>
      <c r="H80" s="8">
        <f t="shared" si="11"/>
        <v>2017</v>
      </c>
      <c r="I80" s="24">
        <v>1</v>
      </c>
      <c r="J80" s="24">
        <v>1</v>
      </c>
      <c r="K80" s="24">
        <v>1</v>
      </c>
      <c r="L80" s="24">
        <v>1</v>
      </c>
    </row>
    <row r="81" spans="1:14" x14ac:dyDescent="0.25">
      <c r="A81" s="17" t="str">
        <f t="shared" si="10"/>
        <v>TER_TS_CK_LPG</v>
      </c>
      <c r="C81" s="21" t="s">
        <v>20</v>
      </c>
      <c r="D81" s="22" t="s">
        <v>21</v>
      </c>
      <c r="E81" s="17" t="str">
        <f t="shared" si="12"/>
        <v>NCAP_AFA</v>
      </c>
      <c r="F81" t="s">
        <v>156</v>
      </c>
      <c r="H81" s="8">
        <f t="shared" si="11"/>
        <v>2017</v>
      </c>
      <c r="I81" s="24">
        <v>1</v>
      </c>
      <c r="J81" s="24">
        <v>1</v>
      </c>
      <c r="K81" s="24">
        <v>1</v>
      </c>
      <c r="L81" s="24">
        <v>1</v>
      </c>
    </row>
    <row r="82" spans="1:14" x14ac:dyDescent="0.25">
      <c r="A82" s="17" t="str">
        <f t="shared" si="10"/>
        <v>TER_TS_CK_LOG</v>
      </c>
      <c r="C82" s="21" t="s">
        <v>20</v>
      </c>
      <c r="D82" s="22" t="s">
        <v>21</v>
      </c>
      <c r="E82" s="17" t="str">
        <f t="shared" si="12"/>
        <v>NCAP_AFA</v>
      </c>
      <c r="F82" t="s">
        <v>157</v>
      </c>
      <c r="H82" s="8">
        <f t="shared" si="11"/>
        <v>2017</v>
      </c>
      <c r="I82" s="24">
        <v>1</v>
      </c>
      <c r="J82" s="24">
        <v>1</v>
      </c>
      <c r="K82" s="24">
        <v>1</v>
      </c>
      <c r="L82" s="24">
        <v>1</v>
      </c>
    </row>
    <row r="83" spans="1:14" x14ac:dyDescent="0.25">
      <c r="A83" s="17" t="str">
        <f t="shared" si="10"/>
        <v>TER_TS_CK_CHR</v>
      </c>
      <c r="C83" s="21" t="s">
        <v>20</v>
      </c>
      <c r="D83" s="22" t="s">
        <v>21</v>
      </c>
      <c r="E83" s="17" t="str">
        <f t="shared" si="12"/>
        <v>NCAP_AFA</v>
      </c>
      <c r="F83" t="s">
        <v>158</v>
      </c>
      <c r="H83" s="8">
        <f t="shared" si="11"/>
        <v>2017</v>
      </c>
      <c r="I83" s="24">
        <v>1</v>
      </c>
      <c r="J83" s="24">
        <v>1</v>
      </c>
      <c r="K83" s="24">
        <v>1</v>
      </c>
      <c r="L83" s="24">
        <v>1</v>
      </c>
    </row>
    <row r="84" spans="1:14" ht="13.8" thickBot="1" x14ac:dyDescent="0.3">
      <c r="A84" s="19" t="str">
        <f t="shared" si="10"/>
        <v>TER_TS_CK_ELC</v>
      </c>
      <c r="B84" s="14"/>
      <c r="C84" s="14" t="s">
        <v>20</v>
      </c>
      <c r="D84" s="15" t="s">
        <v>21</v>
      </c>
      <c r="E84" s="19" t="str">
        <f t="shared" si="12"/>
        <v>NCAP_AFA</v>
      </c>
      <c r="F84" s="14" t="s">
        <v>159</v>
      </c>
      <c r="G84" s="14"/>
      <c r="H84" s="16">
        <f t="shared" si="11"/>
        <v>2017</v>
      </c>
      <c r="I84" s="24">
        <v>1</v>
      </c>
      <c r="J84" s="24">
        <v>1</v>
      </c>
      <c r="K84" s="24">
        <v>1</v>
      </c>
      <c r="L84" s="24">
        <v>1</v>
      </c>
    </row>
    <row r="85" spans="1:14" ht="13.8" thickTop="1" x14ac:dyDescent="0.25">
      <c r="A85" s="17" t="str">
        <f>LEFT(F85,9)</f>
        <v>TER_TP_LI</v>
      </c>
      <c r="C85" s="21" t="s">
        <v>20</v>
      </c>
      <c r="D85" s="22" t="s">
        <v>21</v>
      </c>
      <c r="E85" s="17" t="str">
        <f>E84</f>
        <v>NCAP_AFA</v>
      </c>
      <c r="F85" t="s">
        <v>128</v>
      </c>
      <c r="H85" s="8">
        <f t="shared" si="11"/>
        <v>2017</v>
      </c>
      <c r="I85" s="24">
        <v>1</v>
      </c>
      <c r="J85" s="24">
        <v>1</v>
      </c>
      <c r="K85" s="24">
        <v>1</v>
      </c>
      <c r="L85" s="24">
        <v>1</v>
      </c>
    </row>
    <row r="86" spans="1:14" ht="13.8" thickBot="1" x14ac:dyDescent="0.3">
      <c r="A86" s="19" t="str">
        <f t="shared" ref="A86" si="13">LEFT(F86,9)</f>
        <v>TER_TS_LI</v>
      </c>
      <c r="B86" s="14"/>
      <c r="C86" s="14" t="s">
        <v>20</v>
      </c>
      <c r="D86" s="15" t="s">
        <v>21</v>
      </c>
      <c r="E86" s="19" t="str">
        <f t="shared" si="12"/>
        <v>NCAP_AFA</v>
      </c>
      <c r="F86" s="14" t="s">
        <v>163</v>
      </c>
      <c r="G86" s="14"/>
      <c r="H86" s="16">
        <f t="shared" si="11"/>
        <v>2017</v>
      </c>
      <c r="I86" s="24">
        <v>1</v>
      </c>
      <c r="J86" s="24">
        <v>1</v>
      </c>
      <c r="K86" s="24">
        <v>1</v>
      </c>
      <c r="L86" s="24">
        <v>1</v>
      </c>
    </row>
    <row r="87" spans="1:14" ht="13.8" thickTop="1" x14ac:dyDescent="0.25">
      <c r="A87" s="17" t="str">
        <f>LEFT(F87,9)</f>
        <v>TER_TP_RF</v>
      </c>
      <c r="C87" s="21" t="s">
        <v>20</v>
      </c>
      <c r="D87" s="22" t="s">
        <v>21</v>
      </c>
      <c r="E87" s="17" t="str">
        <f>E86</f>
        <v>NCAP_AFA</v>
      </c>
      <c r="F87" t="s">
        <v>126</v>
      </c>
      <c r="H87" s="8">
        <f t="shared" si="11"/>
        <v>2017</v>
      </c>
      <c r="I87" s="24">
        <v>1</v>
      </c>
      <c r="J87" s="24">
        <v>1</v>
      </c>
      <c r="K87" s="24">
        <v>1</v>
      </c>
      <c r="L87" s="24">
        <v>1</v>
      </c>
    </row>
    <row r="88" spans="1:14" x14ac:dyDescent="0.25">
      <c r="A88" s="17" t="str">
        <f t="shared" ref="A88:A90" si="14">LEFT(F88,9)</f>
        <v>TER_TS_RF</v>
      </c>
      <c r="C88" s="21" t="s">
        <v>20</v>
      </c>
      <c r="D88" s="22" t="s">
        <v>21</v>
      </c>
      <c r="E88" s="17" t="str">
        <f t="shared" si="12"/>
        <v>NCAP_AFA</v>
      </c>
      <c r="F88" t="s">
        <v>161</v>
      </c>
      <c r="H88" s="8">
        <f t="shared" si="11"/>
        <v>2017</v>
      </c>
      <c r="I88" s="24">
        <v>1</v>
      </c>
      <c r="J88" s="24">
        <v>1</v>
      </c>
      <c r="K88" s="24">
        <v>1</v>
      </c>
      <c r="L88" s="24">
        <v>1</v>
      </c>
    </row>
    <row r="89" spans="1:14" x14ac:dyDescent="0.25">
      <c r="A89" s="17" t="str">
        <f t="shared" si="14"/>
        <v>TER_TP_AP</v>
      </c>
      <c r="C89" s="21" t="s">
        <v>20</v>
      </c>
      <c r="D89" s="22" t="s">
        <v>21</v>
      </c>
      <c r="E89" s="17" t="str">
        <f>E88</f>
        <v>NCAP_AFA</v>
      </c>
      <c r="F89" t="s">
        <v>127</v>
      </c>
      <c r="H89" s="8">
        <f t="shared" si="11"/>
        <v>2017</v>
      </c>
      <c r="I89" s="24">
        <v>1</v>
      </c>
      <c r="J89" s="24">
        <v>1</v>
      </c>
      <c r="K89" s="24">
        <v>1</v>
      </c>
      <c r="L89" s="24">
        <v>1</v>
      </c>
    </row>
    <row r="90" spans="1:14" ht="13.8" thickBot="1" x14ac:dyDescent="0.3">
      <c r="A90" s="19" t="str">
        <f t="shared" si="14"/>
        <v>TER_TS_AP</v>
      </c>
      <c r="B90" s="14"/>
      <c r="C90" s="14" t="s">
        <v>20</v>
      </c>
      <c r="D90" s="15" t="s">
        <v>21</v>
      </c>
      <c r="E90" s="19" t="str">
        <f>E89</f>
        <v>NCAP_AFA</v>
      </c>
      <c r="F90" s="14" t="s">
        <v>162</v>
      </c>
      <c r="G90" s="14"/>
      <c r="H90" s="16">
        <f t="shared" si="11"/>
        <v>2017</v>
      </c>
      <c r="I90" s="24">
        <v>1</v>
      </c>
      <c r="J90" s="24">
        <v>1</v>
      </c>
      <c r="K90" s="24">
        <v>1</v>
      </c>
      <c r="L90" s="24">
        <v>1</v>
      </c>
    </row>
    <row r="91" spans="1:14" ht="13.8" thickTop="1" x14ac:dyDescent="0.25">
      <c r="A91" s="17" t="str">
        <f t="shared" ref="A91:A100" si="15">LEFT(F91,13)</f>
        <v>TER_TP_CK_GAS</v>
      </c>
      <c r="C91" s="21" t="s">
        <v>20</v>
      </c>
      <c r="D91" s="22" t="s">
        <v>21</v>
      </c>
      <c r="E91" s="17" t="s">
        <v>68</v>
      </c>
      <c r="F91" t="s">
        <v>120</v>
      </c>
      <c r="I91" s="24">
        <v>1</v>
      </c>
      <c r="J91" s="24">
        <v>1</v>
      </c>
      <c r="K91" s="24">
        <v>1</v>
      </c>
      <c r="L91" s="24">
        <v>1</v>
      </c>
      <c r="N91" t="s">
        <v>70</v>
      </c>
    </row>
    <row r="92" spans="1:14" x14ac:dyDescent="0.25">
      <c r="A92" s="17" t="str">
        <f t="shared" si="15"/>
        <v>TER_TP_CK_LPG</v>
      </c>
      <c r="C92" s="21" t="s">
        <v>20</v>
      </c>
      <c r="D92" s="22" t="s">
        <v>21</v>
      </c>
      <c r="E92" s="17" t="str">
        <f>E91</f>
        <v>PRC_CAPACT</v>
      </c>
      <c r="F92" t="s">
        <v>121</v>
      </c>
      <c r="I92" s="24">
        <v>1</v>
      </c>
      <c r="J92" s="24">
        <v>1</v>
      </c>
      <c r="K92" s="24">
        <v>1</v>
      </c>
      <c r="L92" s="24">
        <v>1</v>
      </c>
    </row>
    <row r="93" spans="1:14" x14ac:dyDescent="0.25">
      <c r="A93" s="17" t="str">
        <f t="shared" si="15"/>
        <v>TER_TP_CK_LOG</v>
      </c>
      <c r="C93" s="21" t="s">
        <v>20</v>
      </c>
      <c r="D93" s="22" t="s">
        <v>21</v>
      </c>
      <c r="E93" s="17" t="str">
        <f t="shared" ref="E93:E107" si="16">E92</f>
        <v>PRC_CAPACT</v>
      </c>
      <c r="F93" t="s">
        <v>122</v>
      </c>
      <c r="I93" s="24">
        <v>1</v>
      </c>
      <c r="J93" s="24">
        <v>1</v>
      </c>
      <c r="K93" s="24">
        <v>1</v>
      </c>
      <c r="L93" s="24">
        <v>1</v>
      </c>
    </row>
    <row r="94" spans="1:14" x14ac:dyDescent="0.25">
      <c r="A94" s="17" t="str">
        <f t="shared" si="15"/>
        <v>TER_TP_CK_CHR</v>
      </c>
      <c r="C94" s="21" t="s">
        <v>20</v>
      </c>
      <c r="D94" s="22" t="s">
        <v>21</v>
      </c>
      <c r="E94" s="17" t="str">
        <f t="shared" si="16"/>
        <v>PRC_CAPACT</v>
      </c>
      <c r="F94" t="s">
        <v>123</v>
      </c>
      <c r="I94" s="24">
        <v>1</v>
      </c>
      <c r="J94" s="24">
        <v>1</v>
      </c>
      <c r="K94" s="24">
        <v>1</v>
      </c>
      <c r="L94" s="24">
        <v>1</v>
      </c>
    </row>
    <row r="95" spans="1:14" x14ac:dyDescent="0.25">
      <c r="A95" s="17" t="str">
        <f t="shared" si="15"/>
        <v>TER_TP_CK_ELC</v>
      </c>
      <c r="C95" s="21" t="s">
        <v>20</v>
      </c>
      <c r="D95" s="22" t="s">
        <v>21</v>
      </c>
      <c r="E95" s="17" t="str">
        <f t="shared" si="16"/>
        <v>PRC_CAPACT</v>
      </c>
      <c r="F95" t="s">
        <v>124</v>
      </c>
      <c r="I95" s="24">
        <v>1.34</v>
      </c>
      <c r="J95" s="24">
        <v>1.34</v>
      </c>
      <c r="K95" s="24">
        <v>1.34</v>
      </c>
      <c r="L95" s="24">
        <v>1.34</v>
      </c>
    </row>
    <row r="96" spans="1:14" x14ac:dyDescent="0.25">
      <c r="A96" s="17" t="str">
        <f t="shared" si="15"/>
        <v>TER_TS_CK_GAS</v>
      </c>
      <c r="C96" s="21" t="s">
        <v>20</v>
      </c>
      <c r="D96" s="22" t="s">
        <v>21</v>
      </c>
      <c r="E96" s="17" t="str">
        <f t="shared" si="16"/>
        <v>PRC_CAPACT</v>
      </c>
      <c r="F96" t="s">
        <v>155</v>
      </c>
      <c r="I96" s="24">
        <v>1</v>
      </c>
      <c r="J96" s="24">
        <v>1</v>
      </c>
      <c r="K96" s="24">
        <v>1</v>
      </c>
      <c r="L96" s="24">
        <v>1</v>
      </c>
    </row>
    <row r="97" spans="1:12" x14ac:dyDescent="0.25">
      <c r="A97" s="17" t="str">
        <f t="shared" si="15"/>
        <v>TER_TS_CK_LPG</v>
      </c>
      <c r="C97" s="21" t="s">
        <v>20</v>
      </c>
      <c r="D97" s="22" t="s">
        <v>21</v>
      </c>
      <c r="E97" s="17" t="str">
        <f t="shared" si="16"/>
        <v>PRC_CAPACT</v>
      </c>
      <c r="F97" t="s">
        <v>156</v>
      </c>
      <c r="I97" s="24">
        <v>1</v>
      </c>
      <c r="J97" s="24">
        <v>1</v>
      </c>
      <c r="K97" s="24">
        <v>1</v>
      </c>
      <c r="L97" s="24">
        <v>1</v>
      </c>
    </row>
    <row r="98" spans="1:12" x14ac:dyDescent="0.25">
      <c r="A98" s="17" t="str">
        <f t="shared" si="15"/>
        <v>TER_TS_CK_LOG</v>
      </c>
      <c r="C98" s="21" t="s">
        <v>20</v>
      </c>
      <c r="D98" s="22" t="s">
        <v>21</v>
      </c>
      <c r="E98" s="17" t="str">
        <f t="shared" si="16"/>
        <v>PRC_CAPACT</v>
      </c>
      <c r="F98" t="s">
        <v>157</v>
      </c>
      <c r="I98" s="24">
        <v>1</v>
      </c>
      <c r="J98" s="24">
        <v>1</v>
      </c>
      <c r="K98" s="24">
        <v>1</v>
      </c>
      <c r="L98" s="24">
        <v>1</v>
      </c>
    </row>
    <row r="99" spans="1:12" x14ac:dyDescent="0.25">
      <c r="A99" s="17" t="str">
        <f t="shared" si="15"/>
        <v>TER_TS_CK_CHR</v>
      </c>
      <c r="C99" s="21" t="s">
        <v>20</v>
      </c>
      <c r="D99" s="22" t="s">
        <v>21</v>
      </c>
      <c r="E99" s="17" t="str">
        <f t="shared" si="16"/>
        <v>PRC_CAPACT</v>
      </c>
      <c r="F99" t="s">
        <v>158</v>
      </c>
      <c r="I99" s="24">
        <v>1</v>
      </c>
      <c r="J99" s="24">
        <v>1</v>
      </c>
      <c r="K99" s="24">
        <v>1</v>
      </c>
      <c r="L99" s="24">
        <v>1</v>
      </c>
    </row>
    <row r="100" spans="1:12" ht="13.8" thickBot="1" x14ac:dyDescent="0.3">
      <c r="A100" s="19" t="str">
        <f t="shared" si="15"/>
        <v>TER_TS_CK_ELC</v>
      </c>
      <c r="B100" s="14"/>
      <c r="C100" s="14" t="s">
        <v>20</v>
      </c>
      <c r="D100" s="15" t="s">
        <v>21</v>
      </c>
      <c r="E100" s="19" t="str">
        <f t="shared" si="16"/>
        <v>PRC_CAPACT</v>
      </c>
      <c r="F100" s="14" t="s">
        <v>159</v>
      </c>
      <c r="G100" s="14"/>
      <c r="H100" s="16"/>
      <c r="I100" s="24">
        <v>1.34</v>
      </c>
      <c r="J100" s="24">
        <v>1.34</v>
      </c>
      <c r="K100" s="24">
        <v>1.34</v>
      </c>
      <c r="L100" s="24">
        <v>1.34</v>
      </c>
    </row>
    <row r="101" spans="1:12" ht="13.8" thickTop="1" x14ac:dyDescent="0.25">
      <c r="A101" s="17" t="str">
        <f>LEFT(F101,9)</f>
        <v>TER_TP_LI</v>
      </c>
      <c r="C101" s="21" t="s">
        <v>20</v>
      </c>
      <c r="D101" s="22" t="s">
        <v>21</v>
      </c>
      <c r="E101" s="17" t="str">
        <f>E100</f>
        <v>PRC_CAPACT</v>
      </c>
      <c r="F101" t="s">
        <v>128</v>
      </c>
      <c r="I101" s="24">
        <v>1.7050000000000001</v>
      </c>
      <c r="J101" s="24">
        <v>1.7050000000000001</v>
      </c>
      <c r="K101" s="24">
        <v>1.7050000000000001</v>
      </c>
      <c r="L101" s="24">
        <v>1.7050000000000001</v>
      </c>
    </row>
    <row r="102" spans="1:12" ht="13.8" thickBot="1" x14ac:dyDescent="0.3">
      <c r="A102" s="19" t="str">
        <f t="shared" ref="A102" si="17">LEFT(F102,9)</f>
        <v>TER_TS_LI</v>
      </c>
      <c r="B102" s="14"/>
      <c r="C102" s="14" t="s">
        <v>20</v>
      </c>
      <c r="D102" s="15" t="s">
        <v>21</v>
      </c>
      <c r="E102" s="19" t="str">
        <f t="shared" si="16"/>
        <v>PRC_CAPACT</v>
      </c>
      <c r="F102" s="14" t="s">
        <v>163</v>
      </c>
      <c r="G102" s="14"/>
      <c r="H102" s="16"/>
      <c r="I102" s="24">
        <v>1.7050000000000001</v>
      </c>
      <c r="J102" s="24">
        <v>1.7050000000000001</v>
      </c>
      <c r="K102" s="24">
        <v>1.7050000000000001</v>
      </c>
      <c r="L102" s="24">
        <v>1.7050000000000001</v>
      </c>
    </row>
    <row r="103" spans="1:12" ht="13.8" thickTop="1" x14ac:dyDescent="0.25">
      <c r="A103" s="17" t="str">
        <f>LEFT(F103,9)</f>
        <v>TER_TP_RF</v>
      </c>
      <c r="C103" s="21" t="s">
        <v>20</v>
      </c>
      <c r="D103" s="22" t="s">
        <v>21</v>
      </c>
      <c r="E103" s="17" t="str">
        <f>E102</f>
        <v>PRC_CAPACT</v>
      </c>
      <c r="F103" t="s">
        <v>126</v>
      </c>
      <c r="I103" s="24">
        <v>1</v>
      </c>
      <c r="J103" s="24">
        <v>1</v>
      </c>
      <c r="K103" s="24">
        <v>1</v>
      </c>
      <c r="L103" s="24">
        <v>1</v>
      </c>
    </row>
    <row r="104" spans="1:12" ht="13.8" thickBot="1" x14ac:dyDescent="0.3">
      <c r="A104" s="19" t="str">
        <f t="shared" ref="A104" si="18">LEFT(F104,9)</f>
        <v>TER_TS_RF</v>
      </c>
      <c r="B104" s="14"/>
      <c r="C104" s="14" t="s">
        <v>20</v>
      </c>
      <c r="D104" s="15" t="s">
        <v>21</v>
      </c>
      <c r="E104" s="19" t="str">
        <f t="shared" si="16"/>
        <v>PRC_CAPACT</v>
      </c>
      <c r="F104" s="14" t="s">
        <v>161</v>
      </c>
      <c r="G104" s="14"/>
      <c r="H104" s="16"/>
      <c r="I104" s="24">
        <v>1</v>
      </c>
      <c r="J104" s="24">
        <v>1</v>
      </c>
      <c r="K104" s="24">
        <v>1</v>
      </c>
      <c r="L104" s="24">
        <v>1</v>
      </c>
    </row>
    <row r="105" spans="1:12" ht="13.8" thickTop="1" x14ac:dyDescent="0.25">
      <c r="A105" s="17" t="str">
        <f>LEFT(F105,9)</f>
        <v>TER_TP_AP</v>
      </c>
      <c r="C105" s="21" t="s">
        <v>20</v>
      </c>
      <c r="D105" s="22" t="s">
        <v>21</v>
      </c>
      <c r="E105" s="17" t="str">
        <f>E104</f>
        <v>PRC_CAPACT</v>
      </c>
      <c r="F105" t="s">
        <v>127</v>
      </c>
      <c r="I105" s="24">
        <v>1.7050000000000001</v>
      </c>
      <c r="J105" s="24">
        <v>1.7050000000000001</v>
      </c>
      <c r="K105" s="24">
        <v>1.7050000000000001</v>
      </c>
      <c r="L105" s="24">
        <v>1.7050000000000001</v>
      </c>
    </row>
    <row r="106" spans="1:12" ht="13.8" thickBot="1" x14ac:dyDescent="0.3">
      <c r="A106" s="19" t="str">
        <f t="shared" ref="A106:A107" si="19">LEFT(F106,9)</f>
        <v>TER_TS_AP</v>
      </c>
      <c r="B106" s="14"/>
      <c r="C106" s="14" t="s">
        <v>20</v>
      </c>
      <c r="D106" s="15" t="s">
        <v>21</v>
      </c>
      <c r="E106" s="19" t="str">
        <f t="shared" si="16"/>
        <v>PRC_CAPACT</v>
      </c>
      <c r="F106" s="14" t="s">
        <v>162</v>
      </c>
      <c r="G106" s="14"/>
      <c r="H106" s="16"/>
      <c r="I106" s="24">
        <v>1.7050000000000001</v>
      </c>
      <c r="J106" s="24">
        <v>1.7050000000000001</v>
      </c>
      <c r="K106" s="24">
        <v>1.7050000000000001</v>
      </c>
      <c r="L106" s="24">
        <v>1.7050000000000001</v>
      </c>
    </row>
    <row r="107" spans="1:12" ht="14.4" thickTop="1" thickBot="1" x14ac:dyDescent="0.3">
      <c r="A107" s="19" t="str">
        <f t="shared" si="19"/>
        <v>TER_SL_LI</v>
      </c>
      <c r="B107" s="14"/>
      <c r="C107" s="14" t="s">
        <v>20</v>
      </c>
      <c r="D107" s="15" t="s">
        <v>21</v>
      </c>
      <c r="E107" s="19" t="str">
        <f t="shared" si="16"/>
        <v>PRC_CAPACT</v>
      </c>
      <c r="F107" s="14" t="s">
        <v>367</v>
      </c>
      <c r="G107" s="14"/>
      <c r="H107" s="16"/>
      <c r="I107" s="24">
        <v>2.21</v>
      </c>
      <c r="J107" s="24">
        <v>2.21</v>
      </c>
      <c r="K107" s="24">
        <v>2.21</v>
      </c>
      <c r="L107" s="24">
        <v>2.21</v>
      </c>
    </row>
    <row r="108" spans="1:12" ht="13.8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23"/>
  <sheetViews>
    <sheetView tabSelected="1" topLeftCell="B95" zoomScale="50" zoomScaleNormal="50" workbookViewId="0">
      <selection activeCell="B95" sqref="A1:XFD1048576"/>
    </sheetView>
  </sheetViews>
  <sheetFormatPr defaultColWidth="9.109375" defaultRowHeight="13.8" x14ac:dyDescent="0.25"/>
  <cols>
    <col min="1" max="3" width="9.109375" style="41"/>
    <col min="4" max="4" width="29.6640625" style="41" bestFit="1" customWidth="1"/>
    <col min="5" max="5" width="20.44140625" style="41" customWidth="1"/>
    <col min="6" max="6" width="18.109375" style="41" customWidth="1"/>
    <col min="7" max="7" width="20" style="41" customWidth="1"/>
    <col min="8" max="8" width="46" style="42" bestFit="1" customWidth="1"/>
    <col min="9" max="11" width="46" style="42" customWidth="1"/>
    <col min="12" max="12" width="6.88671875" style="41" customWidth="1"/>
    <col min="13" max="16" width="43" style="41" customWidth="1"/>
    <col min="17" max="17" width="42.109375" style="41" customWidth="1"/>
    <col min="18" max="18" width="44.109375" style="41" customWidth="1"/>
    <col min="19" max="16384" width="9.109375" style="41"/>
  </cols>
  <sheetData>
    <row r="1" spans="2:18" x14ac:dyDescent="0.25">
      <c r="B1" s="40" t="s">
        <v>30</v>
      </c>
      <c r="M1" s="42"/>
      <c r="N1" s="42"/>
      <c r="O1" s="42"/>
      <c r="P1" s="42"/>
      <c r="Q1" s="42"/>
    </row>
    <row r="2" spans="2:18" x14ac:dyDescent="0.25">
      <c r="B2" s="40"/>
      <c r="M2" s="42"/>
      <c r="N2" s="42"/>
      <c r="O2" s="42"/>
      <c r="P2" s="42"/>
      <c r="Q2" s="42"/>
    </row>
    <row r="3" spans="2:18" x14ac:dyDescent="0.25">
      <c r="B3" s="40"/>
      <c r="H3" s="42">
        <v>9</v>
      </c>
      <c r="I3" s="42">
        <v>10</v>
      </c>
      <c r="J3" s="42">
        <v>11</v>
      </c>
      <c r="K3" s="42">
        <v>12</v>
      </c>
      <c r="M3" s="42"/>
      <c r="N3" s="42"/>
      <c r="O3" s="42"/>
      <c r="P3" s="42"/>
      <c r="Q3" s="42"/>
    </row>
    <row r="4" spans="2:18" ht="15" thickBot="1" x14ac:dyDescent="0.35">
      <c r="B4" s="29" t="s">
        <v>0</v>
      </c>
      <c r="M4" s="43" t="s">
        <v>369</v>
      </c>
      <c r="N4" s="43"/>
      <c r="O4" s="43"/>
      <c r="P4" s="43"/>
      <c r="Q4" s="43"/>
    </row>
    <row r="5" spans="2:18" ht="15" thickBot="1" x14ac:dyDescent="0.3">
      <c r="B5" s="44" t="s">
        <v>1</v>
      </c>
      <c r="C5" s="44" t="s">
        <v>2</v>
      </c>
      <c r="D5" s="44" t="s">
        <v>6</v>
      </c>
      <c r="E5" s="44" t="s">
        <v>10</v>
      </c>
      <c r="F5" s="44" t="s">
        <v>3</v>
      </c>
      <c r="G5" s="44" t="s">
        <v>4</v>
      </c>
      <c r="H5" s="30" t="s">
        <v>87</v>
      </c>
      <c r="I5" s="30" t="s">
        <v>88</v>
      </c>
      <c r="J5" s="30" t="s">
        <v>89</v>
      </c>
      <c r="K5" s="30" t="s">
        <v>90</v>
      </c>
      <c r="M5" s="30" t="s">
        <v>87</v>
      </c>
      <c r="N5" s="30" t="s">
        <v>88</v>
      </c>
      <c r="O5" s="30" t="s">
        <v>89</v>
      </c>
      <c r="P5" s="30" t="s">
        <v>90</v>
      </c>
      <c r="Q5" s="45" t="s">
        <v>19</v>
      </c>
    </row>
    <row r="6" spans="2:18" ht="15" thickBot="1" x14ac:dyDescent="0.3">
      <c r="B6" s="44" t="s">
        <v>31</v>
      </c>
      <c r="C6" s="44"/>
      <c r="D6" s="44"/>
      <c r="E6" s="44"/>
      <c r="F6" s="44"/>
      <c r="G6" s="44"/>
      <c r="H6" s="45" t="s">
        <v>84</v>
      </c>
      <c r="I6" s="45"/>
      <c r="J6" s="45"/>
      <c r="K6" s="45"/>
      <c r="M6" s="45"/>
      <c r="N6" s="45"/>
      <c r="O6" s="45"/>
      <c r="P6" s="45"/>
      <c r="Q6" s="45"/>
    </row>
    <row r="7" spans="2:18" x14ac:dyDescent="0.25">
      <c r="B7" s="46"/>
      <c r="C7" s="46"/>
      <c r="D7" s="46" t="s">
        <v>164</v>
      </c>
      <c r="E7" s="46" t="s">
        <v>97</v>
      </c>
      <c r="F7" s="46" t="str">
        <f>'FILL Table'!E5</f>
        <v>INPUT</v>
      </c>
      <c r="G7" s="47" t="s">
        <v>360</v>
      </c>
      <c r="H7" s="48">
        <f>VLOOKUP($Q7,'FILL Table'!$A$5:$I$18,H$3,FALSE)*(1-M7)</f>
        <v>1.0052042195456E-3</v>
      </c>
      <c r="I7" s="48">
        <f>VLOOKUP($Q7,'FILL Table'!$A$5:$L$18,I$3,FALSE)*(1-N7)</f>
        <v>2.05088494909091E-4</v>
      </c>
      <c r="J7" s="48">
        <f>VLOOKUP($Q7,'FILL Table'!$A$5:$L$18,J$3,FALSE)*(1-O7)</f>
        <v>9.1727763840000005E-4</v>
      </c>
      <c r="K7" s="48">
        <f>VLOOKUP($Q7,'FILL Table'!$A$5:$L$18,K$3,FALSE)*(1-P7)</f>
        <v>8.7373575575999999E-4</v>
      </c>
      <c r="L7" s="46"/>
      <c r="M7" s="49">
        <v>0</v>
      </c>
      <c r="N7" s="49">
        <v>0</v>
      </c>
      <c r="O7" s="49">
        <v>0</v>
      </c>
      <c r="P7" s="49">
        <v>0</v>
      </c>
      <c r="Q7" s="46" t="str">
        <f t="shared" ref="Q7:Q24" si="0">E7</f>
        <v>TER_TP_SH</v>
      </c>
      <c r="R7" s="41" t="str">
        <f>"This means ("&amp;M7&amp;"*100)% reduction in the demand for Space Heating compared to the average existing buildings"</f>
        <v>This means (0*100)% reduction in the demand for Space Heating compared to the average existing buildings</v>
      </c>
    </row>
    <row r="8" spans="2:18" ht="14.4" thickBot="1" x14ac:dyDescent="0.3">
      <c r="B8" s="50"/>
      <c r="C8" s="50"/>
      <c r="D8" s="50" t="s">
        <v>165</v>
      </c>
      <c r="E8" s="50" t="s">
        <v>130</v>
      </c>
      <c r="F8" s="50" t="str">
        <f>'FILL Table'!E6</f>
        <v>INPUT</v>
      </c>
      <c r="G8" s="51" t="str">
        <f>G7</f>
        <v>2018,2019</v>
      </c>
      <c r="H8" s="52">
        <f>VLOOKUP($Q8,'FILL Table'!$A$5:$I$18,H$3,FALSE)*(1-M8)</f>
        <v>1.21641510778822E-3</v>
      </c>
      <c r="I8" s="52">
        <f>VLOOKUP($Q8,'FILL Table'!$A$5:$L$18,I$3,FALSE)*(1-N8)</f>
        <v>2.143871874E-4</v>
      </c>
      <c r="J8" s="52">
        <f>VLOOKUP($Q8,'FILL Table'!$A$5:$L$18,J$3,FALSE)*(1-O8)</f>
        <v>1.130770944E-3</v>
      </c>
      <c r="K8" s="52">
        <f>VLOOKUP($Q8,'FILL Table'!$A$5:$L$18,K$3,FALSE)*(1-P8)</f>
        <v>1.0343615004E-3</v>
      </c>
      <c r="L8" s="50"/>
      <c r="M8" s="53">
        <v>0</v>
      </c>
      <c r="N8" s="53">
        <v>0</v>
      </c>
      <c r="O8" s="53">
        <v>0</v>
      </c>
      <c r="P8" s="53">
        <v>0</v>
      </c>
      <c r="Q8" s="50" t="str">
        <f t="shared" si="0"/>
        <v>TER_TS_SH</v>
      </c>
    </row>
    <row r="9" spans="2:18" ht="14.4" thickTop="1" x14ac:dyDescent="0.25">
      <c r="B9" s="46"/>
      <c r="C9" s="46"/>
      <c r="D9" s="46" t="s">
        <v>164</v>
      </c>
      <c r="E9" s="46" t="s">
        <v>97</v>
      </c>
      <c r="F9" s="46" t="str">
        <f>'FILL Table'!E7</f>
        <v>INPUT</v>
      </c>
      <c r="G9" s="47">
        <v>2020</v>
      </c>
      <c r="H9" s="48">
        <f>VLOOKUP($Q9,'FILL Table'!$A$5:$I$18,H$3,FALSE)*(1-M9)</f>
        <v>8.5442358661375994E-4</v>
      </c>
      <c r="I9" s="48">
        <f>VLOOKUP($Q9,'FILL Table'!$A$5:$L$18,I$3,FALSE)*(1-N9)</f>
        <v>1.9483407016363644E-4</v>
      </c>
      <c r="J9" s="48">
        <f>VLOOKUP($Q9,'FILL Table'!$A$5:$L$18,J$3,FALSE)*(1-O9)</f>
        <v>8.7141375647999998E-4</v>
      </c>
      <c r="K9" s="48">
        <f>VLOOKUP($Q9,'FILL Table'!$A$5:$L$18,K$3,FALSE)*(1-P9)</f>
        <v>8.3004896797199998E-4</v>
      </c>
      <c r="L9" s="46"/>
      <c r="M9" s="49">
        <v>0.15</v>
      </c>
      <c r="N9" s="49">
        <v>0.05</v>
      </c>
      <c r="O9" s="49">
        <v>0.05</v>
      </c>
      <c r="P9" s="49">
        <v>0.05</v>
      </c>
      <c r="Q9" s="46" t="str">
        <f t="shared" si="0"/>
        <v>TER_TP_SH</v>
      </c>
      <c r="R9" s="54" t="s">
        <v>362</v>
      </c>
    </row>
    <row r="10" spans="2:18" ht="14.4" thickBot="1" x14ac:dyDescent="0.3">
      <c r="B10" s="50"/>
      <c r="C10" s="50"/>
      <c r="D10" s="50" t="s">
        <v>165</v>
      </c>
      <c r="E10" s="50" t="s">
        <v>130</v>
      </c>
      <c r="F10" s="50" t="str">
        <f>'FILL Table'!E8</f>
        <v>INPUT</v>
      </c>
      <c r="G10" s="51">
        <f>G9</f>
        <v>2020</v>
      </c>
      <c r="H10" s="52">
        <f>VLOOKUP($Q10,'FILL Table'!$A$5:$I$18,H$3,FALSE)*(1-M10)</f>
        <v>1.0339528416199869E-3</v>
      </c>
      <c r="I10" s="52">
        <f>VLOOKUP($Q10,'FILL Table'!$A$5:$L$18,I$3,FALSE)*(1-N10)</f>
        <v>2.0366782802999999E-4</v>
      </c>
      <c r="J10" s="52">
        <f>VLOOKUP($Q10,'FILL Table'!$A$5:$L$18,J$3,FALSE)*(1-O10)</f>
        <v>1.0742323968E-3</v>
      </c>
      <c r="K10" s="52">
        <f>VLOOKUP($Q10,'FILL Table'!$A$5:$L$18,K$3,FALSE)*(1-P10)</f>
        <v>9.8264342537999995E-4</v>
      </c>
      <c r="L10" s="50"/>
      <c r="M10" s="53">
        <f>M9</f>
        <v>0.15</v>
      </c>
      <c r="N10" s="53">
        <v>0.05</v>
      </c>
      <c r="O10" s="53">
        <v>0.05</v>
      </c>
      <c r="P10" s="53">
        <v>0.05</v>
      </c>
      <c r="Q10" s="50" t="str">
        <f t="shared" si="0"/>
        <v>TER_TS_SH</v>
      </c>
      <c r="R10" s="54"/>
    </row>
    <row r="11" spans="2:18" ht="14.4" thickTop="1" x14ac:dyDescent="0.25">
      <c r="B11" s="46"/>
      <c r="C11" s="46"/>
      <c r="D11" s="46" t="s">
        <v>164</v>
      </c>
      <c r="E11" s="46" t="s">
        <v>97</v>
      </c>
      <c r="F11" s="46" t="str">
        <f>'FILL Table'!E9</f>
        <v>INPUT</v>
      </c>
      <c r="G11" s="47">
        <v>2025</v>
      </c>
      <c r="H11" s="48">
        <f>VLOOKUP($Q11,'FILL Table'!$A$5:$I$18,H$3,FALSE)*(1-M11)</f>
        <v>8.0416337563648003E-4</v>
      </c>
      <c r="I11" s="48">
        <f>VLOOKUP($Q11,'FILL Table'!$A$5:$L$18,I$3,FALSE)*(1-N11)</f>
        <v>1.8457964541818191E-4</v>
      </c>
      <c r="J11" s="48">
        <f>VLOOKUP($Q11,'FILL Table'!$A$5:$L$18,J$3,FALSE)*(1-O11)</f>
        <v>8.2554987456000001E-4</v>
      </c>
      <c r="K11" s="48">
        <f>VLOOKUP($Q11,'FILL Table'!$A$5:$L$18,K$3,FALSE)*(1-P11)</f>
        <v>7.8636218018399997E-4</v>
      </c>
      <c r="L11" s="46"/>
      <c r="M11" s="49">
        <v>0.2</v>
      </c>
      <c r="N11" s="49">
        <v>0.1</v>
      </c>
      <c r="O11" s="49">
        <v>0.1</v>
      </c>
      <c r="P11" s="49">
        <v>0.1</v>
      </c>
      <c r="Q11" s="46" t="str">
        <f t="shared" si="0"/>
        <v>TER_TP_SH</v>
      </c>
      <c r="R11" s="54" t="s">
        <v>361</v>
      </c>
    </row>
    <row r="12" spans="2:18" ht="14.4" thickBot="1" x14ac:dyDescent="0.3">
      <c r="B12" s="50"/>
      <c r="C12" s="50"/>
      <c r="D12" s="50" t="s">
        <v>165</v>
      </c>
      <c r="E12" s="50" t="s">
        <v>130</v>
      </c>
      <c r="F12" s="50" t="str">
        <f>'FILL Table'!E10</f>
        <v>INPUT</v>
      </c>
      <c r="G12" s="51">
        <f>G11</f>
        <v>2025</v>
      </c>
      <c r="H12" s="52">
        <f>VLOOKUP($Q12,'FILL Table'!$A$5:$I$18,H$3,FALSE)*(1-M12)</f>
        <v>9.7313208623057599E-4</v>
      </c>
      <c r="I12" s="52">
        <f>VLOOKUP($Q12,'FILL Table'!$A$5:$L$18,I$3,FALSE)*(1-N12)</f>
        <v>1.9294846865999999E-4</v>
      </c>
      <c r="J12" s="52">
        <f>VLOOKUP($Q12,'FILL Table'!$A$5:$L$18,J$3,FALSE)*(1-O12)</f>
        <v>1.0176938496E-3</v>
      </c>
      <c r="K12" s="52">
        <f>VLOOKUP($Q12,'FILL Table'!$A$5:$L$18,K$3,FALSE)*(1-P12)</f>
        <v>9.3092535036E-4</v>
      </c>
      <c r="L12" s="50"/>
      <c r="M12" s="53">
        <f>M11</f>
        <v>0.2</v>
      </c>
      <c r="N12" s="53">
        <v>0.1</v>
      </c>
      <c r="O12" s="53">
        <v>0.1</v>
      </c>
      <c r="P12" s="53">
        <v>0.1</v>
      </c>
      <c r="Q12" s="50" t="str">
        <f t="shared" si="0"/>
        <v>TER_TS_SH</v>
      </c>
      <c r="R12" s="54"/>
    </row>
    <row r="13" spans="2:18" ht="14.4" thickTop="1" x14ac:dyDescent="0.25">
      <c r="B13" s="46"/>
      <c r="C13" s="46"/>
      <c r="D13" s="46" t="s">
        <v>164</v>
      </c>
      <c r="E13" s="46" t="s">
        <v>98</v>
      </c>
      <c r="F13" s="46" t="str">
        <f>'FILL Table'!E7</f>
        <v>INPUT</v>
      </c>
      <c r="G13" s="55">
        <f t="shared" ref="G13:G18" si="1">BASE_YEAR+1</f>
        <v>2018</v>
      </c>
      <c r="H13" s="48">
        <f>VLOOKUP($Q13,'FILL Table'!$A$5:$I$18,H$3,FALSE)*(1-M13)</f>
        <v>2.147565394528E-4</v>
      </c>
      <c r="I13" s="48">
        <f>VLOOKUP($Q13,'FILL Table'!$A$5:$L$18,I$3,FALSE)*(1-N13)</f>
        <v>2.41193935636364E-5</v>
      </c>
      <c r="J13" s="48">
        <f>VLOOKUP($Q13,'FILL Table'!$A$5:$L$18,J$3,FALSE)*(1-O13)</f>
        <v>1.03497696E-4</v>
      </c>
      <c r="K13" s="48">
        <f>VLOOKUP($Q13,'FILL Table'!$A$5:$L$18,K$3,FALSE)*(1-P13)</f>
        <v>1.3224761424E-4</v>
      </c>
      <c r="L13" s="46"/>
      <c r="M13" s="49">
        <v>0</v>
      </c>
      <c r="N13" s="49">
        <v>0</v>
      </c>
      <c r="O13" s="49">
        <v>0</v>
      </c>
      <c r="P13" s="49">
        <v>0</v>
      </c>
      <c r="Q13" s="46" t="str">
        <f t="shared" si="0"/>
        <v>TER_TP_WH</v>
      </c>
      <c r="R13" s="41" t="str">
        <f>"This means ("&amp;M13&amp;"*100)% reduction in the demand for Water Heating compared to the buildings  in 2017"</f>
        <v>This means (0*100)% reduction in the demand for Water Heating compared to the buildings  in 2017</v>
      </c>
    </row>
    <row r="14" spans="2:18" ht="14.4" thickBot="1" x14ac:dyDescent="0.3">
      <c r="B14" s="50"/>
      <c r="C14" s="50"/>
      <c r="D14" s="50" t="s">
        <v>165</v>
      </c>
      <c r="E14" s="50" t="s">
        <v>131</v>
      </c>
      <c r="F14" s="50" t="str">
        <f>'FILL Table'!E8</f>
        <v>INPUT</v>
      </c>
      <c r="G14" s="51">
        <f t="shared" si="1"/>
        <v>2018</v>
      </c>
      <c r="H14" s="52">
        <f>VLOOKUP($Q14,'FILL Table'!$A$5:$I$18,H$3,FALSE)*(1-M14)</f>
        <v>2.63564843873891E-4</v>
      </c>
      <c r="I14" s="52">
        <f>VLOOKUP($Q14,'FILL Table'!$A$5:$L$18,I$3,FALSE)*(1-N14)</f>
        <v>2.8426428128571401E-5</v>
      </c>
      <c r="J14" s="52">
        <f>VLOOKUP($Q14,'FILL Table'!$A$5:$L$18,J$3,FALSE)*(1-O14)</f>
        <v>1.2937212E-4</v>
      </c>
      <c r="K14" s="52">
        <f>VLOOKUP($Q14,'FILL Table'!$A$5:$L$18,K$3,FALSE)*(1-P14)</f>
        <v>1.5869713708800001E-4</v>
      </c>
      <c r="L14" s="50"/>
      <c r="M14" s="53">
        <v>0</v>
      </c>
      <c r="N14" s="53">
        <v>0</v>
      </c>
      <c r="O14" s="53">
        <v>0</v>
      </c>
      <c r="P14" s="53">
        <v>0</v>
      </c>
      <c r="Q14" s="50" t="str">
        <f t="shared" si="0"/>
        <v>TER_TS_WH</v>
      </c>
    </row>
    <row r="15" spans="2:18" ht="14.4" thickTop="1" x14ac:dyDescent="0.25">
      <c r="B15" s="46"/>
      <c r="C15" s="46"/>
      <c r="D15" s="46" t="s">
        <v>164</v>
      </c>
      <c r="E15" s="46" t="s">
        <v>99</v>
      </c>
      <c r="F15" s="46" t="str">
        <f>'FILL Table'!E9</f>
        <v>INPUT</v>
      </c>
      <c r="G15" s="55">
        <f t="shared" si="1"/>
        <v>2018</v>
      </c>
      <c r="H15" s="48">
        <f>VLOOKUP($Q15,'FILL Table'!$A$5:$I$18,H$3,FALSE)*(1-M15)</f>
        <v>1.734712192E-5</v>
      </c>
      <c r="I15" s="48">
        <f>VLOOKUP($Q15,'FILL Table'!$A$5:$L$18,I$3,FALSE)*(1-N15)</f>
        <v>1.12701043636364E-4</v>
      </c>
      <c r="J15" s="48">
        <f>VLOOKUP($Q15,'FILL Table'!$A$5:$L$18,J$3,FALSE)*(1-O15)</f>
        <v>1.5630720000000001E-5</v>
      </c>
      <c r="K15" s="48">
        <f>VLOOKUP($Q15,'FILL Table'!$A$5:$L$18,K$3,FALSE)*(1-P15)</f>
        <v>1.4528196E-5</v>
      </c>
      <c r="L15" s="46"/>
      <c r="M15" s="49">
        <v>0</v>
      </c>
      <c r="N15" s="49">
        <v>0</v>
      </c>
      <c r="O15" s="49">
        <v>0</v>
      </c>
      <c r="P15" s="49">
        <v>0</v>
      </c>
      <c r="Q15" s="46" t="str">
        <f t="shared" si="0"/>
        <v>TER_TP_SC</v>
      </c>
      <c r="R15" s="41" t="str">
        <f>"This means ("&amp;M15&amp;"*100)% reduction in the demand for Space Cooling  compared to the buildings  in 2017"</f>
        <v>This means (0*100)% reduction in the demand for Space Cooling  compared to the buildings  in 2017</v>
      </c>
    </row>
    <row r="16" spans="2:18" ht="14.4" thickBot="1" x14ac:dyDescent="0.3">
      <c r="B16" s="50"/>
      <c r="C16" s="50"/>
      <c r="D16" s="50" t="s">
        <v>165</v>
      </c>
      <c r="E16" s="50" t="s">
        <v>132</v>
      </c>
      <c r="F16" s="50" t="str">
        <f>'FILL Table'!E10</f>
        <v>INPUT</v>
      </c>
      <c r="G16" s="51">
        <f t="shared" si="1"/>
        <v>2018</v>
      </c>
      <c r="H16" s="52">
        <f>VLOOKUP($Q16,'FILL Table'!$A$5:$I$18,H$3,FALSE)*(1-M16)</f>
        <v>2.66120620363636E-5</v>
      </c>
      <c r="I16" s="52">
        <f>VLOOKUP($Q16,'FILL Table'!$A$5:$L$18,I$3,FALSE)*(1-N16)</f>
        <v>9.4875878571428596E-5</v>
      </c>
      <c r="J16" s="52">
        <f>VLOOKUP($Q16,'FILL Table'!$A$5:$L$18,J$3,FALSE)*(1-O16)</f>
        <v>2.4423E-5</v>
      </c>
      <c r="K16" s="52">
        <f>VLOOKUP($Q16,'FILL Table'!$A$5:$L$18,K$3,FALSE)*(1-P16)</f>
        <v>2.1792294000000002E-5</v>
      </c>
      <c r="L16" s="50"/>
      <c r="M16" s="53">
        <v>0</v>
      </c>
      <c r="N16" s="53">
        <v>0</v>
      </c>
      <c r="O16" s="53">
        <v>0</v>
      </c>
      <c r="P16" s="53">
        <v>0</v>
      </c>
      <c r="Q16" s="50" t="str">
        <f t="shared" si="0"/>
        <v>TER_TS_SC</v>
      </c>
    </row>
    <row r="17" spans="2:18" ht="14.4" thickTop="1" x14ac:dyDescent="0.25">
      <c r="B17" s="46"/>
      <c r="C17" s="46"/>
      <c r="D17" s="46" t="s">
        <v>164</v>
      </c>
      <c r="E17" s="46" t="s">
        <v>100</v>
      </c>
      <c r="F17" s="46" t="str">
        <f>'FILL Table'!E17</f>
        <v>INPUT</v>
      </c>
      <c r="G17" s="55">
        <f t="shared" si="1"/>
        <v>2018</v>
      </c>
      <c r="H17" s="48">
        <f>VLOOKUP($Q17,'FILL Table'!$A$5:$I$18,H$3,FALSE)*(1-M17)</f>
        <v>8.0000000000000002E-3</v>
      </c>
      <c r="I17" s="48">
        <f>VLOOKUP($Q17,'FILL Table'!$A$5:$L$18,I$3,FALSE)*(1-N17)</f>
        <v>8.0000000000000002E-3</v>
      </c>
      <c r="J17" s="48">
        <f>VLOOKUP($Q17,'FILL Table'!$A$5:$L$18,J$3,FALSE)*(1-O17)</f>
        <v>8.0000000000000002E-3</v>
      </c>
      <c r="K17" s="48">
        <f>VLOOKUP($Q17,'FILL Table'!$A$5:$L$18,K$3,FALSE)*(1-P17)</f>
        <v>8.0000000000000002E-3</v>
      </c>
      <c r="L17" s="46"/>
      <c r="M17" s="49">
        <v>0</v>
      </c>
      <c r="N17" s="49">
        <v>0</v>
      </c>
      <c r="O17" s="49">
        <v>0</v>
      </c>
      <c r="P17" s="49">
        <v>0</v>
      </c>
      <c r="Q17" s="46" t="str">
        <f t="shared" si="0"/>
        <v>TER_TP_CK</v>
      </c>
    </row>
    <row r="18" spans="2:18" ht="14.4" thickBot="1" x14ac:dyDescent="0.3">
      <c r="B18" s="50"/>
      <c r="C18" s="50"/>
      <c r="D18" s="50" t="s">
        <v>165</v>
      </c>
      <c r="E18" s="50" t="s">
        <v>133</v>
      </c>
      <c r="F18" s="50" t="str">
        <f>'FILL Table'!E18</f>
        <v>INPUT</v>
      </c>
      <c r="G18" s="51">
        <f t="shared" si="1"/>
        <v>2018</v>
      </c>
      <c r="H18" s="52">
        <f>VLOOKUP($Q18,'FILL Table'!$A$5:$I$18,H$3,FALSE)*(1-M18)</f>
        <v>8.0000000000000002E-3</v>
      </c>
      <c r="I18" s="52">
        <f>VLOOKUP($Q18,'FILL Table'!$A$5:$L$18,I$3,FALSE)*(1-N18)</f>
        <v>8.0000000000000002E-3</v>
      </c>
      <c r="J18" s="52">
        <f>VLOOKUP($Q18,'FILL Table'!$A$5:$L$18,J$3,FALSE)*(1-O18)</f>
        <v>8.0000000000000002E-3</v>
      </c>
      <c r="K18" s="52">
        <f>VLOOKUP($Q18,'FILL Table'!$A$5:$L$18,K$3,FALSE)*(1-P18)</f>
        <v>8.0000000000000002E-3</v>
      </c>
      <c r="L18" s="50"/>
      <c r="M18" s="53">
        <v>0</v>
      </c>
      <c r="N18" s="53">
        <v>0</v>
      </c>
      <c r="O18" s="53">
        <v>0</v>
      </c>
      <c r="P18" s="53">
        <v>0</v>
      </c>
      <c r="Q18" s="50" t="str">
        <f t="shared" si="0"/>
        <v>TER_TS_CK</v>
      </c>
      <c r="R18" s="41" t="s">
        <v>372</v>
      </c>
    </row>
    <row r="19" spans="2:18" ht="14.4" thickTop="1" x14ac:dyDescent="0.25">
      <c r="B19" s="46"/>
      <c r="C19" s="46"/>
      <c r="D19" s="46" t="s">
        <v>164</v>
      </c>
      <c r="E19" s="46" t="s">
        <v>101</v>
      </c>
      <c r="F19" s="46" t="str">
        <f>'FILL Table'!E13</f>
        <v>INPUT</v>
      </c>
      <c r="G19" s="55">
        <f t="shared" ref="G19:G24" si="2">BASE_YEAR+1</f>
        <v>2018</v>
      </c>
      <c r="H19" s="48">
        <f>VLOOKUP($Q19,'FILL Table'!$A$5:$I$18,H$3,FALSE)*(1-M19)</f>
        <v>0.1</v>
      </c>
      <c r="I19" s="48">
        <f>VLOOKUP($Q19,'FILL Table'!$A$5:$L$18,I$3,FALSE)*(1-N19)</f>
        <v>0.1</v>
      </c>
      <c r="J19" s="48">
        <f>VLOOKUP($Q19,'FILL Table'!$A$5:$L$18,J$3,FALSE)*(1-O19)</f>
        <v>0.1</v>
      </c>
      <c r="K19" s="48">
        <f>VLOOKUP($Q19,'FILL Table'!$A$5:$L$18,K$3,FALSE)*(1-P19)</f>
        <v>0.1</v>
      </c>
      <c r="L19" s="46"/>
      <c r="M19" s="49">
        <v>0</v>
      </c>
      <c r="N19" s="49">
        <v>0</v>
      </c>
      <c r="O19" s="49">
        <v>0</v>
      </c>
      <c r="P19" s="49">
        <v>0</v>
      </c>
      <c r="Q19" s="46" t="str">
        <f t="shared" si="0"/>
        <v>TER_TP_LI</v>
      </c>
    </row>
    <row r="20" spans="2:18" ht="14.4" thickBot="1" x14ac:dyDescent="0.3">
      <c r="B20" s="50"/>
      <c r="C20" s="50"/>
      <c r="D20" s="50" t="s">
        <v>165</v>
      </c>
      <c r="E20" s="50" t="s">
        <v>134</v>
      </c>
      <c r="F20" s="50" t="str">
        <f>'FILL Table'!E14</f>
        <v>INPUT</v>
      </c>
      <c r="G20" s="51">
        <f t="shared" si="2"/>
        <v>2018</v>
      </c>
      <c r="H20" s="52">
        <f>VLOOKUP($Q20,'FILL Table'!$A$5:$I$18,H$3,FALSE)*(1-M20)</f>
        <v>0.1</v>
      </c>
      <c r="I20" s="52">
        <f>VLOOKUP($Q20,'FILL Table'!$A$5:$L$18,I$3,FALSE)*(1-N20)</f>
        <v>0.1</v>
      </c>
      <c r="J20" s="52">
        <f>VLOOKUP($Q20,'FILL Table'!$A$5:$L$18,J$3,FALSE)*(1-O20)</f>
        <v>0.1</v>
      </c>
      <c r="K20" s="52">
        <f>VLOOKUP($Q20,'FILL Table'!$A$5:$L$18,K$3,FALSE)*(1-P20)</f>
        <v>0.1</v>
      </c>
      <c r="L20" s="50"/>
      <c r="M20" s="53">
        <v>0</v>
      </c>
      <c r="N20" s="53">
        <v>0</v>
      </c>
      <c r="O20" s="53">
        <v>0</v>
      </c>
      <c r="P20" s="53">
        <v>0</v>
      </c>
      <c r="Q20" s="50" t="str">
        <f t="shared" si="0"/>
        <v>TER_TS_LI</v>
      </c>
      <c r="R20" s="41" t="s">
        <v>373</v>
      </c>
    </row>
    <row r="21" spans="2:18" ht="14.4" thickTop="1" x14ac:dyDescent="0.25">
      <c r="B21" s="46"/>
      <c r="C21" s="46"/>
      <c r="D21" s="46" t="s">
        <v>164</v>
      </c>
      <c r="E21" s="46" t="s">
        <v>102</v>
      </c>
      <c r="F21" s="46" t="str">
        <f>'FILL Table'!E15</f>
        <v>INPUT</v>
      </c>
      <c r="G21" s="55">
        <f t="shared" si="2"/>
        <v>2018</v>
      </c>
      <c r="H21" s="48">
        <f>VLOOKUP($Q21,'FILL Table'!$A$5:$I$18,H$3,FALSE)*(1-M21)</f>
        <v>2E-3</v>
      </c>
      <c r="I21" s="48">
        <f>VLOOKUP($Q21,'FILL Table'!$A$5:$L$18,I$3,FALSE)*(1-N21)</f>
        <v>2E-3</v>
      </c>
      <c r="J21" s="48">
        <f>VLOOKUP($Q21,'FILL Table'!$A$5:$L$18,J$3,FALSE)*(1-O21)</f>
        <v>2E-3</v>
      </c>
      <c r="K21" s="48">
        <f>VLOOKUP($Q21,'FILL Table'!$A$5:$L$18,K$3,FALSE)*(1-P21)</f>
        <v>2E-3</v>
      </c>
      <c r="L21" s="46"/>
      <c r="M21" s="49">
        <v>0</v>
      </c>
      <c r="N21" s="49">
        <v>0</v>
      </c>
      <c r="O21" s="49">
        <v>0</v>
      </c>
      <c r="P21" s="49">
        <v>0</v>
      </c>
      <c r="Q21" s="46" t="str">
        <f t="shared" si="0"/>
        <v>TER_TP_RF</v>
      </c>
    </row>
    <row r="22" spans="2:18" ht="14.4" thickBot="1" x14ac:dyDescent="0.3">
      <c r="B22" s="50"/>
      <c r="C22" s="50"/>
      <c r="D22" s="50" t="s">
        <v>165</v>
      </c>
      <c r="E22" s="50" t="s">
        <v>135</v>
      </c>
      <c r="F22" s="50" t="str">
        <f>'FILL Table'!E16</f>
        <v>INPUT</v>
      </c>
      <c r="G22" s="51">
        <f t="shared" si="2"/>
        <v>2018</v>
      </c>
      <c r="H22" s="52">
        <f>VLOOKUP($Q22,'FILL Table'!$A$5:$I$18,H$3,FALSE)*(1-M22)</f>
        <v>2E-3</v>
      </c>
      <c r="I22" s="52">
        <f>VLOOKUP($Q22,'FILL Table'!$A$5:$L$18,I$3,FALSE)*(1-N22)</f>
        <v>2E-3</v>
      </c>
      <c r="J22" s="52">
        <f>VLOOKUP($Q22,'FILL Table'!$A$5:$L$18,J$3,FALSE)*(1-O22)</f>
        <v>2E-3</v>
      </c>
      <c r="K22" s="52">
        <f>VLOOKUP($Q22,'FILL Table'!$A$5:$L$18,K$3,FALSE)*(1-P22)</f>
        <v>2E-3</v>
      </c>
      <c r="L22" s="50"/>
      <c r="M22" s="53">
        <v>0</v>
      </c>
      <c r="N22" s="53">
        <v>0</v>
      </c>
      <c r="O22" s="53">
        <v>0</v>
      </c>
      <c r="P22" s="53">
        <v>0</v>
      </c>
      <c r="Q22" s="50" t="str">
        <f t="shared" si="0"/>
        <v>TER_TS_RF</v>
      </c>
      <c r="R22" s="41" t="s">
        <v>374</v>
      </c>
    </row>
    <row r="23" spans="2:18" ht="14.4" thickTop="1" x14ac:dyDescent="0.25">
      <c r="B23" s="46"/>
      <c r="C23" s="46"/>
      <c r="D23" s="46" t="s">
        <v>164</v>
      </c>
      <c r="E23" s="46" t="s">
        <v>103</v>
      </c>
      <c r="F23" s="46" t="str">
        <f>'FILL Table'!E17</f>
        <v>INPUT</v>
      </c>
      <c r="G23" s="55">
        <f t="shared" si="2"/>
        <v>2018</v>
      </c>
      <c r="H23" s="48">
        <f>VLOOKUP($Q23,'FILL Table'!$A$5:$I$18,H$3,FALSE)*(1-M23)</f>
        <v>1.4999999999999999E-2</v>
      </c>
      <c r="I23" s="48">
        <f>VLOOKUP($Q23,'FILL Table'!$A$5:$L$18,I$3,FALSE)*(1-N23)</f>
        <v>1.4999999999999999E-2</v>
      </c>
      <c r="J23" s="48">
        <f>VLOOKUP($Q23,'FILL Table'!$A$5:$L$18,J$3,FALSE)*(1-O23)</f>
        <v>1.4999999999999999E-2</v>
      </c>
      <c r="K23" s="48">
        <f>VLOOKUP($Q23,'FILL Table'!$A$5:$L$18,K$3,FALSE)*(1-P23)</f>
        <v>1.4999999999999999E-2</v>
      </c>
      <c r="L23" s="46"/>
      <c r="M23" s="49">
        <v>0</v>
      </c>
      <c r="N23" s="49">
        <v>0</v>
      </c>
      <c r="O23" s="49">
        <v>0</v>
      </c>
      <c r="P23" s="49">
        <v>0</v>
      </c>
      <c r="Q23" s="46" t="str">
        <f t="shared" si="0"/>
        <v>TER_TP_AP</v>
      </c>
      <c r="R23" s="41" t="s">
        <v>375</v>
      </c>
    </row>
    <row r="24" spans="2:18" ht="14.4" thickBot="1" x14ac:dyDescent="0.3">
      <c r="B24" s="46"/>
      <c r="C24" s="46"/>
      <c r="D24" s="56" t="s">
        <v>165</v>
      </c>
      <c r="E24" s="46" t="s">
        <v>136</v>
      </c>
      <c r="F24" s="46" t="str">
        <f>'FILL Table'!E18</f>
        <v>INPUT</v>
      </c>
      <c r="G24" s="55">
        <f t="shared" si="2"/>
        <v>2018</v>
      </c>
      <c r="H24" s="48">
        <f>VLOOKUP($Q24,'FILL Table'!$A$5:$I$18,H$3,FALSE)*(1-M24)</f>
        <v>1.4999999999999999E-2</v>
      </c>
      <c r="I24" s="48">
        <f>VLOOKUP($Q24,'FILL Table'!$A$5:$L$18,I$3,FALSE)*(1-N24)</f>
        <v>1.4999999999999999E-2</v>
      </c>
      <c r="J24" s="48">
        <f>VLOOKUP($Q24,'FILL Table'!$A$5:$L$18,J$3,FALSE)*(1-O24)</f>
        <v>1.4999999999999999E-2</v>
      </c>
      <c r="K24" s="48">
        <f>VLOOKUP($Q24,'FILL Table'!$A$5:$L$18,K$3,FALSE)*(1-P24)</f>
        <v>1.4999999999999999E-2</v>
      </c>
      <c r="L24" s="46"/>
      <c r="M24" s="49">
        <v>0</v>
      </c>
      <c r="N24" s="53">
        <v>0</v>
      </c>
      <c r="O24" s="53">
        <v>0</v>
      </c>
      <c r="P24" s="53">
        <v>0</v>
      </c>
      <c r="Q24" s="46" t="str">
        <f t="shared" si="0"/>
        <v>TER_TS_AP</v>
      </c>
    </row>
    <row r="25" spans="2:18" ht="15.6" thickTop="1" thickBot="1" x14ac:dyDescent="0.3">
      <c r="B25" s="44" t="s">
        <v>31</v>
      </c>
      <c r="C25" s="44"/>
      <c r="D25" s="57"/>
      <c r="E25" s="44"/>
      <c r="F25" s="44"/>
      <c r="G25" s="44"/>
      <c r="H25" s="58" t="s">
        <v>32</v>
      </c>
      <c r="I25" s="58"/>
      <c r="J25" s="58"/>
      <c r="K25" s="58"/>
      <c r="L25" s="44"/>
      <c r="M25" s="44"/>
      <c r="N25" s="44"/>
      <c r="O25" s="44"/>
      <c r="P25" s="44"/>
      <c r="Q25" s="44"/>
    </row>
    <row r="26" spans="2:18" ht="15" thickBot="1" x14ac:dyDescent="0.3">
      <c r="B26" s="44" t="s">
        <v>31</v>
      </c>
      <c r="C26" s="44"/>
      <c r="D26" s="44"/>
      <c r="E26" s="44"/>
      <c r="F26" s="44"/>
      <c r="G26" s="44"/>
      <c r="H26" s="59"/>
      <c r="I26" s="59"/>
      <c r="J26" s="59"/>
      <c r="K26" s="59"/>
      <c r="L26" s="44"/>
      <c r="M26" s="30" t="s">
        <v>87</v>
      </c>
      <c r="N26" s="30" t="s">
        <v>88</v>
      </c>
      <c r="O26" s="30" t="s">
        <v>89</v>
      </c>
      <c r="P26" s="30" t="s">
        <v>90</v>
      </c>
      <c r="Q26" s="45" t="s">
        <v>19</v>
      </c>
    </row>
    <row r="27" spans="2:18" x14ac:dyDescent="0.25">
      <c r="D27" s="41" t="s">
        <v>166</v>
      </c>
      <c r="F27" s="46" t="s">
        <v>23</v>
      </c>
      <c r="G27" s="55">
        <f t="shared" ref="G27:G78" si="3">BASE_YEAR+1</f>
        <v>2018</v>
      </c>
      <c r="H27" s="60">
        <f>VLOOKUP($Q27,'FILL Table'!$A$19:$I$41,H$3,FALSE)</f>
        <v>0.2</v>
      </c>
      <c r="I27" s="60">
        <f>VLOOKUP($Q27,'FILL Table'!$A$19:$L$41,I$3,FALSE)</f>
        <v>0.2</v>
      </c>
      <c r="J27" s="60">
        <f>VLOOKUP($Q27,'FILL Table'!$A$19:$L$41,J$3,FALSE)</f>
        <v>0.2</v>
      </c>
      <c r="K27" s="60">
        <f>VLOOKUP($Q27,'FILL Table'!$A$19:$L$41,K$3,FALSE)</f>
        <v>0.2</v>
      </c>
      <c r="Q27" s="46" t="str">
        <f t="shared" ref="Q27:Q58" si="4">LEFT(D27,13)</f>
        <v>TER_TP_SH_BKB</v>
      </c>
      <c r="R27" s="41" t="s">
        <v>33</v>
      </c>
    </row>
    <row r="28" spans="2:18" x14ac:dyDescent="0.25">
      <c r="D28" s="41" t="s">
        <v>167</v>
      </c>
      <c r="F28" s="46" t="s">
        <v>23</v>
      </c>
      <c r="G28" s="55">
        <f t="shared" si="3"/>
        <v>2018</v>
      </c>
      <c r="H28" s="60">
        <f>VLOOKUP($Q28,'FILL Table'!$A$19:$I$41,H$3,FALSE)</f>
        <v>0.2</v>
      </c>
      <c r="I28" s="60">
        <f>VLOOKUP($Q28,'FILL Table'!$A$19:$L$41,I$3,FALSE)</f>
        <v>4.3508945205479502E-2</v>
      </c>
      <c r="J28" s="60">
        <f>VLOOKUP($Q28,'FILL Table'!$A$19:$L$41,J$3,FALSE)</f>
        <v>0.2</v>
      </c>
      <c r="K28" s="60">
        <f>VLOOKUP($Q28,'FILL Table'!$A$19:$L$41,K$3,FALSE)</f>
        <v>0.2</v>
      </c>
      <c r="Q28" s="46" t="str">
        <f t="shared" si="4"/>
        <v>TER_TP_SH_LOG</v>
      </c>
    </row>
    <row r="29" spans="2:18" x14ac:dyDescent="0.25">
      <c r="D29" s="41" t="s">
        <v>168</v>
      </c>
      <c r="F29" s="46" t="s">
        <v>23</v>
      </c>
      <c r="G29" s="55">
        <f t="shared" si="3"/>
        <v>2018</v>
      </c>
      <c r="H29" s="60">
        <f>H28</f>
        <v>0.2</v>
      </c>
      <c r="I29" s="60">
        <f t="shared" ref="I29:K30" si="5">I28</f>
        <v>4.3508945205479502E-2</v>
      </c>
      <c r="J29" s="60">
        <f t="shared" si="5"/>
        <v>0.2</v>
      </c>
      <c r="K29" s="60">
        <f t="shared" si="5"/>
        <v>0.2</v>
      </c>
      <c r="Q29" s="46" t="str">
        <f t="shared" si="4"/>
        <v>TER_TP_SH_PLT</v>
      </c>
    </row>
    <row r="30" spans="2:18" x14ac:dyDescent="0.25">
      <c r="D30" s="41" t="s">
        <v>169</v>
      </c>
      <c r="F30" s="46" t="s">
        <v>23</v>
      </c>
      <c r="G30" s="55">
        <f t="shared" si="3"/>
        <v>2018</v>
      </c>
      <c r="H30" s="60">
        <f>H29</f>
        <v>0.2</v>
      </c>
      <c r="I30" s="60">
        <f t="shared" si="5"/>
        <v>4.3508945205479502E-2</v>
      </c>
      <c r="J30" s="60">
        <f t="shared" si="5"/>
        <v>0.2</v>
      </c>
      <c r="K30" s="60">
        <f t="shared" si="5"/>
        <v>0.2</v>
      </c>
      <c r="L30" s="61"/>
      <c r="Q30" s="46" t="str">
        <f t="shared" si="4"/>
        <v>TER_TP_SH_PLT</v>
      </c>
    </row>
    <row r="31" spans="2:18" x14ac:dyDescent="0.25">
      <c r="D31" s="41" t="s">
        <v>170</v>
      </c>
      <c r="F31" s="46" t="s">
        <v>23</v>
      </c>
      <c r="G31" s="55">
        <f t="shared" si="3"/>
        <v>2018</v>
      </c>
      <c r="H31" s="60">
        <f>VLOOKUP($Q31,'FILL Table'!$A$19:$I$41,H$3,FALSE)</f>
        <v>0.33312073699035999</v>
      </c>
      <c r="I31" s="60">
        <f>VLOOKUP($Q31,'FILL Table'!$A$19:$L$41,I$3,FALSE)</f>
        <v>6.3285738480697407E-2</v>
      </c>
      <c r="J31" s="60">
        <f>VLOOKUP($Q31,'FILL Table'!$A$19:$L$41,J$3,FALSE)</f>
        <v>0.30588493150684898</v>
      </c>
      <c r="K31" s="60">
        <f>VLOOKUP($Q31,'FILL Table'!$A$19:$L$41,K$3,FALSE)</f>
        <v>0.27567135981735202</v>
      </c>
      <c r="Q31" s="46" t="str">
        <f t="shared" si="4"/>
        <v>TER_TP_SH_GAS</v>
      </c>
    </row>
    <row r="32" spans="2:18" x14ac:dyDescent="0.25">
      <c r="D32" s="41" t="s">
        <v>171</v>
      </c>
      <c r="F32" s="46" t="s">
        <v>23</v>
      </c>
      <c r="G32" s="55">
        <f t="shared" si="3"/>
        <v>2018</v>
      </c>
      <c r="H32" s="60">
        <f>VLOOKUP($Q32,'FILL Table'!$A$19:$I$41,H$3,FALSE)</f>
        <v>0.33312073699035999</v>
      </c>
      <c r="I32" s="60">
        <f>VLOOKUP($Q32,'FILL Table'!$A$19:$L$41,I$3,FALSE)</f>
        <v>6.3285738480697407E-2</v>
      </c>
      <c r="J32" s="60">
        <f>VLOOKUP($Q32,'FILL Table'!$A$19:$L$41,J$3,FALSE)</f>
        <v>0.30588493150684898</v>
      </c>
      <c r="K32" s="60">
        <f>VLOOKUP($Q32,'FILL Table'!$A$19:$L$41,K$3,FALSE)</f>
        <v>0.27567135981735202</v>
      </c>
      <c r="Q32" s="46" t="str">
        <f t="shared" si="4"/>
        <v>TER_TP_SH_GAS</v>
      </c>
    </row>
    <row r="33" spans="4:18" x14ac:dyDescent="0.25">
      <c r="D33" s="41" t="s">
        <v>172</v>
      </c>
      <c r="F33" s="46" t="s">
        <v>23</v>
      </c>
      <c r="G33" s="55">
        <f t="shared" si="3"/>
        <v>2018</v>
      </c>
      <c r="H33" s="60">
        <f>VLOOKUP($Q33,'FILL Table'!$A$19:$I$41,H$3,FALSE)</f>
        <v>0.33312073699035999</v>
      </c>
      <c r="I33" s="60">
        <f>VLOOKUP($Q33,'FILL Table'!$A$19:$L$41,I$3,FALSE)</f>
        <v>6.3285738480697407E-2</v>
      </c>
      <c r="J33" s="60">
        <f>VLOOKUP($Q33,'FILL Table'!$A$19:$L$41,J$3,FALSE)</f>
        <v>0.30588493150684898</v>
      </c>
      <c r="K33" s="60">
        <f>VLOOKUP($Q33,'FILL Table'!$A$19:$L$41,K$3,FALSE)</f>
        <v>0.27567135981735202</v>
      </c>
      <c r="Q33" s="46" t="str">
        <f t="shared" si="4"/>
        <v>TER_TP_SH_GAS</v>
      </c>
    </row>
    <row r="34" spans="4:18" x14ac:dyDescent="0.25">
      <c r="D34" s="41" t="s">
        <v>173</v>
      </c>
      <c r="F34" s="46" t="s">
        <v>23</v>
      </c>
      <c r="G34" s="55">
        <f t="shared" si="3"/>
        <v>2018</v>
      </c>
      <c r="H34" s="60">
        <f>VLOOKUP($Q34,'FILL Table'!$A$19:$I$41,H$3,FALSE)</f>
        <v>0.33312073699035999</v>
      </c>
      <c r="I34" s="60">
        <f>VLOOKUP($Q34,'FILL Table'!$A$19:$L$41,I$3,FALSE)</f>
        <v>6.3285738480697407E-2</v>
      </c>
      <c r="J34" s="60">
        <f>VLOOKUP($Q34,'FILL Table'!$A$19:$L$41,J$3,FALSE)</f>
        <v>0.30588493150684898</v>
      </c>
      <c r="K34" s="60">
        <f>VLOOKUP($Q34,'FILL Table'!$A$19:$L$41,K$3,FALSE)</f>
        <v>0.27567135981735202</v>
      </c>
      <c r="Q34" s="46" t="str">
        <f t="shared" si="4"/>
        <v>TER_TP_SH_GAS</v>
      </c>
    </row>
    <row r="35" spans="4:18" x14ac:dyDescent="0.25">
      <c r="D35" s="41" t="s">
        <v>174</v>
      </c>
      <c r="F35" s="46" t="s">
        <v>23</v>
      </c>
      <c r="G35" s="55">
        <f t="shared" si="3"/>
        <v>2018</v>
      </c>
      <c r="H35" s="60">
        <f>H34</f>
        <v>0.33312073699035999</v>
      </c>
      <c r="I35" s="60">
        <f>VLOOKUP($Q35,'FILL Table'!$A$19:$L$41,I$3,FALSE)</f>
        <v>6.7241097135741001E-2</v>
      </c>
      <c r="J35" s="60">
        <f>VLOOKUP($Q35,'FILL Table'!$A$19:$L$41,J$3,FALSE)</f>
        <v>0.325002739726028</v>
      </c>
      <c r="K35" s="60">
        <f>VLOOKUP($Q35,'FILL Table'!$A$19:$L$41,K$3,FALSE)</f>
        <v>0.29290081980593602</v>
      </c>
      <c r="Q35" s="46" t="str">
        <f t="shared" si="4"/>
        <v>TER_TP_SH_LTH</v>
      </c>
    </row>
    <row r="36" spans="4:18" x14ac:dyDescent="0.25">
      <c r="D36" s="41" t="s">
        <v>175</v>
      </c>
      <c r="F36" s="46" t="s">
        <v>23</v>
      </c>
      <c r="G36" s="55">
        <f t="shared" si="3"/>
        <v>2018</v>
      </c>
      <c r="H36" s="60">
        <f>H35</f>
        <v>0.33312073699035999</v>
      </c>
      <c r="I36" s="60">
        <f>VLOOKUP($Q36,'FILL Table'!$A$19:$L$41,I$3,FALSE)</f>
        <v>6.7241097135741001E-2</v>
      </c>
      <c r="J36" s="60">
        <f>VLOOKUP($Q36,'FILL Table'!$A$19:$L$41,J$3,FALSE)</f>
        <v>0.325002739726028</v>
      </c>
      <c r="K36" s="60">
        <f>VLOOKUP($Q36,'FILL Table'!$A$19:$L$41,K$3,FALSE)</f>
        <v>0.29290081980593602</v>
      </c>
      <c r="Q36" s="46" t="str">
        <f t="shared" si="4"/>
        <v>TER_TP_SH_LTH</v>
      </c>
    </row>
    <row r="37" spans="4:18" x14ac:dyDescent="0.25">
      <c r="D37" s="41" t="s">
        <v>176</v>
      </c>
      <c r="F37" s="46" t="s">
        <v>23</v>
      </c>
      <c r="G37" s="55">
        <f t="shared" si="3"/>
        <v>2018</v>
      </c>
      <c r="H37" s="60">
        <f>H36</f>
        <v>0.33312073699035999</v>
      </c>
      <c r="I37" s="60">
        <f>VLOOKUP($Q37,'FILL Table'!$A$19:$L$41,I$3,FALSE)</f>
        <v>6.7241097135741001E-2</v>
      </c>
      <c r="J37" s="60">
        <f>VLOOKUP($Q37,'FILL Table'!$A$19:$L$41,J$3,FALSE)</f>
        <v>0.325002739726028</v>
      </c>
      <c r="K37" s="60">
        <f>VLOOKUP($Q37,'FILL Table'!$A$19:$L$41,K$3,FALSE)</f>
        <v>0.29290081980593602</v>
      </c>
      <c r="Q37" s="46" t="str">
        <f t="shared" si="4"/>
        <v>TER_TP_SH_LTH</v>
      </c>
    </row>
    <row r="38" spans="4:18" x14ac:dyDescent="0.25">
      <c r="D38" s="41" t="s">
        <v>177</v>
      </c>
      <c r="F38" s="46" t="s">
        <v>23</v>
      </c>
      <c r="G38" s="55">
        <f t="shared" si="3"/>
        <v>2018</v>
      </c>
      <c r="H38" s="60">
        <f>VLOOKUP($Q38,'FILL Table'!$A$19:$I$41,H$3,FALSE)</f>
        <v>0.53537261302022199</v>
      </c>
      <c r="I38" s="60">
        <f>VLOOKUP($Q38,'FILL Table'!$A$19:$L$41,I$3,FALSE)</f>
        <v>0.10170922255826401</v>
      </c>
      <c r="J38" s="60">
        <f>VLOOKUP($Q38,'FILL Table'!$A$19:$L$41,J$3,FALSE)</f>
        <v>0.49160078277886499</v>
      </c>
      <c r="K38" s="60">
        <f>VLOOKUP($Q38,'FILL Table'!$A$19:$L$41,K$3,FALSE)</f>
        <v>0.443043256849315</v>
      </c>
      <c r="Q38" s="46" t="str">
        <f t="shared" si="4"/>
        <v>TER_TP_SH_ELC</v>
      </c>
    </row>
    <row r="39" spans="4:18" ht="14.4" x14ac:dyDescent="0.3">
      <c r="D39" s="62" t="s">
        <v>178</v>
      </c>
      <c r="E39" s="62"/>
      <c r="F39" s="63" t="s">
        <v>23</v>
      </c>
      <c r="G39" s="64">
        <f t="shared" si="3"/>
        <v>2018</v>
      </c>
      <c r="H39" s="65">
        <f>AVERAGE(H31:H37)*1.5</f>
        <v>0.49968110548554001</v>
      </c>
      <c r="I39" s="65">
        <f t="shared" ref="I39:K39" si="6">AVERAGE(I31:I37)*1.5</f>
        <v>9.7471338285002707E-2</v>
      </c>
      <c r="J39" s="65">
        <f t="shared" si="6"/>
        <v>0.47111741682974567</v>
      </c>
      <c r="K39" s="65">
        <f t="shared" si="6"/>
        <v>0.42458312114726054</v>
      </c>
      <c r="L39" s="62"/>
      <c r="M39" s="62"/>
      <c r="N39" s="62"/>
      <c r="O39" s="62"/>
      <c r="P39" s="62"/>
      <c r="Q39" s="63" t="str">
        <f t="shared" si="4"/>
        <v>TER_TP_SH_ELC</v>
      </c>
      <c r="R39" s="62" t="s">
        <v>359</v>
      </c>
    </row>
    <row r="40" spans="4:18" ht="14.4" x14ac:dyDescent="0.3">
      <c r="D40" s="62" t="s">
        <v>179</v>
      </c>
      <c r="E40" s="62"/>
      <c r="F40" s="63" t="s">
        <v>23</v>
      </c>
      <c r="G40" s="64">
        <f t="shared" si="3"/>
        <v>2018</v>
      </c>
      <c r="H40" s="65">
        <f>H39</f>
        <v>0.49968110548554001</v>
      </c>
      <c r="I40" s="65">
        <f t="shared" ref="I40:K44" si="7">I39</f>
        <v>9.7471338285002707E-2</v>
      </c>
      <c r="J40" s="65">
        <f t="shared" si="7"/>
        <v>0.47111741682974567</v>
      </c>
      <c r="K40" s="65">
        <f t="shared" si="7"/>
        <v>0.42458312114726054</v>
      </c>
      <c r="L40" s="62"/>
      <c r="M40" s="62"/>
      <c r="N40" s="62"/>
      <c r="O40" s="62"/>
      <c r="P40" s="62"/>
      <c r="Q40" s="63" t="str">
        <f t="shared" si="4"/>
        <v>TER_TP_SH_ELC</v>
      </c>
      <c r="R40" s="62" t="s">
        <v>359</v>
      </c>
    </row>
    <row r="41" spans="4:18" ht="14.4" x14ac:dyDescent="0.3">
      <c r="D41" s="62" t="s">
        <v>180</v>
      </c>
      <c r="E41" s="62"/>
      <c r="F41" s="63" t="s">
        <v>23</v>
      </c>
      <c r="G41" s="64">
        <f t="shared" si="3"/>
        <v>2018</v>
      </c>
      <c r="H41" s="65">
        <f t="shared" ref="H41:H44" si="8">H40</f>
        <v>0.49968110548554001</v>
      </c>
      <c r="I41" s="65">
        <f t="shared" si="7"/>
        <v>9.7471338285002707E-2</v>
      </c>
      <c r="J41" s="65">
        <f t="shared" si="7"/>
        <v>0.47111741682974567</v>
      </c>
      <c r="K41" s="65">
        <f t="shared" si="7"/>
        <v>0.42458312114726054</v>
      </c>
      <c r="L41" s="62"/>
      <c r="M41" s="62"/>
      <c r="N41" s="62"/>
      <c r="O41" s="62"/>
      <c r="P41" s="62"/>
      <c r="Q41" s="63" t="str">
        <f t="shared" si="4"/>
        <v>TER_TP_SH_ELC</v>
      </c>
      <c r="R41" s="62" t="s">
        <v>359</v>
      </c>
    </row>
    <row r="42" spans="4:18" ht="14.4" x14ac:dyDescent="0.3">
      <c r="D42" s="62" t="s">
        <v>181</v>
      </c>
      <c r="E42" s="62"/>
      <c r="F42" s="63" t="s">
        <v>23</v>
      </c>
      <c r="G42" s="64">
        <f t="shared" si="3"/>
        <v>2018</v>
      </c>
      <c r="H42" s="65">
        <f t="shared" si="8"/>
        <v>0.49968110548554001</v>
      </c>
      <c r="I42" s="65">
        <f t="shared" si="7"/>
        <v>9.7471338285002707E-2</v>
      </c>
      <c r="J42" s="65">
        <f t="shared" si="7"/>
        <v>0.47111741682974567</v>
      </c>
      <c r="K42" s="65">
        <f t="shared" si="7"/>
        <v>0.42458312114726054</v>
      </c>
      <c r="L42" s="62"/>
      <c r="M42" s="62"/>
      <c r="N42" s="62"/>
      <c r="O42" s="62"/>
      <c r="P42" s="62"/>
      <c r="Q42" s="63" t="str">
        <f t="shared" si="4"/>
        <v>TER_TP_SH_ELC</v>
      </c>
      <c r="R42" s="62" t="s">
        <v>359</v>
      </c>
    </row>
    <row r="43" spans="4:18" ht="14.4" x14ac:dyDescent="0.3">
      <c r="D43" s="62" t="s">
        <v>182</v>
      </c>
      <c r="E43" s="62"/>
      <c r="F43" s="63" t="s">
        <v>23</v>
      </c>
      <c r="G43" s="64">
        <f t="shared" si="3"/>
        <v>2018</v>
      </c>
      <c r="H43" s="65">
        <f t="shared" si="8"/>
        <v>0.49968110548554001</v>
      </c>
      <c r="I43" s="65">
        <f t="shared" si="7"/>
        <v>9.7471338285002707E-2</v>
      </c>
      <c r="J43" s="65">
        <f t="shared" si="7"/>
        <v>0.47111741682974567</v>
      </c>
      <c r="K43" s="65">
        <f t="shared" si="7"/>
        <v>0.42458312114726054</v>
      </c>
      <c r="L43" s="62"/>
      <c r="M43" s="62"/>
      <c r="N43" s="62"/>
      <c r="O43" s="62"/>
      <c r="P43" s="62"/>
      <c r="Q43" s="63" t="str">
        <f t="shared" si="4"/>
        <v>TER_TP_SH_ELC</v>
      </c>
      <c r="R43" s="62" t="s">
        <v>359</v>
      </c>
    </row>
    <row r="44" spans="4:18" ht="14.4" x14ac:dyDescent="0.3">
      <c r="D44" s="62" t="s">
        <v>183</v>
      </c>
      <c r="E44" s="62"/>
      <c r="F44" s="63" t="s">
        <v>23</v>
      </c>
      <c r="G44" s="64">
        <f t="shared" si="3"/>
        <v>2018</v>
      </c>
      <c r="H44" s="65">
        <f t="shared" si="8"/>
        <v>0.49968110548554001</v>
      </c>
      <c r="I44" s="65">
        <f t="shared" si="7"/>
        <v>9.7471338285002707E-2</v>
      </c>
      <c r="J44" s="65">
        <f t="shared" si="7"/>
        <v>0.47111741682974567</v>
      </c>
      <c r="K44" s="65">
        <f t="shared" si="7"/>
        <v>0.42458312114726054</v>
      </c>
      <c r="L44" s="62"/>
      <c r="M44" s="62"/>
      <c r="N44" s="62"/>
      <c r="O44" s="62"/>
      <c r="P44" s="62"/>
      <c r="Q44" s="63" t="str">
        <f t="shared" si="4"/>
        <v>TER_TP_SH_ELC</v>
      </c>
      <c r="R44" s="62" t="s">
        <v>359</v>
      </c>
    </row>
    <row r="45" spans="4:18" x14ac:dyDescent="0.25">
      <c r="D45" s="41" t="s">
        <v>184</v>
      </c>
      <c r="F45" s="46" t="s">
        <v>23</v>
      </c>
      <c r="G45" s="55">
        <f t="shared" si="3"/>
        <v>2018</v>
      </c>
      <c r="H45" s="60">
        <f>H42</f>
        <v>0.49968110548554001</v>
      </c>
      <c r="I45" s="60">
        <f t="shared" ref="I45:K45" si="9">I42</f>
        <v>9.7471338285002707E-2</v>
      </c>
      <c r="J45" s="60">
        <f t="shared" si="9"/>
        <v>0.47111741682974567</v>
      </c>
      <c r="K45" s="60">
        <f t="shared" si="9"/>
        <v>0.42458312114726054</v>
      </c>
      <c r="Q45" s="46" t="str">
        <f t="shared" si="4"/>
        <v>TER_TP_SH_GEO</v>
      </c>
    </row>
    <row r="46" spans="4:18" x14ac:dyDescent="0.25">
      <c r="D46" s="41" t="s">
        <v>185</v>
      </c>
      <c r="F46" s="46" t="s">
        <v>23</v>
      </c>
      <c r="G46" s="55">
        <f t="shared" si="3"/>
        <v>2018</v>
      </c>
      <c r="H46" s="60">
        <f>H45</f>
        <v>0.49968110548554001</v>
      </c>
      <c r="I46" s="60">
        <f t="shared" ref="I46:K46" si="10">I45</f>
        <v>9.7471338285002707E-2</v>
      </c>
      <c r="J46" s="60">
        <f t="shared" si="10"/>
        <v>0.47111741682974567</v>
      </c>
      <c r="K46" s="60">
        <f t="shared" si="10"/>
        <v>0.42458312114726054</v>
      </c>
      <c r="Q46" s="46" t="str">
        <f t="shared" si="4"/>
        <v>TER_TP_SH_GEO</v>
      </c>
    </row>
    <row r="47" spans="4:18" x14ac:dyDescent="0.25">
      <c r="D47" s="41" t="s">
        <v>186</v>
      </c>
      <c r="F47" s="46" t="s">
        <v>23</v>
      </c>
      <c r="G47" s="55">
        <f t="shared" si="3"/>
        <v>2018</v>
      </c>
      <c r="H47" s="60">
        <f>H45</f>
        <v>0.49968110548554001</v>
      </c>
      <c r="I47" s="60">
        <f t="shared" ref="I47:K47" si="11">I45</f>
        <v>9.7471338285002707E-2</v>
      </c>
      <c r="J47" s="60">
        <f t="shared" si="11"/>
        <v>0.47111741682974567</v>
      </c>
      <c r="K47" s="60">
        <f t="shared" si="11"/>
        <v>0.42458312114726054</v>
      </c>
      <c r="Q47" s="46" t="str">
        <f t="shared" si="4"/>
        <v>TER_TP_SH_GEO</v>
      </c>
    </row>
    <row r="48" spans="4:18" x14ac:dyDescent="0.25">
      <c r="D48" s="41" t="s">
        <v>187</v>
      </c>
      <c r="F48" s="46" t="s">
        <v>23</v>
      </c>
      <c r="G48" s="55">
        <f t="shared" si="3"/>
        <v>2018</v>
      </c>
      <c r="H48" s="60">
        <f>H45</f>
        <v>0.49968110548554001</v>
      </c>
      <c r="I48" s="60">
        <f t="shared" ref="I48:K48" si="12">I45</f>
        <v>9.7471338285002707E-2</v>
      </c>
      <c r="J48" s="60">
        <f t="shared" si="12"/>
        <v>0.47111741682974567</v>
      </c>
      <c r="K48" s="60">
        <f t="shared" si="12"/>
        <v>0.42458312114726054</v>
      </c>
      <c r="Q48" s="46" t="str">
        <f t="shared" si="4"/>
        <v>TER_TP_SH_GEO</v>
      </c>
    </row>
    <row r="49" spans="4:17" x14ac:dyDescent="0.25">
      <c r="D49" s="41" t="s">
        <v>188</v>
      </c>
      <c r="F49" s="46" t="s">
        <v>23</v>
      </c>
      <c r="G49" s="55">
        <f t="shared" si="3"/>
        <v>2018</v>
      </c>
      <c r="H49" s="60">
        <f>VLOOKUP($Q49,'FILL Table'!$A$19:$I$41,H$3,FALSE)</f>
        <v>0.31230069092846302</v>
      </c>
      <c r="I49" s="60">
        <f>VLOOKUP($Q49,'FILL Table'!$A$19:$L$41,I$3,FALSE)</f>
        <v>0.2</v>
      </c>
      <c r="J49" s="60">
        <f>VLOOKUP($Q49,'FILL Table'!$A$19:$L$41,J$3,FALSE)</f>
        <v>0.2</v>
      </c>
      <c r="K49" s="60">
        <f>VLOOKUP($Q49,'FILL Table'!$A$19:$L$41,K$3,FALSE)</f>
        <v>0.25844189982876697</v>
      </c>
      <c r="Q49" s="46" t="str">
        <f t="shared" si="4"/>
        <v>TER_TP_SH_DSL</v>
      </c>
    </row>
    <row r="50" spans="4:17" x14ac:dyDescent="0.25">
      <c r="D50" s="41" t="s">
        <v>189</v>
      </c>
      <c r="F50" s="46" t="s">
        <v>23</v>
      </c>
      <c r="G50" s="55">
        <f t="shared" si="3"/>
        <v>2018</v>
      </c>
      <c r="H50" s="60">
        <f>VLOOKUP($Q50,'FILL Table'!$A$19:$I$41,H$3,FALSE)</f>
        <v>0.31230069092846302</v>
      </c>
      <c r="I50" s="60">
        <f>VLOOKUP($Q50,'FILL Table'!$A$19:$L$41,I$3,FALSE)</f>
        <v>0.2</v>
      </c>
      <c r="J50" s="60">
        <f>VLOOKUP($Q50,'FILL Table'!$A$19:$L$41,J$3,FALSE)</f>
        <v>0.2</v>
      </c>
      <c r="K50" s="60">
        <f>VLOOKUP($Q50,'FILL Table'!$A$19:$L$41,K$3,FALSE)</f>
        <v>0.25844189982876697</v>
      </c>
      <c r="Q50" s="46" t="str">
        <f t="shared" si="4"/>
        <v>TER_TP_SH_DSL</v>
      </c>
    </row>
    <row r="51" spans="4:17" x14ac:dyDescent="0.25">
      <c r="D51" s="41" t="s">
        <v>190</v>
      </c>
      <c r="F51" s="46" t="s">
        <v>23</v>
      </c>
      <c r="G51" s="55">
        <f t="shared" si="3"/>
        <v>2018</v>
      </c>
      <c r="H51" s="60">
        <f>VLOOKUP($Q51,'FILL Table'!$A$19:$I$41,H$3,FALSE)</f>
        <v>0.31230069092846302</v>
      </c>
      <c r="I51" s="60">
        <f>VLOOKUP($Q51,'FILL Table'!$A$19:$L$41,I$3,FALSE)</f>
        <v>0.2</v>
      </c>
      <c r="J51" s="60">
        <f>VLOOKUP($Q51,'FILL Table'!$A$19:$L$41,J$3,FALSE)</f>
        <v>0.2</v>
      </c>
      <c r="K51" s="60">
        <f>VLOOKUP($Q51,'FILL Table'!$A$19:$L$41,K$3,FALSE)</f>
        <v>0.25844189982876697</v>
      </c>
      <c r="Q51" s="46" t="str">
        <f t="shared" si="4"/>
        <v>TER_TP_SH_DSL</v>
      </c>
    </row>
    <row r="52" spans="4:17" x14ac:dyDescent="0.25">
      <c r="D52" s="41" t="s">
        <v>191</v>
      </c>
      <c r="F52" s="46" t="s">
        <v>23</v>
      </c>
      <c r="G52" s="55">
        <f t="shared" si="3"/>
        <v>2018</v>
      </c>
      <c r="H52" s="60">
        <f>VLOOKUP($Q52,'FILL Table'!$A$19:$I$41,H$3,FALSE)</f>
        <v>0.31230069092846302</v>
      </c>
      <c r="I52" s="60">
        <f>VLOOKUP($Q52,'FILL Table'!$A$19:$L$41,I$3,FALSE)</f>
        <v>0.2</v>
      </c>
      <c r="J52" s="60">
        <f>VLOOKUP($Q52,'FILL Table'!$A$19:$L$41,J$3,FALSE)</f>
        <v>0.2</v>
      </c>
      <c r="K52" s="60">
        <f>VLOOKUP($Q52,'FILL Table'!$A$19:$L$41,K$3,FALSE)</f>
        <v>0.25844189982876697</v>
      </c>
      <c r="Q52" s="46" t="str">
        <f t="shared" si="4"/>
        <v>TER_TP_SH_DSL</v>
      </c>
    </row>
    <row r="53" spans="4:17" x14ac:dyDescent="0.25">
      <c r="D53" s="41" t="s">
        <v>206</v>
      </c>
      <c r="F53" s="46" t="s">
        <v>23</v>
      </c>
      <c r="G53" s="55">
        <f t="shared" si="3"/>
        <v>2018</v>
      </c>
      <c r="H53" s="60">
        <f>VLOOKUP($Q53,'FILL Table'!$A$19:$I$41,H$3,FALSE)</f>
        <v>0.25</v>
      </c>
      <c r="I53" s="60">
        <f>VLOOKUP($Q53,'FILL Table'!$A$19:$L$41,I$3,FALSE)</f>
        <v>0.25</v>
      </c>
      <c r="J53" s="60">
        <f>VLOOKUP($Q53,'FILL Table'!$A$19:$L$41,J$3,FALSE)</f>
        <v>0.25</v>
      </c>
      <c r="K53" s="60">
        <f>VLOOKUP($Q53,'FILL Table'!$A$19:$L$41,K$3,FALSE)</f>
        <v>0.25</v>
      </c>
      <c r="Q53" s="46" t="str">
        <f t="shared" si="4"/>
        <v>TER_TS_SH_BKB</v>
      </c>
    </row>
    <row r="54" spans="4:17" x14ac:dyDescent="0.25">
      <c r="D54" s="41" t="s">
        <v>207</v>
      </c>
      <c r="F54" s="46" t="s">
        <v>23</v>
      </c>
      <c r="G54" s="55">
        <f t="shared" si="3"/>
        <v>2018</v>
      </c>
      <c r="H54" s="60">
        <f>VLOOKUP($Q54,'FILL Table'!$A$19:$I$41,H$3,FALSE)</f>
        <v>0.25</v>
      </c>
      <c r="I54" s="60">
        <f>VLOOKUP($Q54,'FILL Table'!$A$19:$L$41,I$3,FALSE)</f>
        <v>4.5983449608610602E-2</v>
      </c>
      <c r="J54" s="60">
        <f>VLOOKUP($Q54,'FILL Table'!$A$19:$L$41,J$3,FALSE)</f>
        <v>0.25</v>
      </c>
      <c r="K54" s="60">
        <f>VLOOKUP($Q54,'FILL Table'!$A$19:$L$41,K$3,FALSE)</f>
        <v>0.25</v>
      </c>
      <c r="Q54" s="46" t="str">
        <f t="shared" si="4"/>
        <v>TER_TS_SH_LOG</v>
      </c>
    </row>
    <row r="55" spans="4:17" x14ac:dyDescent="0.25">
      <c r="D55" s="41" t="s">
        <v>208</v>
      </c>
      <c r="F55" s="46" t="s">
        <v>23</v>
      </c>
      <c r="G55" s="55">
        <f t="shared" si="3"/>
        <v>2018</v>
      </c>
      <c r="H55" s="60">
        <f>H54</f>
        <v>0.25</v>
      </c>
      <c r="I55" s="60">
        <f t="shared" ref="I55:K56" si="13">I54</f>
        <v>4.5983449608610602E-2</v>
      </c>
      <c r="J55" s="60">
        <f t="shared" si="13"/>
        <v>0.25</v>
      </c>
      <c r="K55" s="60">
        <f t="shared" si="13"/>
        <v>0.25</v>
      </c>
      <c r="Q55" s="46" t="str">
        <f t="shared" si="4"/>
        <v>TER_TS_SH_PLT</v>
      </c>
    </row>
    <row r="56" spans="4:17" x14ac:dyDescent="0.25">
      <c r="D56" s="41" t="s">
        <v>209</v>
      </c>
      <c r="F56" s="46" t="s">
        <v>23</v>
      </c>
      <c r="G56" s="55">
        <f t="shared" si="3"/>
        <v>2018</v>
      </c>
      <c r="H56" s="60">
        <f>H55</f>
        <v>0.25</v>
      </c>
      <c r="I56" s="60">
        <f t="shared" si="13"/>
        <v>4.5983449608610602E-2</v>
      </c>
      <c r="J56" s="60">
        <f t="shared" si="13"/>
        <v>0.25</v>
      </c>
      <c r="K56" s="60">
        <f t="shared" si="13"/>
        <v>0.25</v>
      </c>
      <c r="Q56" s="46" t="str">
        <f t="shared" si="4"/>
        <v>TER_TS_SH_PLT</v>
      </c>
    </row>
    <row r="57" spans="4:17" x14ac:dyDescent="0.25">
      <c r="D57" s="41" t="s">
        <v>210</v>
      </c>
      <c r="F57" s="46" t="s">
        <v>23</v>
      </c>
      <c r="G57" s="55">
        <f t="shared" si="3"/>
        <v>2018</v>
      </c>
      <c r="H57" s="60">
        <f>VLOOKUP($Q57,'FILL Table'!$A$19:$I$41,H$3,FALSE)</f>
        <v>0.40396934479701102</v>
      </c>
      <c r="I57" s="60">
        <f>VLOOKUP($Q57,'FILL Table'!$A$19:$L$41,I$3,FALSE)</f>
        <v>6.6885017612524494E-2</v>
      </c>
      <c r="J57" s="60">
        <f>VLOOKUP($Q57,'FILL Table'!$A$19:$L$41,J$3,FALSE)</f>
        <v>0.37789534246575301</v>
      </c>
      <c r="K57" s="60">
        <f>VLOOKUP($Q57,'FILL Table'!$A$19:$L$41,K$3,FALSE)</f>
        <v>0.32682530410958899</v>
      </c>
      <c r="Q57" s="46" t="str">
        <f t="shared" si="4"/>
        <v>TER_TS_SH_GAS</v>
      </c>
    </row>
    <row r="58" spans="4:17" x14ac:dyDescent="0.25">
      <c r="D58" s="41" t="s">
        <v>211</v>
      </c>
      <c r="F58" s="46" t="s">
        <v>23</v>
      </c>
      <c r="G58" s="55">
        <f t="shared" si="3"/>
        <v>2018</v>
      </c>
      <c r="H58" s="60">
        <f>VLOOKUP($Q58,'FILL Table'!$A$19:$I$41,H$3,FALSE)</f>
        <v>0.40396934479701102</v>
      </c>
      <c r="I58" s="60">
        <f>VLOOKUP($Q58,'FILL Table'!$A$19:$L$41,I$3,FALSE)</f>
        <v>6.6885017612524494E-2</v>
      </c>
      <c r="J58" s="60">
        <f>VLOOKUP($Q58,'FILL Table'!$A$19:$L$41,J$3,FALSE)</f>
        <v>0.37789534246575301</v>
      </c>
      <c r="K58" s="60">
        <f>VLOOKUP($Q58,'FILL Table'!$A$19:$L$41,K$3,FALSE)</f>
        <v>0.32682530410958899</v>
      </c>
      <c r="Q58" s="46" t="str">
        <f t="shared" si="4"/>
        <v>TER_TS_SH_GAS</v>
      </c>
    </row>
    <row r="59" spans="4:17" x14ac:dyDescent="0.25">
      <c r="D59" s="41" t="s">
        <v>212</v>
      </c>
      <c r="F59" s="46" t="s">
        <v>23</v>
      </c>
      <c r="G59" s="55">
        <f t="shared" si="3"/>
        <v>2018</v>
      </c>
      <c r="H59" s="60">
        <f>VLOOKUP($Q59,'FILL Table'!$A$19:$I$41,H$3,FALSE)</f>
        <v>0.40396934479701102</v>
      </c>
      <c r="I59" s="60">
        <f>VLOOKUP($Q59,'FILL Table'!$A$19:$L$41,I$3,FALSE)</f>
        <v>6.6885017612524494E-2</v>
      </c>
      <c r="J59" s="60">
        <f>VLOOKUP($Q59,'FILL Table'!$A$19:$L$41,J$3,FALSE)</f>
        <v>0.37789534246575301</v>
      </c>
      <c r="K59" s="60">
        <f>VLOOKUP($Q59,'FILL Table'!$A$19:$L$41,K$3,FALSE)</f>
        <v>0.32682530410958899</v>
      </c>
      <c r="Q59" s="46" t="str">
        <f t="shared" ref="Q59:Q90" si="14">LEFT(D59,13)</f>
        <v>TER_TS_SH_GAS</v>
      </c>
    </row>
    <row r="60" spans="4:17" x14ac:dyDescent="0.25">
      <c r="D60" s="41" t="s">
        <v>213</v>
      </c>
      <c r="F60" s="46" t="s">
        <v>23</v>
      </c>
      <c r="G60" s="55">
        <f t="shared" si="3"/>
        <v>2018</v>
      </c>
      <c r="H60" s="60">
        <f>VLOOKUP($Q60,'FILL Table'!$A$19:$I$41,H$3,FALSE)</f>
        <v>0.40396934479701102</v>
      </c>
      <c r="I60" s="60">
        <f>VLOOKUP($Q60,'FILL Table'!$A$19:$L$41,I$3,FALSE)</f>
        <v>6.6885017612524494E-2</v>
      </c>
      <c r="J60" s="60">
        <f>VLOOKUP($Q60,'FILL Table'!$A$19:$L$41,J$3,FALSE)</f>
        <v>0.37789534246575301</v>
      </c>
      <c r="K60" s="60">
        <f>VLOOKUP($Q60,'FILL Table'!$A$19:$L$41,K$3,FALSE)</f>
        <v>0.32682530410958899</v>
      </c>
      <c r="Q60" s="46" t="str">
        <f t="shared" si="14"/>
        <v>TER_TS_SH_GAS</v>
      </c>
    </row>
    <row r="61" spans="4:17" x14ac:dyDescent="0.25">
      <c r="D61" s="41" t="s">
        <v>214</v>
      </c>
      <c r="F61" s="46" t="s">
        <v>23</v>
      </c>
      <c r="G61" s="55">
        <f t="shared" si="3"/>
        <v>2018</v>
      </c>
      <c r="H61" s="60">
        <f>H60</f>
        <v>0.40396934479701102</v>
      </c>
      <c r="I61" s="60">
        <f t="shared" ref="I61:K62" si="15">I60</f>
        <v>6.6885017612524494E-2</v>
      </c>
      <c r="J61" s="60">
        <f t="shared" si="15"/>
        <v>0.37789534246575301</v>
      </c>
      <c r="K61" s="60">
        <f t="shared" si="15"/>
        <v>0.32682530410958899</v>
      </c>
      <c r="Q61" s="46" t="str">
        <f t="shared" si="14"/>
        <v>TER_TS_SH_LTH</v>
      </c>
    </row>
    <row r="62" spans="4:17" x14ac:dyDescent="0.25">
      <c r="D62" s="41" t="s">
        <v>215</v>
      </c>
      <c r="F62" s="46" t="s">
        <v>23</v>
      </c>
      <c r="G62" s="55">
        <f t="shared" si="3"/>
        <v>2018</v>
      </c>
      <c r="H62" s="60">
        <f>H61</f>
        <v>0.40396934479701102</v>
      </c>
      <c r="I62" s="60">
        <f t="shared" si="15"/>
        <v>6.6885017612524494E-2</v>
      </c>
      <c r="J62" s="60">
        <f t="shared" si="15"/>
        <v>0.37789534246575301</v>
      </c>
      <c r="K62" s="60">
        <f t="shared" si="15"/>
        <v>0.32682530410958899</v>
      </c>
      <c r="Q62" s="46" t="str">
        <f t="shared" si="14"/>
        <v>TER_TS_SH_LTH</v>
      </c>
    </row>
    <row r="63" spans="4:17" x14ac:dyDescent="0.25">
      <c r="D63" s="41" t="s">
        <v>216</v>
      </c>
      <c r="F63" s="46" t="s">
        <v>23</v>
      </c>
      <c r="G63" s="55">
        <f t="shared" si="3"/>
        <v>2018</v>
      </c>
      <c r="H63" s="60">
        <f>H61</f>
        <v>0.40396934479701102</v>
      </c>
      <c r="I63" s="60">
        <f t="shared" ref="I63:K63" si="16">I61</f>
        <v>6.6885017612524494E-2</v>
      </c>
      <c r="J63" s="60">
        <f t="shared" si="16"/>
        <v>0.37789534246575301</v>
      </c>
      <c r="K63" s="60">
        <f t="shared" si="16"/>
        <v>0.32682530410958899</v>
      </c>
      <c r="Q63" s="46" t="str">
        <f t="shared" si="14"/>
        <v>TER_TS_SH_LTH</v>
      </c>
    </row>
    <row r="64" spans="4:17" x14ac:dyDescent="0.25">
      <c r="D64" s="41" t="s">
        <v>217</v>
      </c>
      <c r="F64" s="46" t="s">
        <v>23</v>
      </c>
      <c r="G64" s="55">
        <f t="shared" si="3"/>
        <v>2018</v>
      </c>
      <c r="H64" s="60">
        <f>IF(VLOOKUP($Q64,'FILL Table'!$A$19:$I$41,H$3,FALSE)&gt;$H$38,$H$38,VLOOKUP($Q64,'FILL Table'!$A$19:$I$41,H$3,FALSE))</f>
        <v>0.4</v>
      </c>
      <c r="I64" s="60">
        <f>IF(VLOOKUP($Q64,'FILL Table'!$A$19:$L$41,I$3,FALSE)&gt;$H$38,$H$38,VLOOKUP($Q64,'FILL Table'!$A$19:$L$41,I$3,FALSE))</f>
        <v>0.107493778305843</v>
      </c>
      <c r="J64" s="60">
        <f>IF(VLOOKUP($Q64,'FILL Table'!$A$19:$L$41,J$3,FALSE)&gt;$H$38,$H$38,VLOOKUP($Q64,'FILL Table'!$A$19:$L$41,J$3,FALSE))</f>
        <v>0.4</v>
      </c>
      <c r="K64" s="60">
        <f>IF(VLOOKUP($Q64,'FILL Table'!$A$19:$L$41,K$3,FALSE)&gt;$H$38,$H$38,VLOOKUP($Q64,'FILL Table'!$A$19:$L$41,K$3,FALSE))</f>
        <v>0.4</v>
      </c>
      <c r="Q64" s="46" t="str">
        <f t="shared" si="14"/>
        <v>TER_TS_SH_ELC</v>
      </c>
    </row>
    <row r="65" spans="2:22" ht="14.4" x14ac:dyDescent="0.3">
      <c r="D65" s="62" t="s">
        <v>218</v>
      </c>
      <c r="E65" s="62"/>
      <c r="F65" s="63" t="s">
        <v>23</v>
      </c>
      <c r="G65" s="64">
        <f t="shared" si="3"/>
        <v>2018</v>
      </c>
      <c r="H65" s="65">
        <f>AVERAGE(H57:H63)*1.5</f>
        <v>0.60595401719551656</v>
      </c>
      <c r="I65" s="65">
        <f t="shared" ref="I65:K65" si="17">AVERAGE(I57:I63)*1.5</f>
        <v>0.10032752641878676</v>
      </c>
      <c r="J65" s="65">
        <f t="shared" si="17"/>
        <v>0.56684301369862955</v>
      </c>
      <c r="K65" s="65">
        <f t="shared" si="17"/>
        <v>0.49023795616438348</v>
      </c>
      <c r="L65" s="62"/>
      <c r="M65" s="62"/>
      <c r="N65" s="62"/>
      <c r="O65" s="62"/>
      <c r="P65" s="62"/>
      <c r="Q65" s="63" t="str">
        <f t="shared" si="14"/>
        <v>TER_TS_SH_ELC</v>
      </c>
      <c r="R65" s="62" t="s">
        <v>359</v>
      </c>
      <c r="S65" s="62"/>
      <c r="T65" s="62"/>
      <c r="U65" s="62"/>
      <c r="V65" s="62"/>
    </row>
    <row r="66" spans="2:22" ht="14.4" x14ac:dyDescent="0.3">
      <c r="D66" s="62" t="s">
        <v>219</v>
      </c>
      <c r="E66" s="62"/>
      <c r="F66" s="63" t="s">
        <v>23</v>
      </c>
      <c r="G66" s="64">
        <f t="shared" si="3"/>
        <v>2018</v>
      </c>
      <c r="H66" s="65">
        <f>H65</f>
        <v>0.60595401719551656</v>
      </c>
      <c r="I66" s="65">
        <f t="shared" ref="I66:I70" si="18">I65</f>
        <v>0.10032752641878676</v>
      </c>
      <c r="J66" s="65">
        <f t="shared" ref="J66:J70" si="19">J65</f>
        <v>0.56684301369862955</v>
      </c>
      <c r="K66" s="65">
        <f t="shared" ref="K66:K70" si="20">K65</f>
        <v>0.49023795616438348</v>
      </c>
      <c r="L66" s="62"/>
      <c r="M66" s="62"/>
      <c r="N66" s="62"/>
      <c r="O66" s="62"/>
      <c r="P66" s="62"/>
      <c r="Q66" s="63" t="str">
        <f t="shared" si="14"/>
        <v>TER_TS_SH_ELC</v>
      </c>
      <c r="R66" s="62" t="s">
        <v>359</v>
      </c>
      <c r="S66" s="62"/>
      <c r="T66" s="62"/>
      <c r="U66" s="62"/>
      <c r="V66" s="62"/>
    </row>
    <row r="67" spans="2:22" ht="14.4" x14ac:dyDescent="0.3">
      <c r="D67" s="62" t="s">
        <v>220</v>
      </c>
      <c r="E67" s="62"/>
      <c r="F67" s="63" t="s">
        <v>23</v>
      </c>
      <c r="G67" s="64">
        <f t="shared" si="3"/>
        <v>2018</v>
      </c>
      <c r="H67" s="65">
        <f t="shared" ref="H67:H70" si="21">H66</f>
        <v>0.60595401719551656</v>
      </c>
      <c r="I67" s="65">
        <f t="shared" si="18"/>
        <v>0.10032752641878676</v>
      </c>
      <c r="J67" s="65">
        <f t="shared" si="19"/>
        <v>0.56684301369862955</v>
      </c>
      <c r="K67" s="65">
        <f t="shared" si="20"/>
        <v>0.49023795616438348</v>
      </c>
      <c r="L67" s="62"/>
      <c r="M67" s="62"/>
      <c r="N67" s="62"/>
      <c r="O67" s="62"/>
      <c r="P67" s="62"/>
      <c r="Q67" s="63" t="str">
        <f t="shared" si="14"/>
        <v>TER_TS_SH_ELC</v>
      </c>
      <c r="R67" s="62" t="s">
        <v>359</v>
      </c>
      <c r="S67" s="62"/>
      <c r="T67" s="62"/>
      <c r="U67" s="62"/>
      <c r="V67" s="62"/>
    </row>
    <row r="68" spans="2:22" ht="14.4" x14ac:dyDescent="0.3">
      <c r="D68" s="62" t="s">
        <v>221</v>
      </c>
      <c r="E68" s="62"/>
      <c r="F68" s="63" t="s">
        <v>23</v>
      </c>
      <c r="G68" s="64">
        <f t="shared" si="3"/>
        <v>2018</v>
      </c>
      <c r="H68" s="65">
        <f t="shared" si="21"/>
        <v>0.60595401719551656</v>
      </c>
      <c r="I68" s="65">
        <f t="shared" si="18"/>
        <v>0.10032752641878676</v>
      </c>
      <c r="J68" s="65">
        <f t="shared" si="19"/>
        <v>0.56684301369862955</v>
      </c>
      <c r="K68" s="65">
        <f t="shared" si="20"/>
        <v>0.49023795616438348</v>
      </c>
      <c r="L68" s="62"/>
      <c r="M68" s="62"/>
      <c r="N68" s="62"/>
      <c r="O68" s="62"/>
      <c r="P68" s="62"/>
      <c r="Q68" s="63" t="str">
        <f t="shared" si="14"/>
        <v>TER_TS_SH_ELC</v>
      </c>
      <c r="R68" s="62" t="s">
        <v>359</v>
      </c>
      <c r="S68" s="62"/>
      <c r="T68" s="62"/>
      <c r="U68" s="62"/>
      <c r="V68" s="62"/>
    </row>
    <row r="69" spans="2:22" ht="14.4" x14ac:dyDescent="0.3">
      <c r="D69" s="62" t="s">
        <v>222</v>
      </c>
      <c r="E69" s="62"/>
      <c r="F69" s="63" t="s">
        <v>23</v>
      </c>
      <c r="G69" s="64">
        <f t="shared" si="3"/>
        <v>2018</v>
      </c>
      <c r="H69" s="65">
        <f t="shared" si="21"/>
        <v>0.60595401719551656</v>
      </c>
      <c r="I69" s="65">
        <f t="shared" si="18"/>
        <v>0.10032752641878676</v>
      </c>
      <c r="J69" s="65">
        <f t="shared" si="19"/>
        <v>0.56684301369862955</v>
      </c>
      <c r="K69" s="65">
        <f t="shared" si="20"/>
        <v>0.49023795616438348</v>
      </c>
      <c r="L69" s="62"/>
      <c r="M69" s="62"/>
      <c r="N69" s="62"/>
      <c r="O69" s="62"/>
      <c r="P69" s="62"/>
      <c r="Q69" s="63" t="str">
        <f t="shared" si="14"/>
        <v>TER_TS_SH_ELC</v>
      </c>
      <c r="R69" s="62" t="s">
        <v>359</v>
      </c>
      <c r="S69" s="62"/>
      <c r="T69" s="62"/>
      <c r="U69" s="62"/>
      <c r="V69" s="62"/>
    </row>
    <row r="70" spans="2:22" ht="14.4" x14ac:dyDescent="0.3">
      <c r="D70" s="62" t="s">
        <v>223</v>
      </c>
      <c r="E70" s="62"/>
      <c r="F70" s="63" t="s">
        <v>23</v>
      </c>
      <c r="G70" s="64">
        <f t="shared" si="3"/>
        <v>2018</v>
      </c>
      <c r="H70" s="65">
        <f t="shared" si="21"/>
        <v>0.60595401719551656</v>
      </c>
      <c r="I70" s="65">
        <f t="shared" si="18"/>
        <v>0.10032752641878676</v>
      </c>
      <c r="J70" s="65">
        <f t="shared" si="19"/>
        <v>0.56684301369862955</v>
      </c>
      <c r="K70" s="65">
        <f t="shared" si="20"/>
        <v>0.49023795616438348</v>
      </c>
      <c r="L70" s="62"/>
      <c r="M70" s="62"/>
      <c r="N70" s="62"/>
      <c r="O70" s="62"/>
      <c r="P70" s="62"/>
      <c r="Q70" s="63" t="str">
        <f t="shared" si="14"/>
        <v>TER_TS_SH_ELC</v>
      </c>
      <c r="R70" s="62" t="s">
        <v>359</v>
      </c>
      <c r="S70" s="62"/>
      <c r="T70" s="62"/>
      <c r="U70" s="62"/>
      <c r="V70" s="62"/>
    </row>
    <row r="71" spans="2:22" x14ac:dyDescent="0.25">
      <c r="D71" s="41" t="s">
        <v>224</v>
      </c>
      <c r="F71" s="46" t="s">
        <v>23</v>
      </c>
      <c r="G71" s="55">
        <f t="shared" si="3"/>
        <v>2018</v>
      </c>
      <c r="H71" s="60">
        <f>VLOOKUP($Q71,'FILL Table'!$A$19:$I$41,H$3,FALSE)</f>
        <v>0.25</v>
      </c>
      <c r="I71" s="60">
        <f>VLOOKUP($Q71,'FILL Table'!$A$19:$L$41,I$3,FALSE)</f>
        <v>0.25</v>
      </c>
      <c r="J71" s="60">
        <f>VLOOKUP($Q71,'FILL Table'!$A$19:$L$41,J$3,FALSE)</f>
        <v>0.25</v>
      </c>
      <c r="K71" s="60">
        <f>VLOOKUP($Q71,'FILL Table'!$A$19:$L$41,K$3,FALSE)</f>
        <v>0.25</v>
      </c>
      <c r="Q71" s="46" t="str">
        <f t="shared" si="14"/>
        <v>TER_TS_SH_GEO</v>
      </c>
    </row>
    <row r="72" spans="2:22" x14ac:dyDescent="0.25">
      <c r="D72" s="41" t="s">
        <v>225</v>
      </c>
      <c r="F72" s="46" t="s">
        <v>23</v>
      </c>
      <c r="G72" s="55">
        <f t="shared" si="3"/>
        <v>2018</v>
      </c>
      <c r="H72" s="60">
        <f>VLOOKUP($Q72,'FILL Table'!$A$19:$I$41,H$3,FALSE)</f>
        <v>0.25</v>
      </c>
      <c r="I72" s="60">
        <f>VLOOKUP($Q72,'FILL Table'!$A$19:$L$41,I$3,FALSE)</f>
        <v>0.25</v>
      </c>
      <c r="J72" s="60">
        <f>VLOOKUP($Q72,'FILL Table'!$A$19:$L$41,J$3,FALSE)</f>
        <v>0.25</v>
      </c>
      <c r="K72" s="60">
        <f>VLOOKUP($Q72,'FILL Table'!$A$19:$L$41,K$3,FALSE)</f>
        <v>0.25</v>
      </c>
      <c r="Q72" s="46" t="str">
        <f t="shared" si="14"/>
        <v>TER_TS_SH_GEO</v>
      </c>
    </row>
    <row r="73" spans="2:22" x14ac:dyDescent="0.25">
      <c r="D73" s="41" t="s">
        <v>226</v>
      </c>
      <c r="F73" s="46" t="s">
        <v>23</v>
      </c>
      <c r="G73" s="55">
        <f t="shared" si="3"/>
        <v>2018</v>
      </c>
      <c r="H73" s="60">
        <f>VLOOKUP($Q73,'FILL Table'!$A$19:$I$41,H$3,FALSE)</f>
        <v>0.25</v>
      </c>
      <c r="I73" s="60">
        <f>VLOOKUP($Q73,'FILL Table'!$A$19:$L$41,I$3,FALSE)</f>
        <v>0.25</v>
      </c>
      <c r="J73" s="60">
        <f>VLOOKUP($Q73,'FILL Table'!$A$19:$L$41,J$3,FALSE)</f>
        <v>0.25</v>
      </c>
      <c r="K73" s="60">
        <f>VLOOKUP($Q73,'FILL Table'!$A$19:$L$41,K$3,FALSE)</f>
        <v>0.25</v>
      </c>
      <c r="Q73" s="46" t="str">
        <f t="shared" si="14"/>
        <v>TER_TS_SH_GEO</v>
      </c>
    </row>
    <row r="74" spans="2:22" x14ac:dyDescent="0.25">
      <c r="D74" s="41" t="s">
        <v>227</v>
      </c>
      <c r="F74" s="46" t="s">
        <v>23</v>
      </c>
      <c r="G74" s="55">
        <f t="shared" si="3"/>
        <v>2018</v>
      </c>
      <c r="H74" s="60">
        <f>VLOOKUP($Q74,'FILL Table'!$A$19:$I$41,H$3,FALSE)</f>
        <v>0.25</v>
      </c>
      <c r="I74" s="60">
        <f>VLOOKUP($Q74,'FILL Table'!$A$19:$L$41,I$3,FALSE)</f>
        <v>0.25</v>
      </c>
      <c r="J74" s="60">
        <f>VLOOKUP($Q74,'FILL Table'!$A$19:$L$41,J$3,FALSE)</f>
        <v>0.25</v>
      </c>
      <c r="K74" s="60">
        <f>VLOOKUP($Q74,'FILL Table'!$A$19:$L$41,K$3,FALSE)</f>
        <v>0.25</v>
      </c>
      <c r="Q74" s="46" t="str">
        <f t="shared" si="14"/>
        <v>TER_TS_SH_GEO</v>
      </c>
    </row>
    <row r="75" spans="2:22" x14ac:dyDescent="0.25">
      <c r="D75" s="41" t="s">
        <v>228</v>
      </c>
      <c r="F75" s="46" t="s">
        <v>23</v>
      </c>
      <c r="G75" s="55">
        <f t="shared" si="3"/>
        <v>2018</v>
      </c>
      <c r="H75" s="60">
        <f>VLOOKUP($Q75,'FILL Table'!$A$19:$I$41,H$3,FALSE)</f>
        <v>0.37872126074719797</v>
      </c>
      <c r="I75" s="60">
        <f>VLOOKUP($Q75,'FILL Table'!$A$19:$L$41,I$3,FALSE)</f>
        <v>0.25</v>
      </c>
      <c r="J75" s="60">
        <f>VLOOKUP($Q75,'FILL Table'!$A$19:$L$41,J$3,FALSE)</f>
        <v>0.25</v>
      </c>
      <c r="K75" s="60">
        <f>VLOOKUP($Q75,'FILL Table'!$A$19:$L$41,K$3,FALSE)</f>
        <v>0.30639872260273998</v>
      </c>
      <c r="Q75" s="46" t="str">
        <f t="shared" si="14"/>
        <v>TER_TS_SH_DSL</v>
      </c>
    </row>
    <row r="76" spans="2:22" x14ac:dyDescent="0.25">
      <c r="D76" s="41" t="s">
        <v>229</v>
      </c>
      <c r="F76" s="46" t="s">
        <v>23</v>
      </c>
      <c r="G76" s="55">
        <f t="shared" si="3"/>
        <v>2018</v>
      </c>
      <c r="H76" s="60">
        <f>VLOOKUP($Q76,'FILL Table'!$A$19:$I$41,H$3,FALSE)</f>
        <v>0.37872126074719797</v>
      </c>
      <c r="I76" s="60">
        <f>VLOOKUP($Q76,'FILL Table'!$A$19:$L$41,I$3,FALSE)</f>
        <v>0.25</v>
      </c>
      <c r="J76" s="60">
        <f>VLOOKUP($Q76,'FILL Table'!$A$19:$L$41,J$3,FALSE)</f>
        <v>0.25</v>
      </c>
      <c r="K76" s="60">
        <f>VLOOKUP($Q76,'FILL Table'!$A$19:$L$41,K$3,FALSE)</f>
        <v>0.30639872260273998</v>
      </c>
      <c r="Q76" s="46" t="str">
        <f t="shared" si="14"/>
        <v>TER_TS_SH_DSL</v>
      </c>
    </row>
    <row r="77" spans="2:22" x14ac:dyDescent="0.25">
      <c r="D77" s="41" t="s">
        <v>230</v>
      </c>
      <c r="F77" s="46" t="s">
        <v>23</v>
      </c>
      <c r="G77" s="55">
        <f t="shared" si="3"/>
        <v>2018</v>
      </c>
      <c r="H77" s="60">
        <f>VLOOKUP($Q77,'FILL Table'!$A$19:$I$41,H$3,FALSE)</f>
        <v>0.37872126074719797</v>
      </c>
      <c r="I77" s="60">
        <f>VLOOKUP($Q77,'FILL Table'!$A$19:$L$41,I$3,FALSE)</f>
        <v>0.25</v>
      </c>
      <c r="J77" s="60">
        <f>VLOOKUP($Q77,'FILL Table'!$A$19:$L$41,J$3,FALSE)</f>
        <v>0.25</v>
      </c>
      <c r="K77" s="60">
        <f>VLOOKUP($Q77,'FILL Table'!$A$19:$L$41,K$3,FALSE)</f>
        <v>0.30639872260273998</v>
      </c>
      <c r="Q77" s="46" t="str">
        <f t="shared" si="14"/>
        <v>TER_TS_SH_DSL</v>
      </c>
    </row>
    <row r="78" spans="2:22" ht="14.4" thickBot="1" x14ac:dyDescent="0.3">
      <c r="B78" s="50"/>
      <c r="C78" s="50"/>
      <c r="D78" s="50" t="s">
        <v>231</v>
      </c>
      <c r="E78" s="50"/>
      <c r="F78" s="50" t="s">
        <v>23</v>
      </c>
      <c r="G78" s="51">
        <f t="shared" si="3"/>
        <v>2018</v>
      </c>
      <c r="H78" s="66">
        <f>VLOOKUP($Q78,'FILL Table'!$A$19:$I$41,H$3,FALSE)</f>
        <v>0.37872126074719797</v>
      </c>
      <c r="I78" s="66">
        <f>VLOOKUP($Q78,'FILL Table'!$A$19:$L$41,I$3,FALSE)</f>
        <v>0.25</v>
      </c>
      <c r="J78" s="66">
        <f>VLOOKUP($Q78,'FILL Table'!$A$19:$L$41,J$3,FALSE)</f>
        <v>0.25</v>
      </c>
      <c r="K78" s="66">
        <f>VLOOKUP($Q78,'FILL Table'!$A$19:$L$41,K$3,FALSE)</f>
        <v>0.30639872260273998</v>
      </c>
      <c r="L78" s="50"/>
      <c r="M78" s="50"/>
      <c r="N78" s="50"/>
      <c r="O78" s="50"/>
      <c r="P78" s="50"/>
      <c r="Q78" s="50" t="str">
        <f t="shared" si="14"/>
        <v>TER_TS_SH_DSL</v>
      </c>
      <c r="R78" s="50"/>
    </row>
    <row r="79" spans="2:22" ht="14.4" thickTop="1" x14ac:dyDescent="0.25">
      <c r="B79" s="46"/>
      <c r="C79" s="46"/>
      <c r="D79" s="46" t="s">
        <v>192</v>
      </c>
      <c r="E79" s="46"/>
      <c r="F79" s="46" t="s">
        <v>23</v>
      </c>
      <c r="G79" s="55">
        <f t="shared" ref="G79:G90" si="22">BASE_YEAR+1</f>
        <v>2018</v>
      </c>
      <c r="H79" s="67">
        <f>VLOOKUP($Q79,'FILL Table'!$A$42:$I$43,H$3,FALSE)</f>
        <v>1.83357875866734E-2</v>
      </c>
      <c r="I79" s="67">
        <f>VLOOKUP($Q79,'FILL Table'!$A$42:$L$43,I$3,FALSE)</f>
        <v>0.11912422166874199</v>
      </c>
      <c r="J79" s="67">
        <f>VLOOKUP($Q79,'FILL Table'!$A$42:$L$43,J$3,FALSE)</f>
        <v>1.6521562658549E-2</v>
      </c>
      <c r="K79" s="67">
        <f>VLOOKUP($Q79,'FILL Table'!$A$42:$L$43,K$3,FALSE)</f>
        <v>1.5356202435311999E-2</v>
      </c>
      <c r="L79" s="46"/>
      <c r="M79" s="46"/>
      <c r="N79" s="46"/>
      <c r="O79" s="46"/>
      <c r="P79" s="46"/>
      <c r="Q79" s="46" t="str">
        <f t="shared" si="14"/>
        <v>TER_TP_SC_ELC</v>
      </c>
      <c r="R79" s="41" t="s">
        <v>34</v>
      </c>
    </row>
    <row r="80" spans="2:22" x14ac:dyDescent="0.25">
      <c r="B80" s="46"/>
      <c r="C80" s="46"/>
      <c r="D80" s="46" t="s">
        <v>193</v>
      </c>
      <c r="E80" s="46"/>
      <c r="F80" s="46" t="s">
        <v>23</v>
      </c>
      <c r="G80" s="55">
        <f t="shared" si="22"/>
        <v>2018</v>
      </c>
      <c r="H80" s="67">
        <f>VLOOKUP($Q80,'FILL Table'!$A$42:$I$43,H$3,FALSE)</f>
        <v>1.83357875866734E-2</v>
      </c>
      <c r="I80" s="67">
        <f>VLOOKUP($Q80,'FILL Table'!$A$42:$L$43,I$3,FALSE)</f>
        <v>0.11912422166874199</v>
      </c>
      <c r="J80" s="67">
        <f>VLOOKUP($Q80,'FILL Table'!$A$42:$L$43,J$3,FALSE)</f>
        <v>1.6521562658549E-2</v>
      </c>
      <c r="K80" s="67">
        <f>VLOOKUP($Q80,'FILL Table'!$A$42:$L$43,K$3,FALSE)</f>
        <v>1.5356202435311999E-2</v>
      </c>
      <c r="L80" s="46"/>
      <c r="M80" s="46"/>
      <c r="N80" s="46"/>
      <c r="O80" s="46"/>
      <c r="P80" s="46"/>
      <c r="Q80" s="46" t="str">
        <f t="shared" si="14"/>
        <v>TER_TP_SC_ELC</v>
      </c>
    </row>
    <row r="81" spans="1:18" x14ac:dyDescent="0.25">
      <c r="B81" s="46"/>
      <c r="C81" s="46"/>
      <c r="D81" s="46" t="s">
        <v>194</v>
      </c>
      <c r="E81" s="46"/>
      <c r="F81" s="46" t="s">
        <v>23</v>
      </c>
      <c r="G81" s="55">
        <f t="shared" si="22"/>
        <v>2018</v>
      </c>
      <c r="H81" s="67">
        <f>VLOOKUP($Q81,'FILL Table'!$A$42:$I$43,H$3,FALSE)</f>
        <v>1.83357875866734E-2</v>
      </c>
      <c r="I81" s="67">
        <f>VLOOKUP($Q81,'FILL Table'!$A$42:$L$43,I$3,FALSE)</f>
        <v>0.11912422166874199</v>
      </c>
      <c r="J81" s="67">
        <f>VLOOKUP($Q81,'FILL Table'!$A$42:$L$43,J$3,FALSE)</f>
        <v>1.6521562658549E-2</v>
      </c>
      <c r="K81" s="67">
        <f>VLOOKUP($Q81,'FILL Table'!$A$42:$L$43,K$3,FALSE)</f>
        <v>1.5356202435311999E-2</v>
      </c>
      <c r="L81" s="46"/>
      <c r="M81" s="46"/>
      <c r="N81" s="46"/>
      <c r="O81" s="46"/>
      <c r="P81" s="46"/>
      <c r="Q81" s="46" t="str">
        <f t="shared" si="14"/>
        <v>TER_TP_SC_ELC</v>
      </c>
    </row>
    <row r="82" spans="1:18" x14ac:dyDescent="0.25">
      <c r="B82" s="46"/>
      <c r="C82" s="46"/>
      <c r="D82" s="46" t="s">
        <v>195</v>
      </c>
      <c r="E82" s="46"/>
      <c r="F82" s="46" t="s">
        <v>23</v>
      </c>
      <c r="G82" s="55">
        <f t="shared" si="22"/>
        <v>2018</v>
      </c>
      <c r="H82" s="67">
        <f>VLOOKUP($Q82,'FILL Table'!$A$42:$I$43,H$3,FALSE)</f>
        <v>1.83357875866734E-2</v>
      </c>
      <c r="I82" s="67">
        <f>VLOOKUP($Q82,'FILL Table'!$A$42:$L$43,I$3,FALSE)</f>
        <v>0.11912422166874199</v>
      </c>
      <c r="J82" s="67">
        <f>VLOOKUP($Q82,'FILL Table'!$A$42:$L$43,J$3,FALSE)</f>
        <v>1.6521562658549E-2</v>
      </c>
      <c r="K82" s="67">
        <f>VLOOKUP($Q82,'FILL Table'!$A$42:$L$43,K$3,FALSE)</f>
        <v>1.5356202435311999E-2</v>
      </c>
      <c r="L82" s="46"/>
      <c r="M82" s="46"/>
      <c r="N82" s="46"/>
      <c r="O82" s="46"/>
      <c r="P82" s="46"/>
      <c r="Q82" s="46" t="str">
        <f t="shared" si="14"/>
        <v>TER_TP_SC_ELC</v>
      </c>
    </row>
    <row r="83" spans="1:18" x14ac:dyDescent="0.25">
      <c r="B83" s="46"/>
      <c r="C83" s="46"/>
      <c r="D83" s="46" t="s">
        <v>196</v>
      </c>
      <c r="E83" s="46"/>
      <c r="F83" s="46" t="s">
        <v>23</v>
      </c>
      <c r="G83" s="55">
        <f t="shared" si="22"/>
        <v>2018</v>
      </c>
      <c r="H83" s="67">
        <f>VLOOKUP($Q83,'FILL Table'!$A$42:$I$43,H$3,FALSE)</f>
        <v>1.83357875866734E-2</v>
      </c>
      <c r="I83" s="67">
        <f>VLOOKUP($Q83,'FILL Table'!$A$42:$L$43,I$3,FALSE)</f>
        <v>0.11912422166874199</v>
      </c>
      <c r="J83" s="67">
        <f>VLOOKUP($Q83,'FILL Table'!$A$42:$L$43,J$3,FALSE)</f>
        <v>1.6521562658549E-2</v>
      </c>
      <c r="K83" s="67">
        <f>VLOOKUP($Q83,'FILL Table'!$A$42:$L$43,K$3,FALSE)</f>
        <v>1.5356202435311999E-2</v>
      </c>
      <c r="L83" s="46"/>
      <c r="M83" s="46"/>
      <c r="N83" s="46"/>
      <c r="O83" s="46"/>
      <c r="P83" s="46"/>
      <c r="Q83" s="46" t="str">
        <f t="shared" si="14"/>
        <v>TER_TP_SC_ELC</v>
      </c>
    </row>
    <row r="84" spans="1:18" x14ac:dyDescent="0.25">
      <c r="B84" s="46"/>
      <c r="C84" s="46"/>
      <c r="D84" s="46" t="s">
        <v>197</v>
      </c>
      <c r="E84" s="46"/>
      <c r="F84" s="46" t="s">
        <v>23</v>
      </c>
      <c r="G84" s="55">
        <f t="shared" si="22"/>
        <v>2018</v>
      </c>
      <c r="H84" s="67">
        <f>VLOOKUP($Q84,'FILL Table'!$A$42:$I$43,H$3,FALSE)</f>
        <v>1.83357875866734E-2</v>
      </c>
      <c r="I84" s="67">
        <f>VLOOKUP($Q84,'FILL Table'!$A$42:$L$43,I$3,FALSE)</f>
        <v>0.11912422166874199</v>
      </c>
      <c r="J84" s="67">
        <f>VLOOKUP($Q84,'FILL Table'!$A$42:$L$43,J$3,FALSE)</f>
        <v>1.6521562658549E-2</v>
      </c>
      <c r="K84" s="67">
        <f>VLOOKUP($Q84,'FILL Table'!$A$42:$L$43,K$3,FALSE)</f>
        <v>1.5356202435311999E-2</v>
      </c>
      <c r="L84" s="46"/>
      <c r="M84" s="46"/>
      <c r="N84" s="46"/>
      <c r="O84" s="46"/>
      <c r="P84" s="46"/>
      <c r="Q84" s="46" t="str">
        <f t="shared" si="14"/>
        <v>TER_TP_SC_ELC</v>
      </c>
    </row>
    <row r="85" spans="1:18" x14ac:dyDescent="0.25">
      <c r="B85" s="46"/>
      <c r="C85" s="46"/>
      <c r="D85" s="46" t="s">
        <v>232</v>
      </c>
      <c r="E85" s="46"/>
      <c r="F85" s="46" t="s">
        <v>23</v>
      </c>
      <c r="G85" s="55">
        <f t="shared" si="22"/>
        <v>2018</v>
      </c>
      <c r="H85" s="67">
        <f>VLOOKUP($Q85,'FILL Table'!$A$42:$I$43,H$3,FALSE)</f>
        <v>4.2193147571606499E-2</v>
      </c>
      <c r="I85" s="67">
        <f>VLOOKUP($Q85,'FILL Table'!$A$42:$L$43,I$3,FALSE)</f>
        <v>0.15042471868884499</v>
      </c>
      <c r="J85" s="67">
        <f>VLOOKUP($Q85,'FILL Table'!$A$42:$L$43,J$3,FALSE)</f>
        <v>3.8722412480974099E-2</v>
      </c>
      <c r="K85" s="67">
        <f>VLOOKUP($Q85,'FILL Table'!$A$42:$L$43,K$3,FALSE)</f>
        <v>3.4551455479452001E-2</v>
      </c>
      <c r="L85" s="46"/>
      <c r="M85" s="46"/>
      <c r="N85" s="46"/>
      <c r="O85" s="46"/>
      <c r="P85" s="46"/>
      <c r="Q85" s="46" t="str">
        <f t="shared" si="14"/>
        <v>TER_TS_SC_ELC</v>
      </c>
    </row>
    <row r="86" spans="1:18" x14ac:dyDescent="0.25">
      <c r="B86" s="46"/>
      <c r="C86" s="46"/>
      <c r="D86" s="46" t="s">
        <v>233</v>
      </c>
      <c r="E86" s="46"/>
      <c r="F86" s="46" t="s">
        <v>23</v>
      </c>
      <c r="G86" s="55">
        <f t="shared" si="22"/>
        <v>2018</v>
      </c>
      <c r="H86" s="67">
        <f>VLOOKUP($Q86,'FILL Table'!$A$42:$I$43,H$3,FALSE)</f>
        <v>4.2193147571606499E-2</v>
      </c>
      <c r="I86" s="67">
        <f>VLOOKUP($Q86,'FILL Table'!$A$42:$L$43,I$3,FALSE)</f>
        <v>0.15042471868884499</v>
      </c>
      <c r="J86" s="67">
        <f>VLOOKUP($Q86,'FILL Table'!$A$42:$L$43,J$3,FALSE)</f>
        <v>3.8722412480974099E-2</v>
      </c>
      <c r="K86" s="67">
        <f>VLOOKUP($Q86,'FILL Table'!$A$42:$L$43,K$3,FALSE)</f>
        <v>3.4551455479452001E-2</v>
      </c>
      <c r="L86" s="46"/>
      <c r="M86" s="46"/>
      <c r="N86" s="46"/>
      <c r="O86" s="46"/>
      <c r="P86" s="46"/>
      <c r="Q86" s="46" t="str">
        <f t="shared" si="14"/>
        <v>TER_TS_SC_ELC</v>
      </c>
    </row>
    <row r="87" spans="1:18" x14ac:dyDescent="0.25">
      <c r="B87" s="46"/>
      <c r="C87" s="46"/>
      <c r="D87" s="46" t="s">
        <v>234</v>
      </c>
      <c r="E87" s="46"/>
      <c r="F87" s="46" t="s">
        <v>23</v>
      </c>
      <c r="G87" s="55">
        <f t="shared" si="22"/>
        <v>2018</v>
      </c>
      <c r="H87" s="67">
        <f>VLOOKUP($Q87,'FILL Table'!$A$42:$I$43,H$3,FALSE)</f>
        <v>4.2193147571606499E-2</v>
      </c>
      <c r="I87" s="67">
        <f>VLOOKUP($Q87,'FILL Table'!$A$42:$L$43,I$3,FALSE)</f>
        <v>0.15042471868884499</v>
      </c>
      <c r="J87" s="67">
        <f>VLOOKUP($Q87,'FILL Table'!$A$42:$L$43,J$3,FALSE)</f>
        <v>3.8722412480974099E-2</v>
      </c>
      <c r="K87" s="67">
        <f>VLOOKUP($Q87,'FILL Table'!$A$42:$L$43,K$3,FALSE)</f>
        <v>3.4551455479452001E-2</v>
      </c>
      <c r="L87" s="46"/>
      <c r="M87" s="46"/>
      <c r="N87" s="46"/>
      <c r="O87" s="46"/>
      <c r="P87" s="46"/>
      <c r="Q87" s="46" t="str">
        <f t="shared" si="14"/>
        <v>TER_TS_SC_ELC</v>
      </c>
    </row>
    <row r="88" spans="1:18" x14ac:dyDescent="0.25">
      <c r="B88" s="46"/>
      <c r="C88" s="46"/>
      <c r="D88" s="46" t="s">
        <v>235</v>
      </c>
      <c r="E88" s="46"/>
      <c r="F88" s="46" t="s">
        <v>23</v>
      </c>
      <c r="G88" s="55">
        <f t="shared" si="22"/>
        <v>2018</v>
      </c>
      <c r="H88" s="67">
        <f>VLOOKUP($Q88,'FILL Table'!$A$42:$I$43,H$3,FALSE)</f>
        <v>4.2193147571606499E-2</v>
      </c>
      <c r="I88" s="67">
        <f>VLOOKUP($Q88,'FILL Table'!$A$42:$L$43,I$3,FALSE)</f>
        <v>0.15042471868884499</v>
      </c>
      <c r="J88" s="67">
        <f>VLOOKUP($Q88,'FILL Table'!$A$42:$L$43,J$3,FALSE)</f>
        <v>3.8722412480974099E-2</v>
      </c>
      <c r="K88" s="67">
        <f>VLOOKUP($Q88,'FILL Table'!$A$42:$L$43,K$3,FALSE)</f>
        <v>3.4551455479452001E-2</v>
      </c>
      <c r="L88" s="46"/>
      <c r="M88" s="46"/>
      <c r="N88" s="46"/>
      <c r="O88" s="46"/>
      <c r="P88" s="46"/>
      <c r="Q88" s="46" t="str">
        <f t="shared" si="14"/>
        <v>TER_TS_SC_ELC</v>
      </c>
    </row>
    <row r="89" spans="1:18" x14ac:dyDescent="0.25">
      <c r="B89" s="46"/>
      <c r="C89" s="46"/>
      <c r="D89" s="46" t="s">
        <v>236</v>
      </c>
      <c r="E89" s="46"/>
      <c r="F89" s="46" t="s">
        <v>23</v>
      </c>
      <c r="G89" s="55">
        <f t="shared" si="22"/>
        <v>2018</v>
      </c>
      <c r="H89" s="67">
        <f>VLOOKUP($Q89,'FILL Table'!$A$42:$I$43,H$3,FALSE)</f>
        <v>4.2193147571606499E-2</v>
      </c>
      <c r="I89" s="67">
        <f>VLOOKUP($Q89,'FILL Table'!$A$42:$L$43,I$3,FALSE)</f>
        <v>0.15042471868884499</v>
      </c>
      <c r="J89" s="67">
        <f>VLOOKUP($Q89,'FILL Table'!$A$42:$L$43,J$3,FALSE)</f>
        <v>3.8722412480974099E-2</v>
      </c>
      <c r="K89" s="67">
        <f>VLOOKUP($Q89,'FILL Table'!$A$42:$L$43,K$3,FALSE)</f>
        <v>3.4551455479452001E-2</v>
      </c>
      <c r="L89" s="46"/>
      <c r="M89" s="46"/>
      <c r="N89" s="46"/>
      <c r="O89" s="46"/>
      <c r="P89" s="46"/>
      <c r="Q89" s="46" t="str">
        <f t="shared" si="14"/>
        <v>TER_TS_SC_ELC</v>
      </c>
    </row>
    <row r="90" spans="1:18" ht="14.4" thickBot="1" x14ac:dyDescent="0.3">
      <c r="B90" s="50"/>
      <c r="C90" s="50"/>
      <c r="D90" s="50" t="s">
        <v>237</v>
      </c>
      <c r="E90" s="50"/>
      <c r="F90" s="50" t="s">
        <v>23</v>
      </c>
      <c r="G90" s="51">
        <f t="shared" si="22"/>
        <v>2018</v>
      </c>
      <c r="H90" s="66">
        <f>VLOOKUP($Q90,'FILL Table'!$A$42:$I$43,H$3,FALSE)</f>
        <v>4.2193147571606499E-2</v>
      </c>
      <c r="I90" s="66">
        <f>VLOOKUP($Q90,'FILL Table'!$A$42:$L$43,I$3,FALSE)</f>
        <v>0.15042471868884499</v>
      </c>
      <c r="J90" s="66">
        <f>VLOOKUP($Q90,'FILL Table'!$A$42:$L$43,J$3,FALSE)</f>
        <v>3.8722412480974099E-2</v>
      </c>
      <c r="K90" s="66">
        <f>VLOOKUP($Q90,'FILL Table'!$A$42:$L$43,K$3,FALSE)</f>
        <v>3.4551455479452001E-2</v>
      </c>
      <c r="L90" s="50"/>
      <c r="M90" s="50"/>
      <c r="N90" s="50"/>
      <c r="O90" s="50"/>
      <c r="P90" s="50"/>
      <c r="Q90" s="50" t="str">
        <f t="shared" si="14"/>
        <v>TER_TS_SC_ELC</v>
      </c>
      <c r="R90" s="50"/>
    </row>
    <row r="91" spans="1:18" ht="14.4" thickTop="1" x14ac:dyDescent="0.25">
      <c r="A91" s="46"/>
      <c r="B91" s="46"/>
      <c r="C91" s="46"/>
      <c r="D91" s="46" t="s">
        <v>198</v>
      </c>
      <c r="E91" s="46"/>
      <c r="F91" s="46" t="s">
        <v>23</v>
      </c>
      <c r="G91" s="55">
        <f t="shared" ref="G91:G108" si="23">BASE_YEAR+1</f>
        <v>2018</v>
      </c>
      <c r="H91" s="67">
        <f>VLOOKUP($Q91,'FILL Table'!$A$44:$I$58,H$3,FALSE)</f>
        <v>1.7716326003391999E-2</v>
      </c>
      <c r="I91" s="67">
        <f>VLOOKUP($Q91,'FILL Table'!$A$44:$L$58,I$3,FALSE)</f>
        <v>2.0101009784735798E-3</v>
      </c>
      <c r="J91" s="67">
        <f>VLOOKUP($Q91,'FILL Table'!$A$44:$L$58,J$3,FALSE)</f>
        <v>8.7759843444226993E-3</v>
      </c>
      <c r="K91" s="67">
        <f>VLOOKUP($Q91,'FILL Table'!$A$44:$L$58,K$3,FALSE)</f>
        <v>1.08171290019569E-2</v>
      </c>
      <c r="L91" s="68"/>
      <c r="M91" s="46"/>
      <c r="N91" s="46"/>
      <c r="O91" s="46"/>
      <c r="P91" s="46"/>
      <c r="Q91" s="46" t="str">
        <f t="shared" ref="Q91:Q108" si="24">LEFT(D91,13)</f>
        <v>TER_TP_WH_ELC</v>
      </c>
      <c r="R91" s="41" t="s">
        <v>35</v>
      </c>
    </row>
    <row r="92" spans="1:18" x14ac:dyDescent="0.25">
      <c r="A92" s="46"/>
      <c r="B92" s="46"/>
      <c r="C92" s="46"/>
      <c r="D92" s="46" t="s">
        <v>199</v>
      </c>
      <c r="E92" s="46"/>
      <c r="F92" s="46" t="s">
        <v>23</v>
      </c>
      <c r="G92" s="55">
        <f t="shared" si="23"/>
        <v>2018</v>
      </c>
      <c r="H92" s="67">
        <f>VLOOKUP($Q92,'FILL Table'!$A$44:$I$58,H$3,FALSE)</f>
        <v>1.7716326003391999E-2</v>
      </c>
      <c r="I92" s="67">
        <f>VLOOKUP($Q92,'FILL Table'!$A$44:$L$58,I$3,FALSE)</f>
        <v>2.0101009784735798E-3</v>
      </c>
      <c r="J92" s="67">
        <f>VLOOKUP($Q92,'FILL Table'!$A$44:$L$58,J$3,FALSE)</f>
        <v>8.7759843444226993E-3</v>
      </c>
      <c r="K92" s="67">
        <f>VLOOKUP($Q92,'FILL Table'!$A$44:$L$58,K$3,FALSE)</f>
        <v>1.08171290019569E-2</v>
      </c>
      <c r="L92" s="46"/>
      <c r="M92" s="46"/>
      <c r="N92" s="46"/>
      <c r="O92" s="46"/>
      <c r="P92" s="46"/>
      <c r="Q92" s="46" t="str">
        <f t="shared" si="24"/>
        <v>TER_TP_WH_ELC</v>
      </c>
      <c r="R92" s="46"/>
    </row>
    <row r="93" spans="1:18" x14ac:dyDescent="0.25">
      <c r="A93" s="46"/>
      <c r="B93" s="46"/>
      <c r="C93" s="46"/>
      <c r="D93" s="46" t="s">
        <v>200</v>
      </c>
      <c r="E93" s="46"/>
      <c r="F93" s="46" t="s">
        <v>23</v>
      </c>
      <c r="G93" s="55">
        <f t="shared" si="23"/>
        <v>2018</v>
      </c>
      <c r="H93" s="67">
        <f>VLOOKUP($Q93,'FILL Table'!$A$44:$I$58,H$3,FALSE)</f>
        <v>5.1672617509893499E-2</v>
      </c>
      <c r="I93" s="67">
        <f>VLOOKUP($Q93,'FILL Table'!$A$44:$L$58,I$3,FALSE)</f>
        <v>5.8627945205479504E-3</v>
      </c>
      <c r="J93" s="67">
        <f>VLOOKUP($Q93,'FILL Table'!$A$44:$L$58,J$3,FALSE)</f>
        <v>2.5596621004566202E-2</v>
      </c>
      <c r="K93" s="67">
        <f>VLOOKUP($Q93,'FILL Table'!$A$44:$L$58,K$3,FALSE)</f>
        <v>3.1549959589041103E-2</v>
      </c>
      <c r="L93" s="46"/>
      <c r="M93" s="46"/>
      <c r="N93" s="46"/>
      <c r="O93" s="46"/>
      <c r="P93" s="46"/>
      <c r="Q93" s="46" t="str">
        <f t="shared" si="24"/>
        <v>TER_TP_WH_GAS</v>
      </c>
      <c r="R93" s="46"/>
    </row>
    <row r="94" spans="1:18" x14ac:dyDescent="0.25">
      <c r="A94" s="46"/>
      <c r="B94" s="46"/>
      <c r="C94" s="46"/>
      <c r="D94" s="46" t="s">
        <v>201</v>
      </c>
      <c r="E94" s="46"/>
      <c r="F94" s="46" t="s">
        <v>23</v>
      </c>
      <c r="G94" s="55">
        <f t="shared" si="23"/>
        <v>2018</v>
      </c>
      <c r="H94" s="67">
        <f>VLOOKUP($Q94,'FILL Table'!$A$44:$I$58,H$3,FALSE)</f>
        <v>5.1672617509893499E-2</v>
      </c>
      <c r="I94" s="67">
        <f>VLOOKUP($Q94,'FILL Table'!$A$44:$L$58,I$3,FALSE)</f>
        <v>5.8627945205479504E-3</v>
      </c>
      <c r="J94" s="67">
        <f>VLOOKUP($Q94,'FILL Table'!$A$44:$L$58,J$3,FALSE)</f>
        <v>2.5596621004566202E-2</v>
      </c>
      <c r="K94" s="67">
        <f>VLOOKUP($Q94,'FILL Table'!$A$44:$L$58,K$3,FALSE)</f>
        <v>3.1549959589041103E-2</v>
      </c>
      <c r="L94" s="46"/>
      <c r="M94" s="46"/>
      <c r="N94" s="46"/>
      <c r="O94" s="46"/>
      <c r="P94" s="46"/>
      <c r="Q94" s="46" t="str">
        <f t="shared" si="24"/>
        <v>TER_TP_WH_GAS</v>
      </c>
      <c r="R94" s="46"/>
    </row>
    <row r="95" spans="1:18" x14ac:dyDescent="0.25">
      <c r="A95" s="46"/>
      <c r="B95" s="46"/>
      <c r="C95" s="46"/>
      <c r="D95" s="46" t="s">
        <v>202</v>
      </c>
      <c r="E95" s="46"/>
      <c r="F95" s="46" t="s">
        <v>23</v>
      </c>
      <c r="G95" s="55">
        <f t="shared" si="23"/>
        <v>2018</v>
      </c>
      <c r="H95" s="67">
        <f>VLOOKUP($Q95,'FILL Table'!$A$44:$I$58,H$3,FALSE)</f>
        <v>5.1672617509893499E-2</v>
      </c>
      <c r="I95" s="67">
        <f>VLOOKUP($Q95,'FILL Table'!$A$44:$L$58,I$3,FALSE)</f>
        <v>5.8627945205479504E-3</v>
      </c>
      <c r="J95" s="67">
        <f>VLOOKUP($Q95,'FILL Table'!$A$44:$L$58,J$3,FALSE)</f>
        <v>2.5596621004566202E-2</v>
      </c>
      <c r="K95" s="67">
        <f>VLOOKUP($Q95,'FILL Table'!$A$44:$L$58,K$3,FALSE)</f>
        <v>3.1549959589041103E-2</v>
      </c>
      <c r="L95" s="46"/>
      <c r="M95" s="46"/>
      <c r="N95" s="46"/>
      <c r="O95" s="46"/>
      <c r="P95" s="46"/>
      <c r="Q95" s="46" t="str">
        <f t="shared" si="24"/>
        <v>TER_TP_WH_GAS</v>
      </c>
      <c r="R95" s="46"/>
    </row>
    <row r="96" spans="1:18" x14ac:dyDescent="0.25">
      <c r="A96" s="46"/>
      <c r="B96" s="46"/>
      <c r="C96" s="46"/>
      <c r="D96" s="46" t="s">
        <v>203</v>
      </c>
      <c r="E96" s="46"/>
      <c r="F96" s="46" t="s">
        <v>23</v>
      </c>
      <c r="G96" s="55">
        <f t="shared" si="23"/>
        <v>2018</v>
      </c>
      <c r="H96" s="67">
        <f>H95</f>
        <v>5.1672617509893499E-2</v>
      </c>
      <c r="I96" s="67">
        <f>I95</f>
        <v>5.8627945205479504E-3</v>
      </c>
      <c r="J96" s="67">
        <f t="shared" ref="J96:K96" si="25">J95</f>
        <v>2.5596621004566202E-2</v>
      </c>
      <c r="K96" s="67">
        <f t="shared" si="25"/>
        <v>3.1549959589041103E-2</v>
      </c>
      <c r="L96" s="46"/>
      <c r="M96" s="46"/>
      <c r="N96" s="46"/>
      <c r="O96" s="46"/>
      <c r="P96" s="46"/>
      <c r="Q96" s="46" t="str">
        <f t="shared" si="24"/>
        <v>TER_TP_WH_LTH</v>
      </c>
      <c r="R96" s="46"/>
    </row>
    <row r="97" spans="1:18" x14ac:dyDescent="0.25">
      <c r="A97" s="46"/>
      <c r="B97" s="46"/>
      <c r="C97" s="46"/>
      <c r="D97" s="46" t="s">
        <v>204</v>
      </c>
      <c r="E97" s="46"/>
      <c r="F97" s="46" t="s">
        <v>23</v>
      </c>
      <c r="G97" s="55">
        <f t="shared" si="23"/>
        <v>2018</v>
      </c>
      <c r="H97" s="67">
        <f t="shared" ref="H97:I98" si="26">H96</f>
        <v>5.1672617509893499E-2</v>
      </c>
      <c r="I97" s="67">
        <f t="shared" si="26"/>
        <v>5.8627945205479504E-3</v>
      </c>
      <c r="J97" s="67">
        <f t="shared" ref="J97:K97" si="27">J96</f>
        <v>2.5596621004566202E-2</v>
      </c>
      <c r="K97" s="67">
        <f t="shared" si="27"/>
        <v>3.1549959589041103E-2</v>
      </c>
      <c r="L97" s="46"/>
      <c r="M97" s="46"/>
      <c r="N97" s="46"/>
      <c r="O97" s="46"/>
      <c r="P97" s="46"/>
      <c r="Q97" s="46" t="str">
        <f t="shared" si="24"/>
        <v>TER_TP_WH_SOL</v>
      </c>
      <c r="R97" s="46"/>
    </row>
    <row r="98" spans="1:18" x14ac:dyDescent="0.25">
      <c r="A98" s="46"/>
      <c r="B98" s="46"/>
      <c r="C98" s="46"/>
      <c r="D98" s="46" t="s">
        <v>205</v>
      </c>
      <c r="E98" s="46"/>
      <c r="F98" s="46" t="s">
        <v>23</v>
      </c>
      <c r="G98" s="55">
        <f t="shared" si="23"/>
        <v>2018</v>
      </c>
      <c r="H98" s="67">
        <f t="shared" si="26"/>
        <v>5.1672617509893499E-2</v>
      </c>
      <c r="I98" s="67">
        <f t="shared" si="26"/>
        <v>5.8627945205479504E-3</v>
      </c>
      <c r="J98" s="67">
        <f t="shared" ref="J98:K98" si="28">J97</f>
        <v>2.5596621004566202E-2</v>
      </c>
      <c r="K98" s="67">
        <f t="shared" si="28"/>
        <v>3.1549959589041103E-2</v>
      </c>
      <c r="L98" s="46"/>
      <c r="M98" s="46"/>
      <c r="N98" s="46"/>
      <c r="O98" s="46"/>
      <c r="P98" s="46"/>
      <c r="Q98" s="46" t="str">
        <f t="shared" si="24"/>
        <v>TER_TP_WH_SOL</v>
      </c>
      <c r="R98" s="46"/>
    </row>
    <row r="99" spans="1:18" x14ac:dyDescent="0.25">
      <c r="A99" s="46"/>
      <c r="B99" s="46"/>
      <c r="C99" s="46"/>
      <c r="D99" s="46" t="s">
        <v>238</v>
      </c>
      <c r="E99" s="46"/>
      <c r="F99" s="46" t="s">
        <v>23</v>
      </c>
      <c r="G99" s="55">
        <f t="shared" si="23"/>
        <v>2018</v>
      </c>
      <c r="H99" s="67">
        <f>VLOOKUP($Q99,'FILL Table'!$A$44:$I$58,H$3,FALSE)</f>
        <v>2.1742763731435698E-2</v>
      </c>
      <c r="I99" s="67">
        <f>VLOOKUP($Q99,'FILL Table'!$A$44:$L$58,I$3,FALSE)</f>
        <v>2.3690475817724301E-3</v>
      </c>
      <c r="J99" s="67">
        <f>VLOOKUP($Q99,'FILL Table'!$A$44:$L$58,J$3,FALSE)</f>
        <v>1.09699804305284E-2</v>
      </c>
      <c r="K99" s="67">
        <f>VLOOKUP($Q99,'FILL Table'!$A$44:$L$58,K$3,FALSE)</f>
        <v>1.2980554802348301E-2</v>
      </c>
      <c r="L99" s="46"/>
      <c r="M99" s="46"/>
      <c r="N99" s="46"/>
      <c r="O99" s="46"/>
      <c r="P99" s="46"/>
      <c r="Q99" s="46" t="str">
        <f t="shared" si="24"/>
        <v>TER_TS_WH_ELC</v>
      </c>
      <c r="R99" s="46"/>
    </row>
    <row r="100" spans="1:18" x14ac:dyDescent="0.25">
      <c r="A100" s="46"/>
      <c r="B100" s="46"/>
      <c r="C100" s="46"/>
      <c r="D100" s="46" t="s">
        <v>239</v>
      </c>
      <c r="E100" s="46"/>
      <c r="F100" s="46" t="s">
        <v>23</v>
      </c>
      <c r="G100" s="55">
        <f t="shared" si="23"/>
        <v>2018</v>
      </c>
      <c r="H100" s="67">
        <f>VLOOKUP($Q100,'FILL Table'!$A$44:$I$58,H$3,FALSE)</f>
        <v>2.1742763731435698E-2</v>
      </c>
      <c r="I100" s="67">
        <f>VLOOKUP($Q100,'FILL Table'!$A$44:$L$58,I$3,FALSE)</f>
        <v>2.3690475817724301E-3</v>
      </c>
      <c r="J100" s="67">
        <f>VLOOKUP($Q100,'FILL Table'!$A$44:$L$58,J$3,FALSE)</f>
        <v>1.09699804305284E-2</v>
      </c>
      <c r="K100" s="67">
        <f>VLOOKUP($Q100,'FILL Table'!$A$44:$L$58,K$3,FALSE)</f>
        <v>1.2980554802348301E-2</v>
      </c>
      <c r="L100" s="46"/>
      <c r="M100" s="46"/>
      <c r="N100" s="46"/>
      <c r="O100" s="46"/>
      <c r="P100" s="46"/>
      <c r="Q100" s="46" t="str">
        <f t="shared" si="24"/>
        <v>TER_TS_WH_ELC</v>
      </c>
      <c r="R100" s="46"/>
    </row>
    <row r="101" spans="1:18" x14ac:dyDescent="0.25">
      <c r="A101" s="46"/>
      <c r="B101" s="46"/>
      <c r="C101" s="46"/>
      <c r="D101" s="46" t="s">
        <v>240</v>
      </c>
      <c r="E101" s="46"/>
      <c r="F101" s="46" t="s">
        <v>23</v>
      </c>
      <c r="G101" s="55">
        <f t="shared" si="23"/>
        <v>2018</v>
      </c>
      <c r="H101" s="67">
        <f>VLOOKUP($Q101,'FILL Table'!$A$44:$I$58,H$3,FALSE)</f>
        <v>0.05</v>
      </c>
      <c r="I101" s="67">
        <f>VLOOKUP($Q101,'FILL Table'!$A$44:$L$58,I$3,FALSE)</f>
        <v>0.02</v>
      </c>
      <c r="J101" s="67">
        <f>VLOOKUP($Q101,'FILL Table'!$A$44:$L$58,J$3,FALSE)</f>
        <v>0.02</v>
      </c>
      <c r="K101" s="67">
        <f>VLOOKUP($Q101,'FILL Table'!$A$44:$L$58,K$3,FALSE)</f>
        <v>0.02</v>
      </c>
      <c r="L101" s="46"/>
      <c r="M101" s="46"/>
      <c r="N101" s="46"/>
      <c r="O101" s="46"/>
      <c r="P101" s="46"/>
      <c r="Q101" s="46" t="str">
        <f t="shared" si="24"/>
        <v>TER_TS_WH_LOG</v>
      </c>
      <c r="R101" s="46"/>
    </row>
    <row r="102" spans="1:18" x14ac:dyDescent="0.25">
      <c r="A102" s="46"/>
      <c r="B102" s="46"/>
      <c r="C102" s="46"/>
      <c r="D102" s="46" t="s">
        <v>241</v>
      </c>
      <c r="E102" s="46"/>
      <c r="F102" s="46" t="s">
        <v>23</v>
      </c>
      <c r="G102" s="55">
        <f t="shared" si="23"/>
        <v>2018</v>
      </c>
      <c r="H102" s="67">
        <f>VLOOKUP($Q102,'FILL Table'!$A$44:$I$58,H$3,FALSE)</f>
        <v>0.05</v>
      </c>
      <c r="I102" s="67">
        <f>VLOOKUP($Q102,'FILL Table'!$A$44:$L$58,I$3,FALSE)</f>
        <v>0.02</v>
      </c>
      <c r="J102" s="67">
        <f>VLOOKUP($Q102,'FILL Table'!$A$44:$L$58,J$3,FALSE)</f>
        <v>0.02</v>
      </c>
      <c r="K102" s="67">
        <f>VLOOKUP($Q102,'FILL Table'!$A$44:$L$58,K$3,FALSE)</f>
        <v>0.02</v>
      </c>
      <c r="L102" s="46"/>
      <c r="M102" s="46"/>
      <c r="N102" s="46"/>
      <c r="O102" s="46"/>
      <c r="P102" s="46"/>
      <c r="Q102" s="46" t="str">
        <f t="shared" si="24"/>
        <v>TER_TS_WH_LOG</v>
      </c>
      <c r="R102" s="46"/>
    </row>
    <row r="103" spans="1:18" x14ac:dyDescent="0.25">
      <c r="A103" s="46"/>
      <c r="B103" s="46"/>
      <c r="C103" s="46"/>
      <c r="D103" s="46" t="s">
        <v>242</v>
      </c>
      <c r="E103" s="46"/>
      <c r="F103" s="46" t="s">
        <v>23</v>
      </c>
      <c r="G103" s="55">
        <f t="shared" si="23"/>
        <v>2018</v>
      </c>
      <c r="H103" s="67">
        <f>VLOOKUP($Q103,'FILL Table'!$A$44:$I$58,H$3,FALSE)</f>
        <v>6.3416394216687405E-2</v>
      </c>
      <c r="I103" s="67">
        <f>VLOOKUP($Q103,'FILL Table'!$A$44:$L$58,I$3,FALSE)</f>
        <v>6.9097221135029302E-3</v>
      </c>
      <c r="J103" s="67">
        <f>VLOOKUP($Q103,'FILL Table'!$A$44:$L$58,J$3,FALSE)</f>
        <v>3.1995776255707799E-2</v>
      </c>
      <c r="K103" s="67">
        <f>VLOOKUP($Q103,'FILL Table'!$A$44:$L$58,K$3,FALSE)</f>
        <v>3.7859951506849301E-2</v>
      </c>
      <c r="L103" s="46"/>
      <c r="M103" s="46"/>
      <c r="N103" s="46"/>
      <c r="O103" s="46"/>
      <c r="P103" s="46"/>
      <c r="Q103" s="46" t="str">
        <f t="shared" si="24"/>
        <v>TER_TS_WH_GAS</v>
      </c>
      <c r="R103" s="46"/>
    </row>
    <row r="104" spans="1:18" x14ac:dyDescent="0.25">
      <c r="A104" s="46"/>
      <c r="B104" s="46"/>
      <c r="C104" s="46"/>
      <c r="D104" s="46" t="s">
        <v>243</v>
      </c>
      <c r="E104" s="46"/>
      <c r="F104" s="46" t="s">
        <v>23</v>
      </c>
      <c r="G104" s="55">
        <f t="shared" si="23"/>
        <v>2018</v>
      </c>
      <c r="H104" s="67">
        <f>VLOOKUP($Q104,'FILL Table'!$A$44:$I$58,H$3,FALSE)</f>
        <v>6.3416394216687405E-2</v>
      </c>
      <c r="I104" s="67">
        <f>VLOOKUP($Q104,'FILL Table'!$A$44:$L$58,I$3,FALSE)</f>
        <v>6.9097221135029302E-3</v>
      </c>
      <c r="J104" s="67">
        <f>VLOOKUP($Q104,'FILL Table'!$A$44:$L$58,J$3,FALSE)</f>
        <v>3.1995776255707799E-2</v>
      </c>
      <c r="K104" s="67">
        <f>VLOOKUP($Q104,'FILL Table'!$A$44:$L$58,K$3,FALSE)</f>
        <v>3.7859951506849301E-2</v>
      </c>
      <c r="L104" s="46"/>
      <c r="M104" s="46"/>
      <c r="N104" s="46"/>
      <c r="O104" s="46"/>
      <c r="P104" s="46"/>
      <c r="Q104" s="46" t="str">
        <f t="shared" si="24"/>
        <v>TER_TS_WH_GAS</v>
      </c>
      <c r="R104" s="46"/>
    </row>
    <row r="105" spans="1:18" x14ac:dyDescent="0.25">
      <c r="A105" s="46"/>
      <c r="B105" s="46"/>
      <c r="C105" s="46"/>
      <c r="D105" s="46" t="s">
        <v>244</v>
      </c>
      <c r="E105" s="46"/>
      <c r="F105" s="46" t="s">
        <v>23</v>
      </c>
      <c r="G105" s="55">
        <f t="shared" si="23"/>
        <v>2018</v>
      </c>
      <c r="H105" s="67">
        <f>VLOOKUP($Q105,'FILL Table'!$A$44:$I$58,H$3,FALSE)</f>
        <v>6.3416394216687405E-2</v>
      </c>
      <c r="I105" s="67">
        <f>VLOOKUP($Q105,'FILL Table'!$A$44:$L$58,I$3,FALSE)</f>
        <v>6.9097221135029302E-3</v>
      </c>
      <c r="J105" s="67">
        <f>VLOOKUP($Q105,'FILL Table'!$A$44:$L$58,J$3,FALSE)</f>
        <v>3.1995776255707799E-2</v>
      </c>
      <c r="K105" s="67">
        <f>VLOOKUP($Q105,'FILL Table'!$A$44:$L$58,K$3,FALSE)</f>
        <v>3.7859951506849301E-2</v>
      </c>
      <c r="L105" s="46"/>
      <c r="M105" s="46"/>
      <c r="N105" s="46"/>
      <c r="O105" s="46"/>
      <c r="P105" s="46"/>
      <c r="Q105" s="46" t="str">
        <f t="shared" si="24"/>
        <v>TER_TS_WH_GAS</v>
      </c>
      <c r="R105" s="46"/>
    </row>
    <row r="106" spans="1:18" x14ac:dyDescent="0.25">
      <c r="A106" s="46"/>
      <c r="B106" s="46"/>
      <c r="C106" s="46"/>
      <c r="D106" s="46" t="s">
        <v>245</v>
      </c>
      <c r="E106" s="46"/>
      <c r="F106" s="46" t="s">
        <v>23</v>
      </c>
      <c r="G106" s="55">
        <f t="shared" si="23"/>
        <v>2018</v>
      </c>
      <c r="H106" s="67">
        <f>H105</f>
        <v>6.3416394216687405E-2</v>
      </c>
      <c r="I106" s="67">
        <f>I105</f>
        <v>6.9097221135029302E-3</v>
      </c>
      <c r="J106" s="67">
        <f t="shared" ref="J106:K106" si="29">J105</f>
        <v>3.1995776255707799E-2</v>
      </c>
      <c r="K106" s="67">
        <f t="shared" si="29"/>
        <v>3.7859951506849301E-2</v>
      </c>
      <c r="L106" s="46"/>
      <c r="M106" s="46"/>
      <c r="N106" s="46"/>
      <c r="O106" s="46"/>
      <c r="P106" s="46"/>
      <c r="Q106" s="46" t="str">
        <f t="shared" si="24"/>
        <v>TER_TS_WH_LTH</v>
      </c>
      <c r="R106" s="46"/>
    </row>
    <row r="107" spans="1:18" x14ac:dyDescent="0.25">
      <c r="A107" s="46"/>
      <c r="B107" s="46"/>
      <c r="C107" s="46"/>
      <c r="D107" s="46" t="s">
        <v>246</v>
      </c>
      <c r="E107" s="46"/>
      <c r="F107" s="46" t="s">
        <v>23</v>
      </c>
      <c r="G107" s="55">
        <f t="shared" si="23"/>
        <v>2018</v>
      </c>
      <c r="H107" s="67">
        <f t="shared" ref="H107:I108" si="30">H106</f>
        <v>6.3416394216687405E-2</v>
      </c>
      <c r="I107" s="67">
        <f t="shared" si="30"/>
        <v>6.9097221135029302E-3</v>
      </c>
      <c r="J107" s="67">
        <f t="shared" ref="J107:K107" si="31">J106</f>
        <v>3.1995776255707799E-2</v>
      </c>
      <c r="K107" s="67">
        <f t="shared" si="31"/>
        <v>3.7859951506849301E-2</v>
      </c>
      <c r="L107" s="46"/>
      <c r="M107" s="46"/>
      <c r="N107" s="46"/>
      <c r="O107" s="46"/>
      <c r="P107" s="46"/>
      <c r="Q107" s="46" t="str">
        <f t="shared" si="24"/>
        <v>TER_TS_WH_SOL</v>
      </c>
      <c r="R107" s="46"/>
    </row>
    <row r="108" spans="1:18" x14ac:dyDescent="0.25">
      <c r="A108" s="46"/>
      <c r="B108" s="46"/>
      <c r="C108" s="46"/>
      <c r="D108" s="46" t="s">
        <v>247</v>
      </c>
      <c r="E108" s="46"/>
      <c r="F108" s="46" t="s">
        <v>23</v>
      </c>
      <c r="G108" s="55">
        <f t="shared" si="23"/>
        <v>2018</v>
      </c>
      <c r="H108" s="67">
        <f t="shared" si="30"/>
        <v>6.3416394216687405E-2</v>
      </c>
      <c r="I108" s="67">
        <f t="shared" si="30"/>
        <v>6.9097221135029302E-3</v>
      </c>
      <c r="J108" s="67">
        <f t="shared" ref="J108:K108" si="32">J107</f>
        <v>3.1995776255707799E-2</v>
      </c>
      <c r="K108" s="67">
        <f t="shared" si="32"/>
        <v>3.7859951506849301E-2</v>
      </c>
      <c r="L108" s="46"/>
      <c r="M108" s="46"/>
      <c r="N108" s="46"/>
      <c r="O108" s="46"/>
      <c r="P108" s="46"/>
      <c r="Q108" s="46" t="str">
        <f t="shared" si="24"/>
        <v>TER_TS_WH_SOL</v>
      </c>
      <c r="R108" s="46"/>
    </row>
    <row r="109" spans="1:18" ht="15" thickBot="1" x14ac:dyDescent="0.3">
      <c r="B109" s="44" t="s">
        <v>31</v>
      </c>
      <c r="C109" s="44"/>
      <c r="D109" s="44"/>
      <c r="E109" s="44"/>
      <c r="F109" s="44"/>
      <c r="G109" s="44"/>
      <c r="H109" s="69" t="s">
        <v>36</v>
      </c>
      <c r="I109" s="69"/>
      <c r="J109" s="69"/>
      <c r="K109" s="69"/>
      <c r="L109" s="44"/>
      <c r="M109" s="44" t="s">
        <v>37</v>
      </c>
      <c r="N109" s="44"/>
      <c r="O109" s="44"/>
      <c r="P109" s="44"/>
      <c r="Q109" s="44"/>
    </row>
    <row r="110" spans="1:18" ht="15" thickBot="1" x14ac:dyDescent="0.3">
      <c r="B110" s="44" t="s">
        <v>31</v>
      </c>
      <c r="C110" s="44"/>
      <c r="D110" s="44"/>
      <c r="E110" s="44"/>
      <c r="F110" s="44"/>
      <c r="G110" s="44"/>
      <c r="H110" s="59"/>
      <c r="I110" s="59"/>
      <c r="J110" s="59"/>
      <c r="K110" s="59"/>
      <c r="L110" s="44"/>
      <c r="M110" s="30" t="s">
        <v>87</v>
      </c>
      <c r="N110" s="30" t="s">
        <v>88</v>
      </c>
      <c r="O110" s="30" t="s">
        <v>89</v>
      </c>
      <c r="P110" s="30" t="s">
        <v>90</v>
      </c>
      <c r="Q110" s="45" t="s">
        <v>19</v>
      </c>
    </row>
    <row r="111" spans="1:18" x14ac:dyDescent="0.25">
      <c r="D111" s="41" t="s">
        <v>248</v>
      </c>
      <c r="E111" s="41" t="s">
        <v>93</v>
      </c>
      <c r="F111" s="46" t="s">
        <v>22</v>
      </c>
      <c r="G111" s="55">
        <f t="shared" ref="G111:G130" si="33">BASE_YEAR+1</f>
        <v>2018</v>
      </c>
      <c r="H111" s="67">
        <f>IF(VLOOKUP($Q111,'FILL Table'!$A$59:$I$69,H$3,FALSE)=0,$H$125*2,VLOOKUP($Q111,'FILL Table'!$A$59:$I$69,H$3,FALSE))</f>
        <v>1.5721898354181821E-2</v>
      </c>
      <c r="I111" s="67">
        <f>IF(VLOOKUP($Q111,'FILL Table'!$A$59:$L$69,I$3,FALSE)=0,$I$125*2,VLOOKUP($Q111,'FILL Table'!$A$59:$L$69,I$3,FALSE))</f>
        <v>0</v>
      </c>
      <c r="J111" s="67">
        <f>IF(VLOOKUP($Q111,'FILL Table'!$A$59:$L$69,J$3,FALSE)=0,$J$125*2,VLOOKUP($Q111,'FILL Table'!$A$59:$L$69,J$3,FALSE))</f>
        <v>9.3295859999999994E-2</v>
      </c>
      <c r="K111" s="67">
        <f>IF(VLOOKUP($Q111,'FILL Table'!$A$59:$L$69,K$3,FALSE)=0,$K$125*2,VLOOKUP($Q111,'FILL Table'!$A$59:$L$69,K$3,FALSE))</f>
        <v>0</v>
      </c>
      <c r="Q111" s="46" t="str">
        <f t="shared" ref="Q111:Q130" si="34">LEFT(D111,13)</f>
        <v>TER_TP_CK_LOG</v>
      </c>
      <c r="R111" s="41" t="s">
        <v>38</v>
      </c>
    </row>
    <row r="112" spans="1:18" x14ac:dyDescent="0.25">
      <c r="D112" s="41" t="s">
        <v>249</v>
      </c>
      <c r="E112" s="41" t="s">
        <v>91</v>
      </c>
      <c r="F112" s="46" t="s">
        <v>22</v>
      </c>
      <c r="G112" s="55">
        <f t="shared" si="33"/>
        <v>2018</v>
      </c>
      <c r="H112" s="67">
        <f>IF(VLOOKUP($Q112,'FILL Table'!$A$59:$I$69,H$3,FALSE)=0,$H$125,VLOOKUP($Q112,'FILL Table'!$A$59:$I$69,H$3,FALSE))</f>
        <v>8.3567690639999997E-3</v>
      </c>
      <c r="I112" s="67">
        <f>IF(VLOOKUP($Q112,'FILL Table'!$A$59:$L$69,I$3,FALSE)=0,$I$125*2,VLOOKUP($Q112,'FILL Table'!$A$59:$L$69,I$3,FALSE))</f>
        <v>9.4555071818181805E-3</v>
      </c>
      <c r="J112" s="67">
        <f>IF(VLOOKUP($Q112,'FILL Table'!$A$59:$L$69,J$3,FALSE)=0,$J$125*2,VLOOKUP($Q112,'FILL Table'!$A$59:$L$69,J$3,FALSE))</f>
        <v>3.9076800000000002E-2</v>
      </c>
      <c r="K112" s="67">
        <f>IF(VLOOKUP($Q112,'FILL Table'!$A$59:$L$69,K$3,FALSE)=0,$K$125*2,VLOOKUP($Q112,'FILL Table'!$A$59:$L$69,K$3,FALSE))</f>
        <v>9.0016200000000001E-3</v>
      </c>
      <c r="Q112" s="46" t="str">
        <f t="shared" si="34"/>
        <v>TER_TP_CK_GAS</v>
      </c>
    </row>
    <row r="113" spans="4:17" x14ac:dyDescent="0.25">
      <c r="D113" s="41" t="s">
        <v>250</v>
      </c>
      <c r="E113" s="41" t="s">
        <v>91</v>
      </c>
      <c r="F113" s="46" t="s">
        <v>22</v>
      </c>
      <c r="G113" s="55">
        <f t="shared" si="33"/>
        <v>2018</v>
      </c>
      <c r="H113" s="67">
        <f>H112*M113</f>
        <v>7.9389306107999994E-3</v>
      </c>
      <c r="I113" s="67">
        <f>I112*N113</f>
        <v>8.9827318227272707E-3</v>
      </c>
      <c r="J113" s="67">
        <f t="shared" ref="J113:K113" si="35">J112*O113</f>
        <v>3.7122959999999997E-2</v>
      </c>
      <c r="K113" s="67">
        <f t="shared" si="35"/>
        <v>8.5515390000000004E-3</v>
      </c>
      <c r="M113" s="41">
        <f>IF(RIGHT($D113,2)="IM",0.95,0.85)</f>
        <v>0.95</v>
      </c>
      <c r="N113" s="41">
        <f t="shared" ref="N113:P114" si="36">M113</f>
        <v>0.95</v>
      </c>
      <c r="O113" s="41">
        <f t="shared" si="36"/>
        <v>0.95</v>
      </c>
      <c r="P113" s="41">
        <f t="shared" si="36"/>
        <v>0.95</v>
      </c>
      <c r="Q113" s="46" t="str">
        <f t="shared" si="34"/>
        <v>TER_TP_CK_GAS</v>
      </c>
    </row>
    <row r="114" spans="4:17" x14ac:dyDescent="0.25">
      <c r="D114" s="41" t="s">
        <v>251</v>
      </c>
      <c r="E114" s="41" t="s">
        <v>91</v>
      </c>
      <c r="F114" s="46" t="s">
        <v>22</v>
      </c>
      <c r="G114" s="55">
        <f t="shared" si="33"/>
        <v>2018</v>
      </c>
      <c r="H114" s="67">
        <f>H112*M114</f>
        <v>7.1032537043999996E-3</v>
      </c>
      <c r="I114" s="67">
        <f>I112*N114</f>
        <v>8.037181104545453E-3</v>
      </c>
      <c r="J114" s="67">
        <f t="shared" ref="J114:K114" si="37">J112*O114</f>
        <v>3.321528E-2</v>
      </c>
      <c r="K114" s="67">
        <f t="shared" si="37"/>
        <v>7.651377E-3</v>
      </c>
      <c r="M114" s="41">
        <f>IF(RIGHT($D114,2)="IM",0.95,0.85)</f>
        <v>0.85</v>
      </c>
      <c r="N114" s="41">
        <f t="shared" si="36"/>
        <v>0.85</v>
      </c>
      <c r="O114" s="41">
        <f t="shared" si="36"/>
        <v>0.85</v>
      </c>
      <c r="P114" s="41">
        <f t="shared" si="36"/>
        <v>0.85</v>
      </c>
      <c r="Q114" s="46" t="str">
        <f t="shared" si="34"/>
        <v>TER_TP_CK_GAS</v>
      </c>
    </row>
    <row r="115" spans="4:17" x14ac:dyDescent="0.25">
      <c r="D115" s="41" t="s">
        <v>252</v>
      </c>
      <c r="E115" s="41" t="s">
        <v>92</v>
      </c>
      <c r="F115" s="46" t="s">
        <v>22</v>
      </c>
      <c r="G115" s="55">
        <f t="shared" si="33"/>
        <v>2018</v>
      </c>
      <c r="H115" s="67">
        <f>IF(VLOOKUP($Q115,'FILL Table'!$A$59:$I$69,H$3,FALSE)=0,$H$125,VLOOKUP($Q115,'FILL Table'!$A$59:$I$69,H$3,FALSE))</f>
        <v>8.3567690639999997E-3</v>
      </c>
      <c r="I115" s="67">
        <f>IF(VLOOKUP($Q115,'FILL Table'!$A$59:$L$69,I$3,FALSE)=0,$H$125,VLOOKUP($Q115,'FILL Table'!$A$59:$L$69,I$3,FALSE))</f>
        <v>7.8609491770909104E-3</v>
      </c>
      <c r="J115" s="67">
        <f>IF(VLOOKUP($Q115,'FILL Table'!$A$59:$L$69,J$3,FALSE)=0,$H$125,VLOOKUP($Q115,'FILL Table'!$A$59:$L$69,J$3,FALSE))</f>
        <v>3.9076800000000002E-2</v>
      </c>
      <c r="K115" s="67">
        <f>IF(VLOOKUP($Q115,'FILL Table'!$A$59:$L$69,K$3,FALSE)=0,$H$125,VLOOKUP($Q115,'FILL Table'!$A$59:$L$69,K$3,FALSE))</f>
        <v>7.8609491770909104E-3</v>
      </c>
      <c r="Q115" s="46" t="str">
        <f t="shared" si="34"/>
        <v>TER_TP_CK_LPG</v>
      </c>
    </row>
    <row r="116" spans="4:17" x14ac:dyDescent="0.25">
      <c r="D116" s="41" t="s">
        <v>253</v>
      </c>
      <c r="E116" s="41" t="s">
        <v>92</v>
      </c>
      <c r="F116" s="46" t="s">
        <v>22</v>
      </c>
      <c r="G116" s="55">
        <f t="shared" si="33"/>
        <v>2018</v>
      </c>
      <c r="H116" s="67">
        <f>H115*M116</f>
        <v>7.9389306107999994E-3</v>
      </c>
      <c r="I116" s="67">
        <f>I115*N116</f>
        <v>7.4679017182363644E-3</v>
      </c>
      <c r="J116" s="67">
        <f t="shared" ref="J116:K116" si="38">J115*O116</f>
        <v>3.7122959999999997E-2</v>
      </c>
      <c r="K116" s="67">
        <f t="shared" si="38"/>
        <v>7.4679017182363644E-3</v>
      </c>
      <c r="M116" s="41">
        <f>IF(RIGHT($D116,2)="IM",0.95,0.85)</f>
        <v>0.95</v>
      </c>
      <c r="N116" s="41">
        <f t="shared" ref="N116:P117" si="39">M116</f>
        <v>0.95</v>
      </c>
      <c r="O116" s="41">
        <f t="shared" si="39"/>
        <v>0.95</v>
      </c>
      <c r="P116" s="41">
        <f t="shared" si="39"/>
        <v>0.95</v>
      </c>
      <c r="Q116" s="46" t="str">
        <f t="shared" si="34"/>
        <v>TER_TP_CK_LPG</v>
      </c>
    </row>
    <row r="117" spans="4:17" x14ac:dyDescent="0.25">
      <c r="D117" s="41" t="s">
        <v>254</v>
      </c>
      <c r="E117" s="41" t="s">
        <v>92</v>
      </c>
      <c r="F117" s="46" t="s">
        <v>22</v>
      </c>
      <c r="G117" s="55">
        <f t="shared" si="33"/>
        <v>2018</v>
      </c>
      <c r="H117" s="67">
        <f>H115*M117</f>
        <v>7.1032537043999996E-3</v>
      </c>
      <c r="I117" s="67">
        <f>I115*N117</f>
        <v>6.681806800527274E-3</v>
      </c>
      <c r="J117" s="67">
        <f t="shared" ref="J117:K117" si="40">J115*O117</f>
        <v>3.321528E-2</v>
      </c>
      <c r="K117" s="67">
        <f t="shared" si="40"/>
        <v>6.681806800527274E-3</v>
      </c>
      <c r="M117" s="41">
        <f>IF(RIGHT($D117,2)="IM",0.95,0.85)</f>
        <v>0.85</v>
      </c>
      <c r="N117" s="41">
        <f t="shared" si="39"/>
        <v>0.85</v>
      </c>
      <c r="O117" s="41">
        <f t="shared" si="39"/>
        <v>0.85</v>
      </c>
      <c r="P117" s="41">
        <f t="shared" si="39"/>
        <v>0.85</v>
      </c>
      <c r="Q117" s="46" t="str">
        <f t="shared" si="34"/>
        <v>TER_TP_CK_LPG</v>
      </c>
    </row>
    <row r="118" spans="4:17" x14ac:dyDescent="0.25">
      <c r="D118" s="41" t="s">
        <v>255</v>
      </c>
      <c r="E118" s="41" t="s">
        <v>95</v>
      </c>
      <c r="F118" s="46" t="s">
        <v>22</v>
      </c>
      <c r="G118" s="55">
        <f t="shared" si="33"/>
        <v>2018</v>
      </c>
      <c r="H118" s="67">
        <f>IF(VLOOKUP($Q118,'FILL Table'!$A$59:$I$69,H$3,FALSE)=0,H$112,VLOOKUP($Q118,'FILL Table'!$A$59:$I$69,H$3,FALSE))</f>
        <v>8.3567690639999997E-3</v>
      </c>
      <c r="I118" s="67">
        <f>IF(VLOOKUP($Q118,'FILL Table'!$A$59:$L$69,I$3,FALSE)=0,I$112,VLOOKUP($Q118,'FILL Table'!$A$59:$L$69,I$3,FALSE))</f>
        <v>9.4555071818181805E-3</v>
      </c>
      <c r="J118" s="67">
        <f>IF(VLOOKUP($Q118,'FILL Table'!$A$59:$L$69,J$3,FALSE)=0,J$112,VLOOKUP($Q118,'FILL Table'!$A$59:$L$69,J$3,FALSE))</f>
        <v>3.9076800000000002E-2</v>
      </c>
      <c r="K118" s="67">
        <f>IF(VLOOKUP($Q118,'FILL Table'!$A$59:$L$69,K$3,FALSE)=0,K$112,VLOOKUP($Q118,'FILL Table'!$A$59:$L$69,K$3,FALSE))</f>
        <v>9.0016200000000001E-3</v>
      </c>
      <c r="Q118" s="46" t="str">
        <f t="shared" si="34"/>
        <v>TER_TP_CK_ELC</v>
      </c>
    </row>
    <row r="119" spans="4:17" x14ac:dyDescent="0.25">
      <c r="D119" s="41" t="s">
        <v>256</v>
      </c>
      <c r="E119" s="41" t="s">
        <v>95</v>
      </c>
      <c r="F119" s="46" t="s">
        <v>22</v>
      </c>
      <c r="G119" s="55">
        <f t="shared" si="33"/>
        <v>2018</v>
      </c>
      <c r="H119" s="67">
        <f>H118*M119</f>
        <v>7.9389306107999994E-3</v>
      </c>
      <c r="I119" s="67">
        <f>I118*N119</f>
        <v>8.9827318227272707E-3</v>
      </c>
      <c r="J119" s="67">
        <f t="shared" ref="J119:K119" si="41">J118*O119</f>
        <v>3.7122959999999997E-2</v>
      </c>
      <c r="K119" s="67">
        <f t="shared" si="41"/>
        <v>8.5515390000000004E-3</v>
      </c>
      <c r="M119" s="41">
        <f>IF(RIGHT($D119,2)="IM",0.95,0.85)</f>
        <v>0.95</v>
      </c>
      <c r="N119" s="41">
        <f t="shared" ref="N119:P120" si="42">M119</f>
        <v>0.95</v>
      </c>
      <c r="O119" s="41">
        <f t="shared" si="42"/>
        <v>0.95</v>
      </c>
      <c r="P119" s="41">
        <f t="shared" si="42"/>
        <v>0.95</v>
      </c>
      <c r="Q119" s="46" t="str">
        <f t="shared" si="34"/>
        <v>TER_TP_CK_ELC</v>
      </c>
    </row>
    <row r="120" spans="4:17" x14ac:dyDescent="0.25">
      <c r="D120" s="41" t="s">
        <v>257</v>
      </c>
      <c r="E120" s="41" t="s">
        <v>95</v>
      </c>
      <c r="F120" s="46" t="s">
        <v>22</v>
      </c>
      <c r="G120" s="55">
        <f t="shared" si="33"/>
        <v>2018</v>
      </c>
      <c r="H120" s="67">
        <f>H118*M120</f>
        <v>7.1032537043999996E-3</v>
      </c>
      <c r="I120" s="67">
        <f>I118*N120</f>
        <v>8.037181104545453E-3</v>
      </c>
      <c r="J120" s="67">
        <f t="shared" ref="J120:K120" si="43">J118*O120</f>
        <v>3.321528E-2</v>
      </c>
      <c r="K120" s="67">
        <f t="shared" si="43"/>
        <v>7.651377E-3</v>
      </c>
      <c r="M120" s="41">
        <f>IF(RIGHT($D120,2)="IM",0.95,0.85)</f>
        <v>0.85</v>
      </c>
      <c r="N120" s="41">
        <f t="shared" si="42"/>
        <v>0.85</v>
      </c>
      <c r="O120" s="41">
        <f t="shared" si="42"/>
        <v>0.85</v>
      </c>
      <c r="P120" s="41">
        <f t="shared" si="42"/>
        <v>0.85</v>
      </c>
      <c r="Q120" s="46" t="str">
        <f t="shared" si="34"/>
        <v>TER_TP_CK_ELC</v>
      </c>
    </row>
    <row r="121" spans="4:17" x14ac:dyDescent="0.25">
      <c r="D121" s="41" t="s">
        <v>258</v>
      </c>
      <c r="E121" s="41" t="s">
        <v>93</v>
      </c>
      <c r="F121" s="46" t="s">
        <v>22</v>
      </c>
      <c r="G121" s="55">
        <f t="shared" si="33"/>
        <v>2018</v>
      </c>
      <c r="H121" s="67">
        <f>IF(VLOOKUP($Q121,'FILL Table'!$A$59:$I$69,H$3,FALSE)=0,$H$125*2,VLOOKUP($Q121,'FILL Table'!$A$59:$I$69,H$3,FALSE))</f>
        <v>1.5721898354181821E-2</v>
      </c>
      <c r="I121" s="67">
        <f>IF(VLOOKUP($Q121,'FILL Table'!$A$59:$L$69,I$3,FALSE)=0,$H$125*2,VLOOKUP($Q121,'FILL Table'!$A$59:$L$69,I$3,FALSE))</f>
        <v>1.5721898354181821E-2</v>
      </c>
      <c r="J121" s="67">
        <f>IF(VLOOKUP($Q121,'FILL Table'!$A$59:$L$69,J$3,FALSE)=0,$H$125*2,VLOOKUP($Q121,'FILL Table'!$A$59:$L$69,J$3,FALSE))</f>
        <v>1.5721898354181821E-2</v>
      </c>
      <c r="K121" s="67">
        <f>IF(VLOOKUP($Q121,'FILL Table'!$A$59:$L$69,K$3,FALSE)=0,$H$125*2,VLOOKUP($Q121,'FILL Table'!$A$59:$L$69,K$3,FALSE))</f>
        <v>1.5721898354181821E-2</v>
      </c>
      <c r="Q121" s="46" t="str">
        <f t="shared" si="34"/>
        <v>TER_TS_CK_LOG</v>
      </c>
    </row>
    <row r="122" spans="4:17" x14ac:dyDescent="0.25">
      <c r="D122" s="41" t="s">
        <v>259</v>
      </c>
      <c r="E122" s="41" t="s">
        <v>91</v>
      </c>
      <c r="F122" s="46" t="s">
        <v>22</v>
      </c>
      <c r="G122" s="55">
        <f t="shared" si="33"/>
        <v>2018</v>
      </c>
      <c r="H122" s="67">
        <f>IF(VLOOKUP($Q122,'FILL Table'!$A$59:$I$69,H$3,FALSE)=0,$H$125,VLOOKUP($Q122,'FILL Table'!$A$59:$I$69,H$3,FALSE))</f>
        <v>7.8609491770909104E-3</v>
      </c>
      <c r="I122" s="67">
        <f>IF(VLOOKUP($Q122,'FILL Table'!$A$59:$L$69,I$3,FALSE)=0,$H$125,VLOOKUP($Q122,'FILL Table'!$A$59:$L$69,I$3,FALSE))</f>
        <v>6.87457607142857E-3</v>
      </c>
      <c r="J122" s="67">
        <f>IF(VLOOKUP($Q122,'FILL Table'!$A$59:$L$69,J$3,FALSE)=0,$H$125,VLOOKUP($Q122,'FILL Table'!$A$59:$L$69,J$3,FALSE))</f>
        <v>4.6647929999999997E-2</v>
      </c>
      <c r="K122" s="67">
        <f>IF(VLOOKUP($Q122,'FILL Table'!$A$59:$L$69,K$3,FALSE)=0,$H$125,VLOOKUP($Q122,'FILL Table'!$A$59:$L$69,K$3,FALSE))</f>
        <v>8.8406375399999997E-3</v>
      </c>
      <c r="Q122" s="46" t="str">
        <f t="shared" si="34"/>
        <v>TER_TS_CK_GAS</v>
      </c>
    </row>
    <row r="123" spans="4:17" x14ac:dyDescent="0.25">
      <c r="D123" s="41" t="s">
        <v>260</v>
      </c>
      <c r="E123" s="41" t="s">
        <v>91</v>
      </c>
      <c r="F123" s="46" t="s">
        <v>22</v>
      </c>
      <c r="G123" s="55">
        <f t="shared" si="33"/>
        <v>2018</v>
      </c>
      <c r="H123" s="67">
        <f>H122*M123</f>
        <v>7.4679017182363644E-3</v>
      </c>
      <c r="I123" s="67">
        <f>I122*N123</f>
        <v>6.5308472678571412E-3</v>
      </c>
      <c r="J123" s="67">
        <f t="shared" ref="J123:K123" si="44">J122*O123</f>
        <v>4.4315533499999997E-2</v>
      </c>
      <c r="K123" s="67">
        <f t="shared" si="44"/>
        <v>8.3986056629999986E-3</v>
      </c>
      <c r="M123" s="41">
        <f>IF(RIGHT($D123,2)="IM",0.95,0.85)</f>
        <v>0.95</v>
      </c>
      <c r="N123" s="41">
        <f t="shared" ref="N123:P124" si="45">M123</f>
        <v>0.95</v>
      </c>
      <c r="O123" s="41">
        <f t="shared" si="45"/>
        <v>0.95</v>
      </c>
      <c r="P123" s="41">
        <f t="shared" si="45"/>
        <v>0.95</v>
      </c>
      <c r="Q123" s="46" t="str">
        <f t="shared" si="34"/>
        <v>TER_TS_CK_GAS</v>
      </c>
    </row>
    <row r="124" spans="4:17" x14ac:dyDescent="0.25">
      <c r="D124" s="41" t="s">
        <v>261</v>
      </c>
      <c r="E124" s="41" t="s">
        <v>91</v>
      </c>
      <c r="F124" s="46" t="s">
        <v>22</v>
      </c>
      <c r="G124" s="55">
        <f t="shared" si="33"/>
        <v>2018</v>
      </c>
      <c r="H124" s="67">
        <f>H122*M124</f>
        <v>6.681806800527274E-3</v>
      </c>
      <c r="I124" s="67">
        <f>I122*N124</f>
        <v>5.8433896607142845E-3</v>
      </c>
      <c r="J124" s="67">
        <f t="shared" ref="J124:K124" si="46">J122*O124</f>
        <v>3.9650740499999997E-2</v>
      </c>
      <c r="K124" s="67">
        <f t="shared" si="46"/>
        <v>7.5145419089999999E-3</v>
      </c>
      <c r="M124" s="41">
        <f>IF(RIGHT($D124,2)="IM",0.95,0.85)</f>
        <v>0.85</v>
      </c>
      <c r="N124" s="41">
        <f t="shared" si="45"/>
        <v>0.85</v>
      </c>
      <c r="O124" s="41">
        <f t="shared" si="45"/>
        <v>0.85</v>
      </c>
      <c r="P124" s="41">
        <f t="shared" si="45"/>
        <v>0.85</v>
      </c>
      <c r="Q124" s="46" t="str">
        <f t="shared" si="34"/>
        <v>TER_TS_CK_GAS</v>
      </c>
    </row>
    <row r="125" spans="4:17" x14ac:dyDescent="0.25">
      <c r="D125" s="41" t="s">
        <v>262</v>
      </c>
      <c r="E125" s="41" t="s">
        <v>92</v>
      </c>
      <c r="F125" s="46" t="s">
        <v>22</v>
      </c>
      <c r="G125" s="55">
        <f t="shared" si="33"/>
        <v>2018</v>
      </c>
      <c r="H125" s="67">
        <f>VLOOKUP($Q125,'FILL Table'!$A$59:$I$69,H$3,FALSE)</f>
        <v>7.8609491770909104E-3</v>
      </c>
      <c r="I125" s="67">
        <f>VLOOKUP($Q125,'FILL Table'!$A$59:$L$69,I$3,FALSE)</f>
        <v>0</v>
      </c>
      <c r="J125" s="67">
        <f>VLOOKUP($Q125,'FILL Table'!$A$59:$L$69,J$3,FALSE)</f>
        <v>4.6647929999999997E-2</v>
      </c>
      <c r="K125" s="67">
        <f>VLOOKUP($Q125,'FILL Table'!$A$59:$L$69,K$3,FALSE)</f>
        <v>0</v>
      </c>
      <c r="Q125" s="46" t="str">
        <f t="shared" si="34"/>
        <v>TER_TS_CK_LPG</v>
      </c>
    </row>
    <row r="126" spans="4:17" x14ac:dyDescent="0.25">
      <c r="D126" s="41" t="s">
        <v>263</v>
      </c>
      <c r="E126" s="41" t="s">
        <v>92</v>
      </c>
      <c r="F126" s="46" t="s">
        <v>22</v>
      </c>
      <c r="G126" s="55">
        <f t="shared" si="33"/>
        <v>2018</v>
      </c>
      <c r="H126" s="67">
        <f>H125*M126</f>
        <v>7.4679017182363644E-3</v>
      </c>
      <c r="I126" s="67">
        <f>I125*N126</f>
        <v>0</v>
      </c>
      <c r="J126" s="67">
        <f t="shared" ref="J126:K126" si="47">J125*O126</f>
        <v>4.4315533499999997E-2</v>
      </c>
      <c r="K126" s="67">
        <f t="shared" si="47"/>
        <v>0</v>
      </c>
      <c r="M126" s="41">
        <f>IF(RIGHT($D126,2)="IM",0.95,0.85)</f>
        <v>0.95</v>
      </c>
      <c r="N126" s="41">
        <f t="shared" ref="N126:P127" si="48">M126</f>
        <v>0.95</v>
      </c>
      <c r="O126" s="41">
        <f t="shared" si="48"/>
        <v>0.95</v>
      </c>
      <c r="P126" s="41">
        <f t="shared" si="48"/>
        <v>0.95</v>
      </c>
      <c r="Q126" s="46" t="str">
        <f t="shared" si="34"/>
        <v>TER_TS_CK_LPG</v>
      </c>
    </row>
    <row r="127" spans="4:17" x14ac:dyDescent="0.25">
      <c r="D127" s="41" t="s">
        <v>264</v>
      </c>
      <c r="E127" s="41" t="s">
        <v>92</v>
      </c>
      <c r="F127" s="46" t="s">
        <v>22</v>
      </c>
      <c r="G127" s="55">
        <f t="shared" si="33"/>
        <v>2018</v>
      </c>
      <c r="H127" s="67">
        <f>H125*M127</f>
        <v>6.681806800527274E-3</v>
      </c>
      <c r="I127" s="67">
        <f>I125*N127</f>
        <v>0</v>
      </c>
      <c r="J127" s="67">
        <f t="shared" ref="J127:K127" si="49">J125*O127</f>
        <v>3.9650740499999997E-2</v>
      </c>
      <c r="K127" s="67">
        <f t="shared" si="49"/>
        <v>0</v>
      </c>
      <c r="M127" s="41">
        <f>IF(RIGHT($D127,2)="IM",0.95,0.85)</f>
        <v>0.85</v>
      </c>
      <c r="N127" s="41">
        <f t="shared" si="48"/>
        <v>0.85</v>
      </c>
      <c r="O127" s="41">
        <f t="shared" si="48"/>
        <v>0.85</v>
      </c>
      <c r="P127" s="41">
        <f t="shared" si="48"/>
        <v>0.85</v>
      </c>
      <c r="Q127" s="46" t="str">
        <f t="shared" si="34"/>
        <v>TER_TS_CK_LPG</v>
      </c>
    </row>
    <row r="128" spans="4:17" x14ac:dyDescent="0.25">
      <c r="D128" s="41" t="s">
        <v>265</v>
      </c>
      <c r="E128" s="41" t="s">
        <v>95</v>
      </c>
      <c r="F128" s="46" t="s">
        <v>22</v>
      </c>
      <c r="G128" s="55">
        <f t="shared" si="33"/>
        <v>2018</v>
      </c>
      <c r="H128" s="67">
        <f>IF(VLOOKUP($Q128,'FILL Table'!$A$59:$I$69,H$3,FALSE)=0,H$122,VLOOKUP($Q128,'FILL Table'!$A$59:$I$69,H$3,FALSE))</f>
        <v>7.8609491770909104E-3</v>
      </c>
      <c r="I128" s="67">
        <f>IF(VLOOKUP($Q128,'FILL Table'!$A$59:$L$69,I$3,FALSE)=0,I$122,VLOOKUP($Q128,'FILL Table'!$A$59:$L$69,I$3,FALSE))</f>
        <v>6.87457607142857E-3</v>
      </c>
      <c r="J128" s="67">
        <f>IF(VLOOKUP($Q128,'FILL Table'!$A$59:$L$69,J$3,FALSE)=0,J$122,VLOOKUP($Q128,'FILL Table'!$A$59:$L$69,J$3,FALSE))</f>
        <v>4.6647929999999997E-2</v>
      </c>
      <c r="K128" s="67">
        <f>IF(VLOOKUP($Q128,'FILL Table'!$A$59:$L$69,K$3,FALSE)=0,K$122,VLOOKUP($Q128,'FILL Table'!$A$59:$L$69,K$3,FALSE))</f>
        <v>8.8406375399999997E-3</v>
      </c>
      <c r="Q128" s="46" t="str">
        <f t="shared" si="34"/>
        <v>TER_TS_CK_ELC</v>
      </c>
    </row>
    <row r="129" spans="1:18" x14ac:dyDescent="0.25">
      <c r="D129" s="41" t="s">
        <v>266</v>
      </c>
      <c r="E129" s="41" t="s">
        <v>95</v>
      </c>
      <c r="F129" s="46" t="s">
        <v>22</v>
      </c>
      <c r="G129" s="55">
        <f t="shared" si="33"/>
        <v>2018</v>
      </c>
      <c r="H129" s="67">
        <f>H128*M129</f>
        <v>7.4679017182363644E-3</v>
      </c>
      <c r="I129" s="67">
        <f>I128*N129</f>
        <v>6.5308472678571412E-3</v>
      </c>
      <c r="J129" s="67">
        <f t="shared" ref="J129:K129" si="50">J128*O129</f>
        <v>4.4315533499999997E-2</v>
      </c>
      <c r="K129" s="67">
        <f t="shared" si="50"/>
        <v>8.3986056629999986E-3</v>
      </c>
      <c r="M129" s="41">
        <f>IF(RIGHT($D129,2)="IM",0.95,0.85)</f>
        <v>0.95</v>
      </c>
      <c r="N129" s="41">
        <f t="shared" ref="N129:P130" si="51">M129</f>
        <v>0.95</v>
      </c>
      <c r="O129" s="41">
        <f t="shared" si="51"/>
        <v>0.95</v>
      </c>
      <c r="P129" s="41">
        <f t="shared" si="51"/>
        <v>0.95</v>
      </c>
      <c r="Q129" s="46" t="str">
        <f t="shared" si="34"/>
        <v>TER_TS_CK_ELC</v>
      </c>
    </row>
    <row r="130" spans="1:18" ht="14.4" thickBot="1" x14ac:dyDescent="0.3">
      <c r="A130" s="50"/>
      <c r="B130" s="50"/>
      <c r="C130" s="50"/>
      <c r="D130" s="50" t="s">
        <v>267</v>
      </c>
      <c r="E130" s="50" t="s">
        <v>95</v>
      </c>
      <c r="F130" s="50" t="s">
        <v>22</v>
      </c>
      <c r="G130" s="51">
        <f t="shared" si="33"/>
        <v>2018</v>
      </c>
      <c r="H130" s="66">
        <f>H128*M130</f>
        <v>6.681806800527274E-3</v>
      </c>
      <c r="I130" s="66">
        <f>I128*N130</f>
        <v>5.8433896607142845E-3</v>
      </c>
      <c r="J130" s="66">
        <f t="shared" ref="J130:K130" si="52">J128*O130</f>
        <v>3.9650740499999997E-2</v>
      </c>
      <c r="K130" s="66">
        <f t="shared" si="52"/>
        <v>7.5145419089999999E-3</v>
      </c>
      <c r="L130" s="50"/>
      <c r="M130" s="50">
        <f>IF(RIGHT($D130,2)="IM",0.95,0.85)</f>
        <v>0.85</v>
      </c>
      <c r="N130" s="50">
        <f t="shared" si="51"/>
        <v>0.85</v>
      </c>
      <c r="O130" s="50">
        <f t="shared" si="51"/>
        <v>0.85</v>
      </c>
      <c r="P130" s="50">
        <f t="shared" si="51"/>
        <v>0.85</v>
      </c>
      <c r="Q130" s="50" t="str">
        <f t="shared" si="34"/>
        <v>TER_TS_CK_ELC</v>
      </c>
      <c r="R130" s="50"/>
    </row>
    <row r="131" spans="1:18" ht="14.4" thickTop="1" x14ac:dyDescent="0.25">
      <c r="B131" s="46"/>
      <c r="C131" s="46"/>
      <c r="D131" s="46" t="s">
        <v>268</v>
      </c>
      <c r="E131" s="46" t="s">
        <v>95</v>
      </c>
      <c r="F131" s="46" t="s">
        <v>22</v>
      </c>
      <c r="G131" s="55">
        <f t="shared" ref="G131:G132" si="53">BASE_YEAR+1</f>
        <v>2018</v>
      </c>
      <c r="H131" s="67">
        <f>VLOOKUP($Q131,'FILL Table'!$A$69:$I$70,H$3,FALSE)*M131</f>
        <v>5.2795588452173926E-4</v>
      </c>
      <c r="I131" s="67">
        <f>VLOOKUP($Q131,'FILL Table'!$A$69:$L$70,I$3,FALSE)*N131</f>
        <v>6.1600570434782614E-4</v>
      </c>
      <c r="J131" s="67">
        <f>VLOOKUP($Q131,'FILL Table'!$A$69:$L$70,J$3,FALSE)*O131</f>
        <v>4.7571756521739135E-4</v>
      </c>
      <c r="K131" s="67">
        <f>VLOOKUP($Q131,'FILL Table'!$A$69:$L$70,K$3,FALSE)*P131</f>
        <v>4.4216248695652178E-4</v>
      </c>
      <c r="L131" s="46"/>
      <c r="M131" s="70">
        <f>1/1.15</f>
        <v>0.86956521739130443</v>
      </c>
      <c r="N131" s="70">
        <f t="shared" ref="N131:P131" si="54">1/1.15</f>
        <v>0.86956521739130443</v>
      </c>
      <c r="O131" s="70">
        <f t="shared" si="54"/>
        <v>0.86956521739130443</v>
      </c>
      <c r="P131" s="70">
        <f t="shared" si="54"/>
        <v>0.86956521739130443</v>
      </c>
      <c r="Q131" s="46" t="str">
        <f t="shared" ref="Q131:Q138" si="55">LEFT(D131,10)&amp;RIGHT(D131,1)</f>
        <v>TER_TP_LI_1</v>
      </c>
      <c r="R131" s="41" t="s">
        <v>39</v>
      </c>
    </row>
    <row r="132" spans="1:18" x14ac:dyDescent="0.25">
      <c r="B132" s="46"/>
      <c r="C132" s="46"/>
      <c r="D132" s="46" t="s">
        <v>269</v>
      </c>
      <c r="E132" s="46" t="s">
        <v>95</v>
      </c>
      <c r="F132" s="46" t="s">
        <v>22</v>
      </c>
      <c r="G132" s="55">
        <f t="shared" si="53"/>
        <v>2018</v>
      </c>
      <c r="H132" s="67">
        <f t="shared" ref="H132:I132" si="56">H131*M132</f>
        <v>1.3492205937777781E-4</v>
      </c>
      <c r="I132" s="67">
        <f t="shared" si="56"/>
        <v>1.5742368000000001E-4</v>
      </c>
      <c r="J132" s="67">
        <f t="shared" ref="J132:K132" si="57">J131*O132</f>
        <v>1.2157226666666667E-4</v>
      </c>
      <c r="K132" s="67">
        <f t="shared" si="57"/>
        <v>1.1299707999999999E-4</v>
      </c>
      <c r="L132" s="46"/>
      <c r="M132" s="70">
        <f>1.15/4.5</f>
        <v>0.25555555555555554</v>
      </c>
      <c r="N132" s="71">
        <f t="shared" ref="N132:P134" si="58">M132</f>
        <v>0.25555555555555554</v>
      </c>
      <c r="O132" s="71">
        <f t="shared" si="58"/>
        <v>0.25555555555555554</v>
      </c>
      <c r="P132" s="71">
        <f t="shared" si="58"/>
        <v>0.25555555555555554</v>
      </c>
      <c r="Q132" s="46" t="str">
        <f t="shared" si="55"/>
        <v>TER_TP_LI_2</v>
      </c>
    </row>
    <row r="133" spans="1:18" x14ac:dyDescent="0.25">
      <c r="B133" s="46"/>
      <c r="C133" s="46"/>
      <c r="D133" s="46" t="s">
        <v>270</v>
      </c>
      <c r="E133" s="46" t="s">
        <v>95</v>
      </c>
      <c r="F133" s="46" t="str">
        <f>F132</f>
        <v>INPUT</v>
      </c>
      <c r="G133" s="55">
        <f>G132+7</f>
        <v>2025</v>
      </c>
      <c r="H133" s="67">
        <f>H131*M133</f>
        <v>8.6735609600000025E-5</v>
      </c>
      <c r="I133" s="67">
        <f>I131*N133</f>
        <v>1.0120093714285715E-4</v>
      </c>
      <c r="J133" s="67">
        <f>J131*O133</f>
        <v>7.815360000000001E-5</v>
      </c>
      <c r="K133" s="67">
        <f>K131*P133</f>
        <v>7.264098000000001E-5</v>
      </c>
      <c r="L133" s="46"/>
      <c r="M133" s="70">
        <f>1.15/7</f>
        <v>0.16428571428571428</v>
      </c>
      <c r="N133" s="71">
        <f t="shared" si="58"/>
        <v>0.16428571428571428</v>
      </c>
      <c r="O133" s="71">
        <f t="shared" si="58"/>
        <v>0.16428571428571428</v>
      </c>
      <c r="P133" s="71">
        <f t="shared" si="58"/>
        <v>0.16428571428571428</v>
      </c>
      <c r="Q133" s="46" t="str">
        <f t="shared" si="55"/>
        <v>TER_TP_LI_3</v>
      </c>
    </row>
    <row r="134" spans="1:18" x14ac:dyDescent="0.25">
      <c r="B134" s="46"/>
      <c r="C134" s="46"/>
      <c r="D134" s="46" t="s">
        <v>271</v>
      </c>
      <c r="E134" s="46" t="s">
        <v>95</v>
      </c>
      <c r="F134" s="46" t="s">
        <v>22</v>
      </c>
      <c r="G134" s="55">
        <f>G133+5</f>
        <v>2030</v>
      </c>
      <c r="H134" s="67">
        <f>H131*M134</f>
        <v>3.0357463360000003E-4</v>
      </c>
      <c r="I134" s="67">
        <f>I131*N134</f>
        <v>3.5420328E-4</v>
      </c>
      <c r="J134" s="67">
        <f>J131*O134</f>
        <v>2.7353760000000001E-4</v>
      </c>
      <c r="K134" s="67">
        <f>K131*P134</f>
        <v>2.5424342999999999E-4</v>
      </c>
      <c r="L134" s="46"/>
      <c r="M134" s="70">
        <f>1.15/2</f>
        <v>0.57499999999999996</v>
      </c>
      <c r="N134" s="71">
        <f t="shared" si="58"/>
        <v>0.57499999999999996</v>
      </c>
      <c r="O134" s="71">
        <f t="shared" si="58"/>
        <v>0.57499999999999996</v>
      </c>
      <c r="P134" s="71">
        <f t="shared" si="58"/>
        <v>0.57499999999999996</v>
      </c>
      <c r="Q134" s="46" t="str">
        <f t="shared" si="55"/>
        <v>TER_TP_LI_4</v>
      </c>
    </row>
    <row r="135" spans="1:18" x14ac:dyDescent="0.25">
      <c r="B135" s="46"/>
      <c r="C135" s="46"/>
      <c r="D135" s="46" t="s">
        <v>272</v>
      </c>
      <c r="E135" s="46" t="s">
        <v>95</v>
      </c>
      <c r="F135" s="46" t="str">
        <f>F134</f>
        <v>INPUT</v>
      </c>
      <c r="G135" s="55">
        <f>BASE_YEAR+1</f>
        <v>2018</v>
      </c>
      <c r="H135" s="67">
        <f>VLOOKUP($Q135,'FILL Table'!$A$69:$I$70,H$3,FALSE)*M135</f>
        <v>5.5538216423715403E-4</v>
      </c>
      <c r="I135" s="67">
        <f>VLOOKUP($Q135,'FILL Table'!$A$69:$L$70,I$3,FALSE)*N135</f>
        <v>6.6000611180124262E-4</v>
      </c>
      <c r="J135" s="67">
        <f>VLOOKUP($Q135,'FILL Table'!$A$69:$L$70,J$3,FALSE)*O135</f>
        <v>5.096973913043479E-4</v>
      </c>
      <c r="K135" s="67">
        <f>VLOOKUP($Q135,'FILL Table'!$A$69:$L$70,K$3,FALSE)*P135</f>
        <v>4.5479570086956532E-4</v>
      </c>
      <c r="L135" s="46"/>
      <c r="M135" s="70">
        <f>1/1.15</f>
        <v>0.86956521739130443</v>
      </c>
      <c r="N135" s="70">
        <f t="shared" ref="N135:P135" si="59">1/1.15</f>
        <v>0.86956521739130443</v>
      </c>
      <c r="O135" s="70">
        <f t="shared" si="59"/>
        <v>0.86956521739130443</v>
      </c>
      <c r="P135" s="70">
        <f t="shared" si="59"/>
        <v>0.86956521739130443</v>
      </c>
      <c r="Q135" s="46" t="str">
        <f t="shared" si="55"/>
        <v>TER_TS_LI_1</v>
      </c>
    </row>
    <row r="136" spans="1:18" x14ac:dyDescent="0.25">
      <c r="B136" s="46"/>
      <c r="C136" s="46"/>
      <c r="D136" s="46" t="s">
        <v>273</v>
      </c>
      <c r="E136" s="46" t="s">
        <v>95</v>
      </c>
      <c r="F136" s="46" t="s">
        <v>22</v>
      </c>
      <c r="G136" s="55">
        <f>BASE_YEAR+1</f>
        <v>2018</v>
      </c>
      <c r="H136" s="67">
        <f t="shared" ref="H136" si="60">H135*M136</f>
        <v>1.4193099752727269E-4</v>
      </c>
      <c r="I136" s="67">
        <f>I135*N136</f>
        <v>1.6866822857142865E-4</v>
      </c>
      <c r="J136" s="67">
        <f t="shared" ref="J136:K136" si="61">J135*O136</f>
        <v>1.3025600000000001E-4</v>
      </c>
      <c r="K136" s="67">
        <f t="shared" si="61"/>
        <v>1.1622556800000001E-4</v>
      </c>
      <c r="L136" s="46"/>
      <c r="M136" s="70">
        <f>1.15/4.5</f>
        <v>0.25555555555555554</v>
      </c>
      <c r="N136" s="70">
        <f t="shared" ref="N136:P136" si="62">M136</f>
        <v>0.25555555555555554</v>
      </c>
      <c r="O136" s="70">
        <f t="shared" si="62"/>
        <v>0.25555555555555554</v>
      </c>
      <c r="P136" s="70">
        <f t="shared" si="62"/>
        <v>0.25555555555555554</v>
      </c>
      <c r="Q136" s="46" t="str">
        <f t="shared" si="55"/>
        <v>TER_TS_LI_2</v>
      </c>
    </row>
    <row r="137" spans="1:18" x14ac:dyDescent="0.25">
      <c r="B137" s="46"/>
      <c r="C137" s="46"/>
      <c r="D137" s="46" t="s">
        <v>274</v>
      </c>
      <c r="E137" s="46" t="s">
        <v>95</v>
      </c>
      <c r="F137" s="46" t="s">
        <v>22</v>
      </c>
      <c r="G137" s="55">
        <f>G136+7</f>
        <v>2025</v>
      </c>
      <c r="H137" s="67">
        <f>H135*M137</f>
        <v>9.1241355553246733E-5</v>
      </c>
      <c r="I137" s="67">
        <f>I135*N137</f>
        <v>1.0842957551020414E-4</v>
      </c>
      <c r="J137" s="67">
        <f>J135*O137</f>
        <v>8.3736000000000013E-5</v>
      </c>
      <c r="K137" s="67">
        <f>K135*P137</f>
        <v>7.4716436571428593E-5</v>
      </c>
      <c r="L137" s="46"/>
      <c r="M137" s="70">
        <f>1.15/7</f>
        <v>0.16428571428571428</v>
      </c>
      <c r="N137" s="70">
        <f t="shared" ref="N137:P137" si="63">M137</f>
        <v>0.16428571428571428</v>
      </c>
      <c r="O137" s="70">
        <f t="shared" si="63"/>
        <v>0.16428571428571428</v>
      </c>
      <c r="P137" s="70">
        <f t="shared" si="63"/>
        <v>0.16428571428571428</v>
      </c>
      <c r="Q137" s="46" t="str">
        <f t="shared" si="55"/>
        <v>TER_TS_LI_3</v>
      </c>
    </row>
    <row r="138" spans="1:18" ht="14.4" thickBot="1" x14ac:dyDescent="0.3">
      <c r="A138" s="50"/>
      <c r="B138" s="50"/>
      <c r="C138" s="50"/>
      <c r="D138" s="50" t="s">
        <v>275</v>
      </c>
      <c r="E138" s="50" t="s">
        <v>95</v>
      </c>
      <c r="F138" s="50" t="s">
        <v>22</v>
      </c>
      <c r="G138" s="51">
        <f>G137+5</f>
        <v>2030</v>
      </c>
      <c r="H138" s="66">
        <f>H135*M138</f>
        <v>3.1934474443636352E-4</v>
      </c>
      <c r="I138" s="66">
        <f>I135*N138</f>
        <v>3.7950351428571449E-4</v>
      </c>
      <c r="J138" s="66">
        <f>J135*O138</f>
        <v>2.9307600000000002E-4</v>
      </c>
      <c r="K138" s="66">
        <f>K135*P138</f>
        <v>2.6150752800000002E-4</v>
      </c>
      <c r="L138" s="50"/>
      <c r="M138" s="72">
        <f>1.15/2</f>
        <v>0.57499999999999996</v>
      </c>
      <c r="N138" s="72">
        <f t="shared" ref="N138:P138" si="64">M138</f>
        <v>0.57499999999999996</v>
      </c>
      <c r="O138" s="72">
        <f t="shared" si="64"/>
        <v>0.57499999999999996</v>
      </c>
      <c r="P138" s="72">
        <f t="shared" si="64"/>
        <v>0.57499999999999996</v>
      </c>
      <c r="Q138" s="50" t="str">
        <f t="shared" si="55"/>
        <v>TER_TS_LI_4</v>
      </c>
      <c r="R138" s="50"/>
    </row>
    <row r="139" spans="1:18" ht="14.4" thickTop="1" x14ac:dyDescent="0.25">
      <c r="D139" s="41" t="s">
        <v>276</v>
      </c>
      <c r="E139" s="46" t="s">
        <v>95</v>
      </c>
      <c r="F139" s="46" t="s">
        <v>22</v>
      </c>
      <c r="G139" s="55">
        <f t="shared" ref="G139:G150" si="65">BASE_YEAR+1</f>
        <v>2018</v>
      </c>
      <c r="H139" s="67">
        <f>VLOOKUP($Q139,'FILL Table'!$A$71:$I$72,H$3,FALSE)</f>
        <v>1.734712192E-2</v>
      </c>
      <c r="I139" s="67">
        <f>VLOOKUP($Q139,'FILL Table'!$A$71:$L$72,I$3,FALSE)</f>
        <v>1.6100149090909101E-2</v>
      </c>
      <c r="J139" s="67">
        <f>VLOOKUP($Q139,'FILL Table'!$A$71:$L$72,J$3,FALSE)</f>
        <v>1.5630720000000001E-2</v>
      </c>
      <c r="K139" s="67">
        <f>VLOOKUP($Q139,'FILL Table'!$A$71:$L$72,K$3,FALSE)</f>
        <v>1.4528196E-2</v>
      </c>
      <c r="Q139" s="46" t="str">
        <f t="shared" ref="Q139:Q150" si="66">LEFT(D139,9)</f>
        <v>TER_TP_RF</v>
      </c>
      <c r="R139" s="41" t="s">
        <v>40</v>
      </c>
    </row>
    <row r="140" spans="1:18" x14ac:dyDescent="0.25">
      <c r="D140" s="41" t="s">
        <v>277</v>
      </c>
      <c r="E140" s="46" t="s">
        <v>95</v>
      </c>
      <c r="F140" s="46" t="s">
        <v>22</v>
      </c>
      <c r="G140" s="55">
        <f t="shared" si="65"/>
        <v>2018</v>
      </c>
      <c r="H140" s="67">
        <f>H139*M140</f>
        <v>1.5612409728E-2</v>
      </c>
      <c r="I140" s="67">
        <f>I139*N140</f>
        <v>1.4490134181818191E-2</v>
      </c>
      <c r="J140" s="67">
        <f t="shared" ref="J140:K140" si="67">J139*O140</f>
        <v>1.4067648E-2</v>
      </c>
      <c r="K140" s="67">
        <f t="shared" si="67"/>
        <v>1.30753764E-2</v>
      </c>
      <c r="M140" s="41">
        <f>IF(RIGHT($D140,2)="IM",0.9,0.8)</f>
        <v>0.9</v>
      </c>
      <c r="N140" s="41">
        <f t="shared" ref="N140:P141" si="68">M140</f>
        <v>0.9</v>
      </c>
      <c r="O140" s="41">
        <f t="shared" si="68"/>
        <v>0.9</v>
      </c>
      <c r="P140" s="41">
        <f t="shared" si="68"/>
        <v>0.9</v>
      </c>
      <c r="Q140" s="46" t="str">
        <f t="shared" si="66"/>
        <v>TER_TP_RF</v>
      </c>
    </row>
    <row r="141" spans="1:18" x14ac:dyDescent="0.25">
      <c r="D141" s="41" t="s">
        <v>278</v>
      </c>
      <c r="E141" s="46" t="s">
        <v>95</v>
      </c>
      <c r="F141" s="46" t="s">
        <v>22</v>
      </c>
      <c r="G141" s="55">
        <f t="shared" si="65"/>
        <v>2018</v>
      </c>
      <c r="H141" s="67">
        <f>H139*M141</f>
        <v>1.3877697536000001E-2</v>
      </c>
      <c r="I141" s="67">
        <f>I139*N141</f>
        <v>1.2880119272727281E-2</v>
      </c>
      <c r="J141" s="67">
        <f t="shared" ref="J141:K141" si="69">J139*O141</f>
        <v>1.2504576000000002E-2</v>
      </c>
      <c r="K141" s="67">
        <f t="shared" si="69"/>
        <v>1.1622556800000001E-2</v>
      </c>
      <c r="M141" s="41">
        <f>IF(RIGHT($D141,2)="IM",0.9,0.8)</f>
        <v>0.8</v>
      </c>
      <c r="N141" s="41">
        <f t="shared" si="68"/>
        <v>0.8</v>
      </c>
      <c r="O141" s="41">
        <f t="shared" si="68"/>
        <v>0.8</v>
      </c>
      <c r="P141" s="41">
        <f t="shared" si="68"/>
        <v>0.8</v>
      </c>
      <c r="Q141" s="46" t="str">
        <f t="shared" si="66"/>
        <v>TER_TP_RF</v>
      </c>
    </row>
    <row r="142" spans="1:18" x14ac:dyDescent="0.25">
      <c r="D142" s="41" t="s">
        <v>279</v>
      </c>
      <c r="E142" s="46" t="s">
        <v>95</v>
      </c>
      <c r="F142" s="46" t="s">
        <v>22</v>
      </c>
      <c r="G142" s="55">
        <f t="shared" si="65"/>
        <v>2018</v>
      </c>
      <c r="H142" s="67">
        <f>VLOOKUP($Q142,'FILL Table'!$A$71:$I$72,H$3,FALSE)</f>
        <v>1.2773789777454501E-2</v>
      </c>
      <c r="I142" s="67">
        <f>VLOOKUP($Q142,'FILL Table'!$A$71:$L$72,I$3,FALSE)</f>
        <v>1.5180140571428601E-2</v>
      </c>
      <c r="J142" s="67">
        <f>VLOOKUP($Q142,'FILL Table'!$A$71:$L$72,J$3,FALSE)</f>
        <v>1.1723040000000001E-2</v>
      </c>
      <c r="K142" s="67">
        <f>VLOOKUP($Q142,'FILL Table'!$A$71:$L$72,K$3,FALSE)</f>
        <v>1.0460301119999999E-2</v>
      </c>
      <c r="Q142" s="46" t="str">
        <f t="shared" si="66"/>
        <v>TER_TS_RF</v>
      </c>
    </row>
    <row r="143" spans="1:18" x14ac:dyDescent="0.25">
      <c r="D143" s="41" t="s">
        <v>280</v>
      </c>
      <c r="E143" s="46" t="s">
        <v>95</v>
      </c>
      <c r="F143" s="46" t="s">
        <v>22</v>
      </c>
      <c r="G143" s="55">
        <f t="shared" si="65"/>
        <v>2018</v>
      </c>
      <c r="H143" s="67">
        <f>H142*M143</f>
        <v>1.1496410799709051E-2</v>
      </c>
      <c r="I143" s="67">
        <f>I142*N143</f>
        <v>1.3662126514285741E-2</v>
      </c>
      <c r="J143" s="67">
        <f t="shared" ref="J143:K143" si="70">J142*O143</f>
        <v>1.0550736000000002E-2</v>
      </c>
      <c r="K143" s="67">
        <f t="shared" si="70"/>
        <v>9.4142710080000001E-3</v>
      </c>
      <c r="M143" s="41">
        <f>IF(RIGHT($D143,2)="IM",0.9,0.8)</f>
        <v>0.9</v>
      </c>
      <c r="N143" s="46">
        <f t="shared" ref="N143:P144" si="71">M143</f>
        <v>0.9</v>
      </c>
      <c r="O143" s="46">
        <f t="shared" si="71"/>
        <v>0.9</v>
      </c>
      <c r="P143" s="46">
        <f t="shared" si="71"/>
        <v>0.9</v>
      </c>
      <c r="Q143" s="46" t="str">
        <f t="shared" si="66"/>
        <v>TER_TS_RF</v>
      </c>
    </row>
    <row r="144" spans="1:18" ht="14.4" thickBot="1" x14ac:dyDescent="0.3">
      <c r="A144" s="50"/>
      <c r="B144" s="50"/>
      <c r="C144" s="50"/>
      <c r="D144" s="50" t="s">
        <v>281</v>
      </c>
      <c r="E144" s="50" t="s">
        <v>95</v>
      </c>
      <c r="F144" s="50" t="s">
        <v>22</v>
      </c>
      <c r="G144" s="51">
        <f t="shared" si="65"/>
        <v>2018</v>
      </c>
      <c r="H144" s="66">
        <f>H142*M144</f>
        <v>1.0219031821963601E-2</v>
      </c>
      <c r="I144" s="66">
        <f>I142*N144</f>
        <v>1.2144112457142881E-2</v>
      </c>
      <c r="J144" s="66">
        <f t="shared" ref="J144:K144" si="72">J142*O144</f>
        <v>9.3784320000000008E-3</v>
      </c>
      <c r="K144" s="66">
        <f t="shared" si="72"/>
        <v>8.3682408960000006E-3</v>
      </c>
      <c r="L144" s="50"/>
      <c r="M144" s="50">
        <f>IF(RIGHT($D144,2)="IM",0.9,0.8)</f>
        <v>0.8</v>
      </c>
      <c r="N144" s="50">
        <f t="shared" si="71"/>
        <v>0.8</v>
      </c>
      <c r="O144" s="50">
        <f t="shared" si="71"/>
        <v>0.8</v>
      </c>
      <c r="P144" s="50">
        <f t="shared" si="71"/>
        <v>0.8</v>
      </c>
      <c r="Q144" s="50" t="str">
        <f t="shared" si="66"/>
        <v>TER_TS_RF</v>
      </c>
      <c r="R144" s="50"/>
    </row>
    <row r="145" spans="2:17" ht="14.4" thickTop="1" x14ac:dyDescent="0.25">
      <c r="D145" s="41" t="s">
        <v>282</v>
      </c>
      <c r="E145" s="46" t="s">
        <v>95</v>
      </c>
      <c r="F145" s="46" t="s">
        <v>22</v>
      </c>
      <c r="G145" s="55">
        <f t="shared" si="65"/>
        <v>2018</v>
      </c>
      <c r="H145" s="67">
        <f>VLOOKUP($Q145,'FILL Table'!$A$73:$I$74,H$3,FALSE)</f>
        <v>1.2721222741333301E-3</v>
      </c>
      <c r="I145" s="67">
        <f>VLOOKUP($Q145,'FILL Table'!$A$73:$L$74,I$3,FALSE)</f>
        <v>1.0733432727272701E-3</v>
      </c>
      <c r="J145" s="67">
        <f>VLOOKUP($Q145,'FILL Table'!$A$73:$L$74,J$3,FALSE)</f>
        <v>1.1462528E-3</v>
      </c>
      <c r="K145" s="67">
        <f>VLOOKUP($Q145,'FILL Table'!$A$73:$L$74,K$3,FALSE)</f>
        <v>1.0654010399999999E-3</v>
      </c>
      <c r="Q145" s="46" t="str">
        <f t="shared" si="66"/>
        <v>TER_TP_AP</v>
      </c>
    </row>
    <row r="146" spans="2:17" x14ac:dyDescent="0.25">
      <c r="D146" s="41" t="s">
        <v>283</v>
      </c>
      <c r="E146" s="46" t="s">
        <v>95</v>
      </c>
      <c r="F146" s="46" t="s">
        <v>22</v>
      </c>
      <c r="G146" s="55">
        <f t="shared" si="65"/>
        <v>2018</v>
      </c>
      <c r="H146" s="67">
        <f>H145*M146</f>
        <v>1.1449100467199971E-3</v>
      </c>
      <c r="I146" s="67">
        <f>I145*N146</f>
        <v>9.6600894545454308E-4</v>
      </c>
      <c r="J146" s="67">
        <f t="shared" ref="J146:K146" si="73">J145*O146</f>
        <v>1.0316275200000001E-3</v>
      </c>
      <c r="K146" s="67">
        <f t="shared" si="73"/>
        <v>9.5886093600000002E-4</v>
      </c>
      <c r="M146" s="41">
        <f>IF(RIGHT($D146,2)="IM",0.9,0.8)</f>
        <v>0.9</v>
      </c>
      <c r="N146" s="41">
        <f t="shared" ref="N146:P147" si="74">M146</f>
        <v>0.9</v>
      </c>
      <c r="O146" s="41">
        <f t="shared" si="74"/>
        <v>0.9</v>
      </c>
      <c r="P146" s="41">
        <f t="shared" si="74"/>
        <v>0.9</v>
      </c>
      <c r="Q146" s="46" t="str">
        <f t="shared" si="66"/>
        <v>TER_TP_AP</v>
      </c>
    </row>
    <row r="147" spans="2:17" x14ac:dyDescent="0.25">
      <c r="D147" s="41" t="s">
        <v>284</v>
      </c>
      <c r="E147" s="46" t="s">
        <v>95</v>
      </c>
      <c r="F147" s="46" t="s">
        <v>22</v>
      </c>
      <c r="G147" s="55">
        <f t="shared" si="65"/>
        <v>2018</v>
      </c>
      <c r="H147" s="67">
        <f>H145*M147</f>
        <v>1.0813039330133305E-3</v>
      </c>
      <c r="I147" s="67">
        <f>I145*N147</f>
        <v>9.1234178181817953E-4</v>
      </c>
      <c r="J147" s="67">
        <f t="shared" ref="J147:K147" si="75">J145*O147</f>
        <v>9.7431487999999995E-4</v>
      </c>
      <c r="K147" s="67">
        <f t="shared" si="75"/>
        <v>9.0559088399999989E-4</v>
      </c>
      <c r="M147" s="41">
        <f>IF(RIGHT($D147,2)="IM",0.9,0.85)</f>
        <v>0.85</v>
      </c>
      <c r="N147" s="41">
        <f t="shared" si="74"/>
        <v>0.85</v>
      </c>
      <c r="O147" s="41">
        <f t="shared" si="74"/>
        <v>0.85</v>
      </c>
      <c r="P147" s="41">
        <f t="shared" si="74"/>
        <v>0.85</v>
      </c>
      <c r="Q147" s="46" t="str">
        <f t="shared" si="66"/>
        <v>TER_TP_AP</v>
      </c>
    </row>
    <row r="148" spans="2:17" x14ac:dyDescent="0.25">
      <c r="D148" s="41" t="s">
        <v>285</v>
      </c>
      <c r="E148" s="46" t="s">
        <v>95</v>
      </c>
      <c r="F148" s="46" t="s">
        <v>22</v>
      </c>
      <c r="G148" s="55">
        <f t="shared" si="65"/>
        <v>2018</v>
      </c>
      <c r="H148" s="67">
        <f>VLOOKUP($Q148,'FILL Table'!$A$73:$I$74,H$3,FALSE)</f>
        <v>1.5612409728E-3</v>
      </c>
      <c r="I148" s="67">
        <f>VLOOKUP($Q148,'FILL Table'!$A$73:$L$74,I$3,FALSE)</f>
        <v>1.2650117142857099E-3</v>
      </c>
      <c r="J148" s="67">
        <f>VLOOKUP($Q148,'FILL Table'!$A$73:$L$74,J$3,FALSE)</f>
        <v>1.432816E-3</v>
      </c>
      <c r="K148" s="67">
        <f>VLOOKUP($Q148,'FILL Table'!$A$73:$L$74,K$3,FALSE)</f>
        <v>1.278481248E-3</v>
      </c>
      <c r="Q148" s="46" t="str">
        <f t="shared" si="66"/>
        <v>TER_TS_AP</v>
      </c>
    </row>
    <row r="149" spans="2:17" x14ac:dyDescent="0.25">
      <c r="D149" s="41" t="s">
        <v>286</v>
      </c>
      <c r="E149" s="46" t="s">
        <v>95</v>
      </c>
      <c r="F149" s="46" t="s">
        <v>22</v>
      </c>
      <c r="G149" s="55">
        <f t="shared" si="65"/>
        <v>2018</v>
      </c>
      <c r="H149" s="67">
        <f>H148*M149</f>
        <v>1.4051168755200001E-3</v>
      </c>
      <c r="I149" s="67">
        <f>I148*N149</f>
        <v>1.1385105428571389E-3</v>
      </c>
      <c r="J149" s="67">
        <f t="shared" ref="J149:K149" si="76">J148*O149</f>
        <v>1.2895344000000001E-3</v>
      </c>
      <c r="K149" s="67">
        <f t="shared" si="76"/>
        <v>1.1506331232E-3</v>
      </c>
      <c r="M149" s="41">
        <f>IF(RIGHT($D149,2)="IM",0.9,0.8)</f>
        <v>0.9</v>
      </c>
      <c r="N149" s="41">
        <f t="shared" ref="N149:P150" si="77">M149</f>
        <v>0.9</v>
      </c>
      <c r="O149" s="41">
        <f t="shared" si="77"/>
        <v>0.9</v>
      </c>
      <c r="P149" s="41">
        <f t="shared" si="77"/>
        <v>0.9</v>
      </c>
      <c r="Q149" s="46" t="str">
        <f t="shared" si="66"/>
        <v>TER_TS_AP</v>
      </c>
    </row>
    <row r="150" spans="2:17" x14ac:dyDescent="0.25">
      <c r="D150" s="41" t="s">
        <v>287</v>
      </c>
      <c r="E150" s="46" t="s">
        <v>95</v>
      </c>
      <c r="F150" s="46" t="s">
        <v>22</v>
      </c>
      <c r="G150" s="55">
        <f t="shared" si="65"/>
        <v>2018</v>
      </c>
      <c r="H150" s="67">
        <f>H148*M150</f>
        <v>1.3270548268800001E-3</v>
      </c>
      <c r="I150" s="67">
        <f>I148*N150</f>
        <v>1.0752599571428533E-3</v>
      </c>
      <c r="J150" s="67">
        <f t="shared" ref="J150:K150" si="78">J148*O150</f>
        <v>1.2178935999999998E-3</v>
      </c>
      <c r="K150" s="67">
        <f t="shared" si="78"/>
        <v>1.0867090608E-3</v>
      </c>
      <c r="M150" s="41">
        <f>IF(RIGHT($D150,2)="IM",0.9,0.85)</f>
        <v>0.85</v>
      </c>
      <c r="N150" s="41">
        <f t="shared" si="77"/>
        <v>0.85</v>
      </c>
      <c r="O150" s="41">
        <f t="shared" si="77"/>
        <v>0.85</v>
      </c>
      <c r="P150" s="41">
        <f t="shared" si="77"/>
        <v>0.85</v>
      </c>
      <c r="Q150" s="46" t="str">
        <f t="shared" si="66"/>
        <v>TER_TS_AP</v>
      </c>
    </row>
    <row r="151" spans="2:17" ht="15" thickBot="1" x14ac:dyDescent="0.3">
      <c r="B151" s="44" t="s">
        <v>31</v>
      </c>
      <c r="C151" s="44"/>
      <c r="D151" s="44"/>
      <c r="E151" s="44"/>
      <c r="F151" s="44"/>
      <c r="G151" s="44"/>
      <c r="H151" s="69" t="s">
        <v>71</v>
      </c>
      <c r="I151" s="69"/>
      <c r="J151" s="69"/>
      <c r="K151" s="69"/>
      <c r="L151" s="44"/>
      <c r="M151" s="44"/>
      <c r="N151" s="44"/>
      <c r="O151" s="44"/>
      <c r="P151" s="44"/>
      <c r="Q151" s="44"/>
    </row>
    <row r="152" spans="2:17" ht="15" thickBot="1" x14ac:dyDescent="0.3">
      <c r="B152" s="44" t="s">
        <v>31</v>
      </c>
      <c r="C152" s="44"/>
      <c r="D152" s="44"/>
      <c r="E152" s="44"/>
      <c r="F152" s="44"/>
      <c r="G152" s="44"/>
      <c r="H152" s="59"/>
      <c r="I152" s="59"/>
      <c r="J152" s="59"/>
      <c r="K152" s="59"/>
      <c r="L152" s="44"/>
      <c r="M152" s="30" t="s">
        <v>87</v>
      </c>
      <c r="N152" s="30" t="s">
        <v>88</v>
      </c>
      <c r="O152" s="30" t="s">
        <v>89</v>
      </c>
      <c r="P152" s="30" t="s">
        <v>90</v>
      </c>
      <c r="Q152" s="45" t="s">
        <v>19</v>
      </c>
    </row>
    <row r="153" spans="2:17" x14ac:dyDescent="0.25">
      <c r="D153" s="41" t="s">
        <v>248</v>
      </c>
      <c r="E153" s="41" t="s">
        <v>93</v>
      </c>
      <c r="F153" s="73" t="s">
        <v>23</v>
      </c>
      <c r="G153" s="55">
        <f t="shared" ref="G153:G172" si="79">BASE_YEAR+1</f>
        <v>2018</v>
      </c>
      <c r="H153" s="67">
        <f>VLOOKUP($Q153,'FILL Table'!$A$75:$I$90,H$3,FALSE)</f>
        <v>1</v>
      </c>
      <c r="I153" s="67">
        <f>VLOOKUP($Q153,'FILL Table'!$A$75:$L$90,I$3,FALSE)</f>
        <v>1</v>
      </c>
      <c r="J153" s="67">
        <f>VLOOKUP($Q153,'FILL Table'!$A$75:$L$90,J$3,FALSE)</f>
        <v>1</v>
      </c>
      <c r="K153" s="67">
        <f>VLOOKUP($Q153,'FILL Table'!$A$75:$L$90,K$3,FALSE)</f>
        <v>1</v>
      </c>
      <c r="L153" s="67"/>
      <c r="Q153" s="46" t="str">
        <f t="shared" ref="Q153:Q172" si="80">LEFT(D153,13)</f>
        <v>TER_TP_CK_LOG</v>
      </c>
    </row>
    <row r="154" spans="2:17" x14ac:dyDescent="0.25">
      <c r="D154" s="41" t="s">
        <v>249</v>
      </c>
      <c r="E154" s="41" t="s">
        <v>91</v>
      </c>
      <c r="F154" s="46" t="str">
        <f>F153</f>
        <v>NCAP_AFA</v>
      </c>
      <c r="G154" s="55">
        <f t="shared" si="79"/>
        <v>2018</v>
      </c>
      <c r="H154" s="67">
        <f>VLOOKUP($Q154,'FILL Table'!$A$75:$I$90,H$3,FALSE)</f>
        <v>1</v>
      </c>
      <c r="I154" s="67">
        <f>VLOOKUP($Q154,'FILL Table'!$A$75:$L$90,I$3,FALSE)</f>
        <v>1</v>
      </c>
      <c r="J154" s="67">
        <f>VLOOKUP($Q154,'FILL Table'!$A$75:$L$90,J$3,FALSE)</f>
        <v>1</v>
      </c>
      <c r="K154" s="67">
        <f>VLOOKUP($Q154,'FILL Table'!$A$75:$L$90,K$3,FALSE)</f>
        <v>1</v>
      </c>
      <c r="L154" s="67"/>
      <c r="Q154" s="46" t="str">
        <f t="shared" si="80"/>
        <v>TER_TP_CK_GAS</v>
      </c>
    </row>
    <row r="155" spans="2:17" x14ac:dyDescent="0.25">
      <c r="D155" s="41" t="s">
        <v>250</v>
      </c>
      <c r="E155" s="41" t="s">
        <v>91</v>
      </c>
      <c r="F155" s="46" t="str">
        <f t="shared" ref="F155:F172" si="81">F154</f>
        <v>NCAP_AFA</v>
      </c>
      <c r="G155" s="55">
        <f t="shared" si="79"/>
        <v>2018</v>
      </c>
      <c r="H155" s="67">
        <f>VLOOKUP($Q155,'FILL Table'!$A$75:$I$90,H$3,FALSE)</f>
        <v>1</v>
      </c>
      <c r="I155" s="67">
        <f>VLOOKUP($Q155,'FILL Table'!$A$75:$L$90,I$3,FALSE)</f>
        <v>1</v>
      </c>
      <c r="J155" s="67">
        <f>VLOOKUP($Q155,'FILL Table'!$A$75:$L$90,J$3,FALSE)</f>
        <v>1</v>
      </c>
      <c r="K155" s="67">
        <f>VLOOKUP($Q155,'FILL Table'!$A$75:$L$90,K$3,FALSE)</f>
        <v>1</v>
      </c>
      <c r="L155" s="67"/>
      <c r="Q155" s="46" t="str">
        <f t="shared" si="80"/>
        <v>TER_TP_CK_GAS</v>
      </c>
    </row>
    <row r="156" spans="2:17" x14ac:dyDescent="0.25">
      <c r="D156" s="41" t="s">
        <v>251</v>
      </c>
      <c r="E156" s="41" t="s">
        <v>91</v>
      </c>
      <c r="F156" s="46" t="str">
        <f t="shared" si="81"/>
        <v>NCAP_AFA</v>
      </c>
      <c r="G156" s="55">
        <f t="shared" si="79"/>
        <v>2018</v>
      </c>
      <c r="H156" s="67">
        <f>VLOOKUP($Q156,'FILL Table'!$A$75:$I$90,H$3,FALSE)</f>
        <v>1</v>
      </c>
      <c r="I156" s="67">
        <f>VLOOKUP($Q156,'FILL Table'!$A$75:$L$90,I$3,FALSE)</f>
        <v>1</v>
      </c>
      <c r="J156" s="67">
        <f>VLOOKUP($Q156,'FILL Table'!$A$75:$L$90,J$3,FALSE)</f>
        <v>1</v>
      </c>
      <c r="K156" s="67">
        <f>VLOOKUP($Q156,'FILL Table'!$A$75:$L$90,K$3,FALSE)</f>
        <v>1</v>
      </c>
      <c r="L156" s="67"/>
      <c r="Q156" s="46" t="str">
        <f t="shared" si="80"/>
        <v>TER_TP_CK_GAS</v>
      </c>
    </row>
    <row r="157" spans="2:17" x14ac:dyDescent="0.25">
      <c r="D157" s="41" t="s">
        <v>252</v>
      </c>
      <c r="E157" s="41" t="s">
        <v>92</v>
      </c>
      <c r="F157" s="46" t="str">
        <f t="shared" si="81"/>
        <v>NCAP_AFA</v>
      </c>
      <c r="G157" s="55">
        <f t="shared" si="79"/>
        <v>2018</v>
      </c>
      <c r="H157" s="67">
        <f>VLOOKUP($Q157,'FILL Table'!$A$75:$I$90,H$3,FALSE)</f>
        <v>1</v>
      </c>
      <c r="I157" s="67">
        <f>VLOOKUP($Q157,'FILL Table'!$A$75:$L$90,I$3,FALSE)</f>
        <v>1</v>
      </c>
      <c r="J157" s="67">
        <f>VLOOKUP($Q157,'FILL Table'!$A$75:$L$90,J$3,FALSE)</f>
        <v>1</v>
      </c>
      <c r="K157" s="67">
        <f>VLOOKUP($Q157,'FILL Table'!$A$75:$L$90,K$3,FALSE)</f>
        <v>1</v>
      </c>
      <c r="L157" s="67"/>
      <c r="Q157" s="46" t="str">
        <f t="shared" si="80"/>
        <v>TER_TP_CK_LPG</v>
      </c>
    </row>
    <row r="158" spans="2:17" x14ac:dyDescent="0.25">
      <c r="D158" s="41" t="s">
        <v>253</v>
      </c>
      <c r="E158" s="41" t="s">
        <v>92</v>
      </c>
      <c r="F158" s="46" t="str">
        <f t="shared" si="81"/>
        <v>NCAP_AFA</v>
      </c>
      <c r="G158" s="55">
        <f t="shared" si="79"/>
        <v>2018</v>
      </c>
      <c r="H158" s="67">
        <f>VLOOKUP($Q158,'FILL Table'!$A$75:$I$90,H$3,FALSE)</f>
        <v>1</v>
      </c>
      <c r="I158" s="67">
        <f>VLOOKUP($Q158,'FILL Table'!$A$75:$L$90,I$3,FALSE)</f>
        <v>1</v>
      </c>
      <c r="J158" s="67">
        <f>VLOOKUP($Q158,'FILL Table'!$A$75:$L$90,J$3,FALSE)</f>
        <v>1</v>
      </c>
      <c r="K158" s="67">
        <f>VLOOKUP($Q158,'FILL Table'!$A$75:$L$90,K$3,FALSE)</f>
        <v>1</v>
      </c>
      <c r="L158" s="67"/>
      <c r="Q158" s="46" t="str">
        <f t="shared" si="80"/>
        <v>TER_TP_CK_LPG</v>
      </c>
    </row>
    <row r="159" spans="2:17" x14ac:dyDescent="0.25">
      <c r="D159" s="41" t="s">
        <v>254</v>
      </c>
      <c r="E159" s="41" t="s">
        <v>92</v>
      </c>
      <c r="F159" s="46" t="str">
        <f t="shared" si="81"/>
        <v>NCAP_AFA</v>
      </c>
      <c r="G159" s="55">
        <f t="shared" si="79"/>
        <v>2018</v>
      </c>
      <c r="H159" s="67">
        <f>VLOOKUP($Q159,'FILL Table'!$A$75:$I$90,H$3,FALSE)</f>
        <v>1</v>
      </c>
      <c r="I159" s="67">
        <f>VLOOKUP($Q159,'FILL Table'!$A$75:$L$90,I$3,FALSE)</f>
        <v>1</v>
      </c>
      <c r="J159" s="67">
        <f>VLOOKUP($Q159,'FILL Table'!$A$75:$L$90,J$3,FALSE)</f>
        <v>1</v>
      </c>
      <c r="K159" s="67">
        <f>VLOOKUP($Q159,'FILL Table'!$A$75:$L$90,K$3,FALSE)</f>
        <v>1</v>
      </c>
      <c r="L159" s="67"/>
      <c r="Q159" s="46" t="str">
        <f t="shared" si="80"/>
        <v>TER_TP_CK_LPG</v>
      </c>
    </row>
    <row r="160" spans="2:17" x14ac:dyDescent="0.25">
      <c r="D160" s="41" t="s">
        <v>255</v>
      </c>
      <c r="E160" s="41" t="s">
        <v>95</v>
      </c>
      <c r="F160" s="46" t="str">
        <f t="shared" si="81"/>
        <v>NCAP_AFA</v>
      </c>
      <c r="G160" s="55">
        <f t="shared" si="79"/>
        <v>2018</v>
      </c>
      <c r="H160" s="67">
        <f>VLOOKUP($Q160,'FILL Table'!$A$75:$I$90,H$3,FALSE)</f>
        <v>1</v>
      </c>
      <c r="I160" s="67">
        <f>VLOOKUP($Q160,'FILL Table'!$A$75:$L$90,I$3,FALSE)</f>
        <v>1</v>
      </c>
      <c r="J160" s="67">
        <f>VLOOKUP($Q160,'FILL Table'!$A$75:$L$90,J$3,FALSE)</f>
        <v>1</v>
      </c>
      <c r="K160" s="67">
        <f>VLOOKUP($Q160,'FILL Table'!$A$75:$L$90,K$3,FALSE)</f>
        <v>1</v>
      </c>
      <c r="L160" s="67"/>
      <c r="Q160" s="46" t="str">
        <f t="shared" si="80"/>
        <v>TER_TP_CK_ELC</v>
      </c>
    </row>
    <row r="161" spans="1:18" x14ac:dyDescent="0.25">
      <c r="D161" s="41" t="s">
        <v>256</v>
      </c>
      <c r="E161" s="41" t="s">
        <v>95</v>
      </c>
      <c r="F161" s="46" t="str">
        <f t="shared" si="81"/>
        <v>NCAP_AFA</v>
      </c>
      <c r="G161" s="55">
        <f t="shared" si="79"/>
        <v>2018</v>
      </c>
      <c r="H161" s="67">
        <f>VLOOKUP($Q161,'FILL Table'!$A$75:$I$90,H$3,FALSE)</f>
        <v>1</v>
      </c>
      <c r="I161" s="67">
        <f>VLOOKUP($Q161,'FILL Table'!$A$75:$L$90,I$3,FALSE)</f>
        <v>1</v>
      </c>
      <c r="J161" s="67">
        <f>VLOOKUP($Q161,'FILL Table'!$A$75:$L$90,J$3,FALSE)</f>
        <v>1</v>
      </c>
      <c r="K161" s="67">
        <f>VLOOKUP($Q161,'FILL Table'!$A$75:$L$90,K$3,FALSE)</f>
        <v>1</v>
      </c>
      <c r="L161" s="67"/>
      <c r="Q161" s="46" t="str">
        <f t="shared" si="80"/>
        <v>TER_TP_CK_ELC</v>
      </c>
    </row>
    <row r="162" spans="1:18" x14ac:dyDescent="0.25">
      <c r="D162" s="41" t="s">
        <v>257</v>
      </c>
      <c r="E162" s="41" t="s">
        <v>95</v>
      </c>
      <c r="F162" s="46" t="str">
        <f t="shared" si="81"/>
        <v>NCAP_AFA</v>
      </c>
      <c r="G162" s="55">
        <f t="shared" si="79"/>
        <v>2018</v>
      </c>
      <c r="H162" s="67">
        <f>VLOOKUP($Q162,'FILL Table'!$A$75:$I$90,H$3,FALSE)</f>
        <v>1</v>
      </c>
      <c r="I162" s="67">
        <f>VLOOKUP($Q162,'FILL Table'!$A$75:$L$90,I$3,FALSE)</f>
        <v>1</v>
      </c>
      <c r="J162" s="67">
        <f>VLOOKUP($Q162,'FILL Table'!$A$75:$L$90,J$3,FALSE)</f>
        <v>1</v>
      </c>
      <c r="K162" s="67">
        <f>VLOOKUP($Q162,'FILL Table'!$A$75:$L$90,K$3,FALSE)</f>
        <v>1</v>
      </c>
      <c r="L162" s="67"/>
      <c r="Q162" s="46" t="str">
        <f t="shared" si="80"/>
        <v>TER_TP_CK_ELC</v>
      </c>
    </row>
    <row r="163" spans="1:18" x14ac:dyDescent="0.25">
      <c r="D163" s="41" t="s">
        <v>258</v>
      </c>
      <c r="E163" s="41" t="s">
        <v>93</v>
      </c>
      <c r="F163" s="46" t="str">
        <f t="shared" si="81"/>
        <v>NCAP_AFA</v>
      </c>
      <c r="G163" s="55">
        <f t="shared" si="79"/>
        <v>2018</v>
      </c>
      <c r="H163" s="67">
        <f>VLOOKUP($Q163,'FILL Table'!$A$75:$I$90,H$3,FALSE)</f>
        <v>1</v>
      </c>
      <c r="I163" s="67">
        <f>VLOOKUP($Q163,'FILL Table'!$A$75:$L$90,I$3,FALSE)</f>
        <v>1</v>
      </c>
      <c r="J163" s="67">
        <f>VLOOKUP($Q163,'FILL Table'!$A$75:$L$90,J$3,FALSE)</f>
        <v>1</v>
      </c>
      <c r="K163" s="67">
        <f>VLOOKUP($Q163,'FILL Table'!$A$75:$L$90,K$3,FALSE)</f>
        <v>1</v>
      </c>
      <c r="L163" s="67"/>
      <c r="Q163" s="46" t="str">
        <f t="shared" si="80"/>
        <v>TER_TS_CK_LOG</v>
      </c>
    </row>
    <row r="164" spans="1:18" x14ac:dyDescent="0.25">
      <c r="D164" s="41" t="s">
        <v>259</v>
      </c>
      <c r="E164" s="41" t="s">
        <v>91</v>
      </c>
      <c r="F164" s="46" t="str">
        <f>F163</f>
        <v>NCAP_AFA</v>
      </c>
      <c r="G164" s="55">
        <f t="shared" si="79"/>
        <v>2018</v>
      </c>
      <c r="H164" s="67">
        <f>VLOOKUP($Q164,'FILL Table'!$A$75:$I$90,H$3,FALSE)</f>
        <v>1</v>
      </c>
      <c r="I164" s="67">
        <f>VLOOKUP($Q164,'FILL Table'!$A$75:$L$90,I$3,FALSE)</f>
        <v>1</v>
      </c>
      <c r="J164" s="67">
        <f>VLOOKUP($Q164,'FILL Table'!$A$75:$L$90,J$3,FALSE)</f>
        <v>1</v>
      </c>
      <c r="K164" s="67">
        <f>VLOOKUP($Q164,'FILL Table'!$A$75:$L$90,K$3,FALSE)</f>
        <v>1</v>
      </c>
      <c r="L164" s="67"/>
      <c r="Q164" s="46" t="str">
        <f t="shared" si="80"/>
        <v>TER_TS_CK_GAS</v>
      </c>
    </row>
    <row r="165" spans="1:18" x14ac:dyDescent="0.25">
      <c r="D165" s="41" t="s">
        <v>260</v>
      </c>
      <c r="E165" s="41" t="s">
        <v>91</v>
      </c>
      <c r="F165" s="46" t="str">
        <f t="shared" si="81"/>
        <v>NCAP_AFA</v>
      </c>
      <c r="G165" s="55">
        <f t="shared" si="79"/>
        <v>2018</v>
      </c>
      <c r="H165" s="67">
        <f>VLOOKUP($Q165,'FILL Table'!$A$75:$I$90,H$3,FALSE)</f>
        <v>1</v>
      </c>
      <c r="I165" s="67">
        <f>VLOOKUP($Q165,'FILL Table'!$A$75:$L$90,I$3,FALSE)</f>
        <v>1</v>
      </c>
      <c r="J165" s="67">
        <f>VLOOKUP($Q165,'FILL Table'!$A$75:$L$90,J$3,FALSE)</f>
        <v>1</v>
      </c>
      <c r="K165" s="67">
        <f>VLOOKUP($Q165,'FILL Table'!$A$75:$L$90,K$3,FALSE)</f>
        <v>1</v>
      </c>
      <c r="L165" s="67"/>
      <c r="Q165" s="46" t="str">
        <f t="shared" si="80"/>
        <v>TER_TS_CK_GAS</v>
      </c>
    </row>
    <row r="166" spans="1:18" x14ac:dyDescent="0.25">
      <c r="D166" s="41" t="s">
        <v>261</v>
      </c>
      <c r="E166" s="41" t="s">
        <v>91</v>
      </c>
      <c r="F166" s="46" t="str">
        <f t="shared" si="81"/>
        <v>NCAP_AFA</v>
      </c>
      <c r="G166" s="55">
        <f t="shared" si="79"/>
        <v>2018</v>
      </c>
      <c r="H166" s="67">
        <f>VLOOKUP($Q166,'FILL Table'!$A$75:$I$90,H$3,FALSE)</f>
        <v>1</v>
      </c>
      <c r="I166" s="67">
        <f>VLOOKUP($Q166,'FILL Table'!$A$75:$L$90,I$3,FALSE)</f>
        <v>1</v>
      </c>
      <c r="J166" s="67">
        <f>VLOOKUP($Q166,'FILL Table'!$A$75:$L$90,J$3,FALSE)</f>
        <v>1</v>
      </c>
      <c r="K166" s="67">
        <f>VLOOKUP($Q166,'FILL Table'!$A$75:$L$90,K$3,FALSE)</f>
        <v>1</v>
      </c>
      <c r="L166" s="67"/>
      <c r="Q166" s="46" t="str">
        <f t="shared" si="80"/>
        <v>TER_TS_CK_GAS</v>
      </c>
    </row>
    <row r="167" spans="1:18" x14ac:dyDescent="0.25">
      <c r="D167" s="41" t="s">
        <v>262</v>
      </c>
      <c r="E167" s="41" t="s">
        <v>92</v>
      </c>
      <c r="F167" s="46" t="str">
        <f t="shared" si="81"/>
        <v>NCAP_AFA</v>
      </c>
      <c r="G167" s="55">
        <f t="shared" si="79"/>
        <v>2018</v>
      </c>
      <c r="H167" s="67">
        <f>VLOOKUP($Q167,'FILL Table'!$A$75:$I$90,H$3,FALSE)</f>
        <v>1</v>
      </c>
      <c r="I167" s="67">
        <f>VLOOKUP($Q167,'FILL Table'!$A$75:$L$90,I$3,FALSE)</f>
        <v>1</v>
      </c>
      <c r="J167" s="67">
        <f>VLOOKUP($Q167,'FILL Table'!$A$75:$L$90,J$3,FALSE)</f>
        <v>1</v>
      </c>
      <c r="K167" s="67">
        <f>VLOOKUP($Q167,'FILL Table'!$A$75:$L$90,K$3,FALSE)</f>
        <v>1</v>
      </c>
      <c r="L167" s="67"/>
      <c r="Q167" s="46" t="str">
        <f t="shared" si="80"/>
        <v>TER_TS_CK_LPG</v>
      </c>
    </row>
    <row r="168" spans="1:18" x14ac:dyDescent="0.25">
      <c r="D168" s="41" t="s">
        <v>263</v>
      </c>
      <c r="E168" s="41" t="s">
        <v>92</v>
      </c>
      <c r="F168" s="46" t="str">
        <f t="shared" si="81"/>
        <v>NCAP_AFA</v>
      </c>
      <c r="G168" s="55">
        <f t="shared" si="79"/>
        <v>2018</v>
      </c>
      <c r="H168" s="67">
        <f>VLOOKUP($Q168,'FILL Table'!$A$75:$I$90,H$3,FALSE)</f>
        <v>1</v>
      </c>
      <c r="I168" s="67">
        <f>VLOOKUP($Q168,'FILL Table'!$A$75:$L$90,I$3,FALSE)</f>
        <v>1</v>
      </c>
      <c r="J168" s="67">
        <f>VLOOKUP($Q168,'FILL Table'!$A$75:$L$90,J$3,FALSE)</f>
        <v>1</v>
      </c>
      <c r="K168" s="67">
        <f>VLOOKUP($Q168,'FILL Table'!$A$75:$L$90,K$3,FALSE)</f>
        <v>1</v>
      </c>
      <c r="L168" s="67"/>
      <c r="Q168" s="46" t="str">
        <f t="shared" si="80"/>
        <v>TER_TS_CK_LPG</v>
      </c>
    </row>
    <row r="169" spans="1:18" x14ac:dyDescent="0.25">
      <c r="D169" s="41" t="s">
        <v>264</v>
      </c>
      <c r="E169" s="41" t="s">
        <v>92</v>
      </c>
      <c r="F169" s="46" t="str">
        <f t="shared" si="81"/>
        <v>NCAP_AFA</v>
      </c>
      <c r="G169" s="55">
        <f t="shared" si="79"/>
        <v>2018</v>
      </c>
      <c r="H169" s="67">
        <f>VLOOKUP($Q169,'FILL Table'!$A$75:$I$90,H$3,FALSE)</f>
        <v>1</v>
      </c>
      <c r="I169" s="67">
        <f>VLOOKUP($Q169,'FILL Table'!$A$75:$L$90,I$3,FALSE)</f>
        <v>1</v>
      </c>
      <c r="J169" s="67">
        <f>VLOOKUP($Q169,'FILL Table'!$A$75:$L$90,J$3,FALSE)</f>
        <v>1</v>
      </c>
      <c r="K169" s="67">
        <f>VLOOKUP($Q169,'FILL Table'!$A$75:$L$90,K$3,FALSE)</f>
        <v>1</v>
      </c>
      <c r="L169" s="67"/>
      <c r="Q169" s="46" t="str">
        <f t="shared" si="80"/>
        <v>TER_TS_CK_LPG</v>
      </c>
    </row>
    <row r="170" spans="1:18" x14ac:dyDescent="0.25">
      <c r="D170" s="41" t="s">
        <v>265</v>
      </c>
      <c r="E170" s="41" t="s">
        <v>95</v>
      </c>
      <c r="F170" s="46" t="str">
        <f t="shared" si="81"/>
        <v>NCAP_AFA</v>
      </c>
      <c r="G170" s="55">
        <f t="shared" si="79"/>
        <v>2018</v>
      </c>
      <c r="H170" s="67">
        <f>VLOOKUP($Q170,'FILL Table'!$A$75:$I$90,H$3,FALSE)</f>
        <v>1</v>
      </c>
      <c r="I170" s="67">
        <f>VLOOKUP($Q170,'FILL Table'!$A$75:$L$90,I$3,FALSE)</f>
        <v>1</v>
      </c>
      <c r="J170" s="67">
        <f>VLOOKUP($Q170,'FILL Table'!$A$75:$L$90,J$3,FALSE)</f>
        <v>1</v>
      </c>
      <c r="K170" s="67">
        <f>VLOOKUP($Q170,'FILL Table'!$A$75:$L$90,K$3,FALSE)</f>
        <v>1</v>
      </c>
      <c r="L170" s="67"/>
      <c r="Q170" s="46" t="str">
        <f t="shared" si="80"/>
        <v>TER_TS_CK_ELC</v>
      </c>
    </row>
    <row r="171" spans="1:18" x14ac:dyDescent="0.25">
      <c r="D171" s="41" t="s">
        <v>266</v>
      </c>
      <c r="E171" s="41" t="s">
        <v>95</v>
      </c>
      <c r="F171" s="46" t="str">
        <f t="shared" si="81"/>
        <v>NCAP_AFA</v>
      </c>
      <c r="G171" s="55">
        <f t="shared" si="79"/>
        <v>2018</v>
      </c>
      <c r="H171" s="67">
        <f>VLOOKUP($Q171,'FILL Table'!$A$75:$I$90,H$3,FALSE)</f>
        <v>1</v>
      </c>
      <c r="I171" s="67">
        <f>VLOOKUP($Q171,'FILL Table'!$A$75:$L$90,I$3,FALSE)</f>
        <v>1</v>
      </c>
      <c r="J171" s="67">
        <f>VLOOKUP($Q171,'FILL Table'!$A$75:$L$90,J$3,FALSE)</f>
        <v>1</v>
      </c>
      <c r="K171" s="67">
        <f>VLOOKUP($Q171,'FILL Table'!$A$75:$L$90,K$3,FALSE)</f>
        <v>1</v>
      </c>
      <c r="L171" s="67"/>
      <c r="Q171" s="46" t="str">
        <f t="shared" si="80"/>
        <v>TER_TS_CK_ELC</v>
      </c>
    </row>
    <row r="172" spans="1:18" ht="14.4" thickBot="1" x14ac:dyDescent="0.3">
      <c r="A172" s="50"/>
      <c r="B172" s="50"/>
      <c r="C172" s="50"/>
      <c r="D172" s="50" t="s">
        <v>267</v>
      </c>
      <c r="E172" s="50" t="s">
        <v>95</v>
      </c>
      <c r="F172" s="50" t="str">
        <f t="shared" si="81"/>
        <v>NCAP_AFA</v>
      </c>
      <c r="G172" s="51">
        <f t="shared" si="79"/>
        <v>2018</v>
      </c>
      <c r="H172" s="66">
        <f>VLOOKUP($Q172,'FILL Table'!$A$75:$I$90,H$3,FALSE)</f>
        <v>1</v>
      </c>
      <c r="I172" s="66">
        <f>VLOOKUP($Q172,'FILL Table'!$A$75:$L$90,I$3,FALSE)</f>
        <v>1</v>
      </c>
      <c r="J172" s="66">
        <f>VLOOKUP($Q172,'FILL Table'!$A$75:$L$90,J$3,FALSE)</f>
        <v>1</v>
      </c>
      <c r="K172" s="66">
        <f>VLOOKUP($Q172,'FILL Table'!$A$75:$L$90,K$3,FALSE)</f>
        <v>1</v>
      </c>
      <c r="L172" s="66"/>
      <c r="M172" s="50"/>
      <c r="N172" s="50"/>
      <c r="O172" s="50"/>
      <c r="P172" s="50"/>
      <c r="Q172" s="50" t="str">
        <f t="shared" si="80"/>
        <v>TER_TS_CK_ELC</v>
      </c>
      <c r="R172" s="50"/>
    </row>
    <row r="173" spans="1:18" ht="14.4" thickTop="1" x14ac:dyDescent="0.25">
      <c r="B173" s="46"/>
      <c r="C173" s="46"/>
      <c r="D173" s="46" t="s">
        <v>288</v>
      </c>
      <c r="E173" s="46" t="s">
        <v>95</v>
      </c>
      <c r="F173" s="46" t="str">
        <f>F172</f>
        <v>NCAP_AFA</v>
      </c>
      <c r="G173" s="55">
        <f t="shared" ref="G173" si="82">BASE_YEAR+1</f>
        <v>2018</v>
      </c>
      <c r="H173" s="67">
        <f>VLOOKUP($Q173,'FILL Table'!$A$75:$I$90,H$3,FALSE)</f>
        <v>1</v>
      </c>
      <c r="I173" s="67">
        <f>VLOOKUP($Q173,'FILL Table'!$A$75:$L$90,I$3,FALSE)</f>
        <v>1</v>
      </c>
      <c r="J173" s="67">
        <f>VLOOKUP($Q173,'FILL Table'!$A$75:$L$90,J$3,FALSE)</f>
        <v>1</v>
      </c>
      <c r="K173" s="67">
        <f>VLOOKUP($Q173,'FILL Table'!$A$75:$L$90,K$3,FALSE)</f>
        <v>1</v>
      </c>
      <c r="L173" s="67"/>
      <c r="M173" s="46"/>
      <c r="N173" s="46"/>
      <c r="O173" s="46"/>
      <c r="P173" s="46"/>
      <c r="Q173" s="46" t="str">
        <f>LEFT(D173,9)</f>
        <v>TER_TP_LI</v>
      </c>
    </row>
    <row r="174" spans="1:18" ht="14.4" thickBot="1" x14ac:dyDescent="0.3">
      <c r="A174" s="50"/>
      <c r="B174" s="50"/>
      <c r="C174" s="50"/>
      <c r="D174" s="50" t="s">
        <v>289</v>
      </c>
      <c r="E174" s="50" t="s">
        <v>95</v>
      </c>
      <c r="F174" s="50" t="str">
        <f>F173</f>
        <v>NCAP_AFA</v>
      </c>
      <c r="G174" s="51">
        <f t="shared" ref="G174" si="83">BASE_YEAR+1</f>
        <v>2018</v>
      </c>
      <c r="H174" s="66">
        <f>VLOOKUP($Q174,'FILL Table'!$A$75:$I$90,H$3,FALSE)</f>
        <v>1</v>
      </c>
      <c r="I174" s="66">
        <f>VLOOKUP($Q174,'FILL Table'!$A$75:$L$90,I$3,FALSE)</f>
        <v>1</v>
      </c>
      <c r="J174" s="66">
        <f>VLOOKUP($Q174,'FILL Table'!$A$75:$L$90,J$3,FALSE)</f>
        <v>1</v>
      </c>
      <c r="K174" s="66">
        <f>VLOOKUP($Q174,'FILL Table'!$A$75:$L$90,K$3,FALSE)</f>
        <v>1</v>
      </c>
      <c r="L174" s="66"/>
      <c r="M174" s="50"/>
      <c r="N174" s="50"/>
      <c r="O174" s="50"/>
      <c r="P174" s="50"/>
      <c r="Q174" s="50" t="str">
        <f t="shared" ref="Q174" si="84">LEFT(D174,9)</f>
        <v>TER_TS_LI</v>
      </c>
      <c r="R174" s="50"/>
    </row>
    <row r="175" spans="1:18" ht="14.4" thickTop="1" x14ac:dyDescent="0.25">
      <c r="D175" s="41" t="s">
        <v>276</v>
      </c>
      <c r="E175" s="46" t="s">
        <v>95</v>
      </c>
      <c r="F175" s="46" t="str">
        <f>F174</f>
        <v>NCAP_AFA</v>
      </c>
      <c r="G175" s="55">
        <f t="shared" ref="G175:G186" si="85">BASE_YEAR+1</f>
        <v>2018</v>
      </c>
      <c r="H175" s="67">
        <f>VLOOKUP($Q175,'FILL Table'!$A$75:$I$90,H$3,FALSE)</f>
        <v>1</v>
      </c>
      <c r="I175" s="67">
        <f>VLOOKUP($Q175,'FILL Table'!$A$75:$L$90,I$3,FALSE)</f>
        <v>1</v>
      </c>
      <c r="J175" s="67">
        <f>VLOOKUP($Q175,'FILL Table'!$A$75:$L$90,J$3,FALSE)</f>
        <v>1</v>
      </c>
      <c r="K175" s="67">
        <f>VLOOKUP($Q175,'FILL Table'!$A$75:$L$90,K$3,FALSE)</f>
        <v>1</v>
      </c>
      <c r="L175" s="67"/>
      <c r="Q175" s="46" t="str">
        <f>LEFT(D175,9)</f>
        <v>TER_TP_RF</v>
      </c>
    </row>
    <row r="176" spans="1:18" x14ac:dyDescent="0.25">
      <c r="D176" s="41" t="s">
        <v>277</v>
      </c>
      <c r="E176" s="46" t="s">
        <v>95</v>
      </c>
      <c r="F176" s="46" t="str">
        <f t="shared" ref="F176" si="86">F175</f>
        <v>NCAP_AFA</v>
      </c>
      <c r="G176" s="55">
        <f t="shared" si="85"/>
        <v>2018</v>
      </c>
      <c r="H176" s="67">
        <f>VLOOKUP($Q176,'FILL Table'!$A$75:$I$90,H$3,FALSE)</f>
        <v>1</v>
      </c>
      <c r="I176" s="67">
        <f>VLOOKUP($Q176,'FILL Table'!$A$75:$L$90,I$3,FALSE)</f>
        <v>1</v>
      </c>
      <c r="J176" s="67">
        <f>VLOOKUP($Q176,'FILL Table'!$A$75:$L$90,J$3,FALSE)</f>
        <v>1</v>
      </c>
      <c r="K176" s="67">
        <f>VLOOKUP($Q176,'FILL Table'!$A$75:$L$90,K$3,FALSE)</f>
        <v>1</v>
      </c>
      <c r="L176" s="67"/>
      <c r="Q176" s="46" t="str">
        <f t="shared" ref="Q176:Q180" si="87">LEFT(D176,9)</f>
        <v>TER_TP_RF</v>
      </c>
    </row>
    <row r="177" spans="2:17" x14ac:dyDescent="0.25">
      <c r="D177" s="41" t="s">
        <v>278</v>
      </c>
      <c r="E177" s="46" t="s">
        <v>95</v>
      </c>
      <c r="F177" s="46" t="str">
        <f t="shared" ref="F177:F186" si="88">F176</f>
        <v>NCAP_AFA</v>
      </c>
      <c r="G177" s="55">
        <f t="shared" si="85"/>
        <v>2018</v>
      </c>
      <c r="H177" s="67">
        <f>VLOOKUP($Q177,'FILL Table'!$A$75:$I$90,H$3,FALSE)</f>
        <v>1</v>
      </c>
      <c r="I177" s="67">
        <f>VLOOKUP($Q177,'FILL Table'!$A$75:$L$90,I$3,FALSE)</f>
        <v>1</v>
      </c>
      <c r="J177" s="67">
        <f>VLOOKUP($Q177,'FILL Table'!$A$75:$L$90,J$3,FALSE)</f>
        <v>1</v>
      </c>
      <c r="K177" s="67">
        <f>VLOOKUP($Q177,'FILL Table'!$A$75:$L$90,K$3,FALSE)</f>
        <v>1</v>
      </c>
      <c r="L177" s="67"/>
      <c r="Q177" s="46" t="str">
        <f t="shared" si="87"/>
        <v>TER_TP_RF</v>
      </c>
    </row>
    <row r="178" spans="2:17" x14ac:dyDescent="0.25">
      <c r="D178" s="41" t="s">
        <v>279</v>
      </c>
      <c r="E178" s="46" t="s">
        <v>95</v>
      </c>
      <c r="F178" s="46" t="str">
        <f t="shared" si="88"/>
        <v>NCAP_AFA</v>
      </c>
      <c r="G178" s="55">
        <f t="shared" si="85"/>
        <v>2018</v>
      </c>
      <c r="H178" s="67">
        <f>VLOOKUP($Q178,'FILL Table'!$A$75:$I$90,H$3,FALSE)</f>
        <v>1</v>
      </c>
      <c r="I178" s="67">
        <f>VLOOKUP($Q178,'FILL Table'!$A$75:$L$90,I$3,FALSE)</f>
        <v>1</v>
      </c>
      <c r="J178" s="67">
        <f>VLOOKUP($Q178,'FILL Table'!$A$75:$L$90,J$3,FALSE)</f>
        <v>1</v>
      </c>
      <c r="K178" s="67">
        <f>VLOOKUP($Q178,'FILL Table'!$A$75:$L$90,K$3,FALSE)</f>
        <v>1</v>
      </c>
      <c r="L178" s="67"/>
      <c r="Q178" s="46" t="str">
        <f t="shared" si="87"/>
        <v>TER_TS_RF</v>
      </c>
    </row>
    <row r="179" spans="2:17" x14ac:dyDescent="0.25">
      <c r="D179" s="41" t="s">
        <v>280</v>
      </c>
      <c r="E179" s="46" t="s">
        <v>95</v>
      </c>
      <c r="F179" s="46" t="str">
        <f t="shared" si="88"/>
        <v>NCAP_AFA</v>
      </c>
      <c r="G179" s="55">
        <f t="shared" si="85"/>
        <v>2018</v>
      </c>
      <c r="H179" s="67">
        <f>VLOOKUP($Q179,'FILL Table'!$A$75:$I$90,H$3,FALSE)</f>
        <v>1</v>
      </c>
      <c r="I179" s="67">
        <f>VLOOKUP($Q179,'FILL Table'!$A$75:$L$90,I$3,FALSE)</f>
        <v>1</v>
      </c>
      <c r="J179" s="67">
        <f>VLOOKUP($Q179,'FILL Table'!$A$75:$L$90,J$3,FALSE)</f>
        <v>1</v>
      </c>
      <c r="K179" s="67">
        <f>VLOOKUP($Q179,'FILL Table'!$A$75:$L$90,K$3,FALSE)</f>
        <v>1</v>
      </c>
      <c r="L179" s="67"/>
      <c r="Q179" s="46" t="str">
        <f t="shared" si="87"/>
        <v>TER_TS_RF</v>
      </c>
    </row>
    <row r="180" spans="2:17" ht="14.4" thickBot="1" x14ac:dyDescent="0.3">
      <c r="B180" s="50"/>
      <c r="C180" s="50"/>
      <c r="D180" s="50" t="s">
        <v>281</v>
      </c>
      <c r="E180" s="50" t="s">
        <v>95</v>
      </c>
      <c r="F180" s="50" t="str">
        <f t="shared" si="88"/>
        <v>NCAP_AFA</v>
      </c>
      <c r="G180" s="51">
        <f t="shared" si="85"/>
        <v>2018</v>
      </c>
      <c r="H180" s="66">
        <f>VLOOKUP($Q180,'FILL Table'!$A$75:$I$90,H$3,FALSE)</f>
        <v>1</v>
      </c>
      <c r="I180" s="66">
        <f>VLOOKUP($Q180,'FILL Table'!$A$75:$L$90,I$3,FALSE)</f>
        <v>1</v>
      </c>
      <c r="J180" s="66">
        <f>VLOOKUP($Q180,'FILL Table'!$A$75:$L$90,J$3,FALSE)</f>
        <v>1</v>
      </c>
      <c r="K180" s="66">
        <f>VLOOKUP($Q180,'FILL Table'!$A$75:$L$90,K$3,FALSE)</f>
        <v>1</v>
      </c>
      <c r="L180" s="66"/>
      <c r="M180" s="50"/>
      <c r="N180" s="50"/>
      <c r="O180" s="50"/>
      <c r="P180" s="50"/>
      <c r="Q180" s="50" t="str">
        <f t="shared" si="87"/>
        <v>TER_TS_RF</v>
      </c>
    </row>
    <row r="181" spans="2:17" ht="14.4" thickTop="1" x14ac:dyDescent="0.25">
      <c r="D181" s="41" t="s">
        <v>282</v>
      </c>
      <c r="E181" s="46" t="s">
        <v>95</v>
      </c>
      <c r="F181" s="46" t="str">
        <f>F180</f>
        <v>NCAP_AFA</v>
      </c>
      <c r="G181" s="55">
        <f t="shared" si="85"/>
        <v>2018</v>
      </c>
      <c r="H181" s="67">
        <f>VLOOKUP($Q181,'FILL Table'!$A$75:$I$90,H$3,FALSE)</f>
        <v>1</v>
      </c>
      <c r="I181" s="67">
        <f>VLOOKUP($Q181,'FILL Table'!$A$75:$L$90,I$3,FALSE)</f>
        <v>1</v>
      </c>
      <c r="J181" s="67">
        <f>VLOOKUP($Q181,'FILL Table'!$A$75:$L$90,J$3,FALSE)</f>
        <v>1</v>
      </c>
      <c r="K181" s="67">
        <f>VLOOKUP($Q181,'FILL Table'!$A$75:$L$90,K$3,FALSE)</f>
        <v>1</v>
      </c>
      <c r="L181" s="67"/>
      <c r="Q181" s="46" t="str">
        <f>LEFT(D181,9)</f>
        <v>TER_TP_AP</v>
      </c>
    </row>
    <row r="182" spans="2:17" x14ac:dyDescent="0.25">
      <c r="D182" s="41" t="s">
        <v>283</v>
      </c>
      <c r="E182" s="46" t="s">
        <v>95</v>
      </c>
      <c r="F182" s="46" t="str">
        <f t="shared" si="88"/>
        <v>NCAP_AFA</v>
      </c>
      <c r="G182" s="55">
        <f t="shared" si="85"/>
        <v>2018</v>
      </c>
      <c r="H182" s="67">
        <f>VLOOKUP($Q182,'FILL Table'!$A$75:$I$90,H$3,FALSE)</f>
        <v>1</v>
      </c>
      <c r="I182" s="67">
        <f>VLOOKUP($Q182,'FILL Table'!$A$75:$L$90,I$3,FALSE)</f>
        <v>1</v>
      </c>
      <c r="J182" s="67">
        <f>VLOOKUP($Q182,'FILL Table'!$A$75:$L$90,J$3,FALSE)</f>
        <v>1</v>
      </c>
      <c r="K182" s="67">
        <f>VLOOKUP($Q182,'FILL Table'!$A$75:$L$90,K$3,FALSE)</f>
        <v>1</v>
      </c>
      <c r="L182" s="67"/>
      <c r="Q182" s="46" t="str">
        <f t="shared" ref="Q182:Q186" si="89">LEFT(D182,9)</f>
        <v>TER_TP_AP</v>
      </c>
    </row>
    <row r="183" spans="2:17" x14ac:dyDescent="0.25">
      <c r="D183" s="41" t="s">
        <v>284</v>
      </c>
      <c r="E183" s="46" t="s">
        <v>95</v>
      </c>
      <c r="F183" s="46" t="str">
        <f t="shared" si="88"/>
        <v>NCAP_AFA</v>
      </c>
      <c r="G183" s="55">
        <f t="shared" si="85"/>
        <v>2018</v>
      </c>
      <c r="H183" s="67">
        <f>VLOOKUP($Q183,'FILL Table'!$A$75:$I$90,H$3,FALSE)</f>
        <v>1</v>
      </c>
      <c r="I183" s="67">
        <f>VLOOKUP($Q183,'FILL Table'!$A$75:$L$90,I$3,FALSE)</f>
        <v>1</v>
      </c>
      <c r="J183" s="67">
        <f>VLOOKUP($Q183,'FILL Table'!$A$75:$L$90,J$3,FALSE)</f>
        <v>1</v>
      </c>
      <c r="K183" s="67">
        <f>VLOOKUP($Q183,'FILL Table'!$A$75:$L$90,K$3,FALSE)</f>
        <v>1</v>
      </c>
      <c r="L183" s="67"/>
      <c r="Q183" s="46" t="str">
        <f t="shared" si="89"/>
        <v>TER_TP_AP</v>
      </c>
    </row>
    <row r="184" spans="2:17" x14ac:dyDescent="0.25">
      <c r="D184" s="41" t="s">
        <v>285</v>
      </c>
      <c r="E184" s="46" t="s">
        <v>95</v>
      </c>
      <c r="F184" s="46" t="str">
        <f t="shared" si="88"/>
        <v>NCAP_AFA</v>
      </c>
      <c r="G184" s="55">
        <f t="shared" si="85"/>
        <v>2018</v>
      </c>
      <c r="H184" s="67">
        <f>VLOOKUP($Q184,'FILL Table'!$A$75:$I$90,H$3,FALSE)</f>
        <v>1</v>
      </c>
      <c r="I184" s="67">
        <f>VLOOKUP($Q184,'FILL Table'!$A$75:$L$90,I$3,FALSE)</f>
        <v>1</v>
      </c>
      <c r="J184" s="67">
        <f>VLOOKUP($Q184,'FILL Table'!$A$75:$L$90,J$3,FALSE)</f>
        <v>1</v>
      </c>
      <c r="K184" s="67">
        <f>VLOOKUP($Q184,'FILL Table'!$A$75:$L$90,K$3,FALSE)</f>
        <v>1</v>
      </c>
      <c r="L184" s="67"/>
      <c r="Q184" s="46" t="str">
        <f t="shared" si="89"/>
        <v>TER_TS_AP</v>
      </c>
    </row>
    <row r="185" spans="2:17" x14ac:dyDescent="0.25">
      <c r="D185" s="41" t="s">
        <v>286</v>
      </c>
      <c r="E185" s="46" t="s">
        <v>95</v>
      </c>
      <c r="F185" s="46" t="str">
        <f t="shared" si="88"/>
        <v>NCAP_AFA</v>
      </c>
      <c r="G185" s="55">
        <f t="shared" si="85"/>
        <v>2018</v>
      </c>
      <c r="H185" s="67">
        <f>VLOOKUP($Q185,'FILL Table'!$A$75:$I$90,H$3,FALSE)</f>
        <v>1</v>
      </c>
      <c r="I185" s="67">
        <f>VLOOKUP($Q185,'FILL Table'!$A$75:$L$90,I$3,FALSE)</f>
        <v>1</v>
      </c>
      <c r="J185" s="67">
        <f>VLOOKUP($Q185,'FILL Table'!$A$75:$L$90,J$3,FALSE)</f>
        <v>1</v>
      </c>
      <c r="K185" s="67">
        <f>VLOOKUP($Q185,'FILL Table'!$A$75:$L$90,K$3,FALSE)</f>
        <v>1</v>
      </c>
      <c r="L185" s="67"/>
      <c r="Q185" s="46" t="str">
        <f t="shared" si="89"/>
        <v>TER_TS_AP</v>
      </c>
    </row>
    <row r="186" spans="2:17" x14ac:dyDescent="0.25">
      <c r="D186" s="41" t="s">
        <v>287</v>
      </c>
      <c r="E186" s="46" t="s">
        <v>95</v>
      </c>
      <c r="F186" s="46" t="str">
        <f t="shared" si="88"/>
        <v>NCAP_AFA</v>
      </c>
      <c r="G186" s="55">
        <f t="shared" si="85"/>
        <v>2018</v>
      </c>
      <c r="H186" s="67">
        <f>VLOOKUP($Q186,'FILL Table'!$A$75:$I$90,H$3,FALSE)</f>
        <v>1</v>
      </c>
      <c r="I186" s="67">
        <f>VLOOKUP($Q186,'FILL Table'!$A$75:$L$90,I$3,FALSE)</f>
        <v>1</v>
      </c>
      <c r="J186" s="67">
        <f>VLOOKUP($Q186,'FILL Table'!$A$75:$L$90,J$3,FALSE)</f>
        <v>1</v>
      </c>
      <c r="K186" s="67">
        <f>VLOOKUP($Q186,'FILL Table'!$A$75:$L$90,K$3,FALSE)</f>
        <v>1</v>
      </c>
      <c r="L186" s="67"/>
      <c r="Q186" s="46" t="str">
        <f t="shared" si="89"/>
        <v>TER_TS_AP</v>
      </c>
    </row>
    <row r="187" spans="2:17" ht="15" thickBot="1" x14ac:dyDescent="0.3">
      <c r="B187" s="44" t="s">
        <v>31</v>
      </c>
      <c r="C187" s="44"/>
      <c r="D187" s="44"/>
      <c r="E187" s="44"/>
      <c r="F187" s="44"/>
      <c r="G187" s="44"/>
      <c r="H187" s="69" t="s">
        <v>72</v>
      </c>
      <c r="I187" s="69"/>
      <c r="J187" s="69"/>
      <c r="K187" s="69"/>
      <c r="L187" s="44"/>
      <c r="M187" s="44"/>
      <c r="N187" s="44"/>
      <c r="O187" s="44"/>
      <c r="P187" s="44"/>
      <c r="Q187" s="44"/>
    </row>
    <row r="188" spans="2:17" ht="15" thickBot="1" x14ac:dyDescent="0.3">
      <c r="B188" s="44" t="s">
        <v>31</v>
      </c>
      <c r="C188" s="44"/>
      <c r="D188" s="44"/>
      <c r="E188" s="44"/>
      <c r="F188" s="44"/>
      <c r="G188" s="44"/>
      <c r="H188" s="59"/>
      <c r="I188" s="59"/>
      <c r="J188" s="59"/>
      <c r="K188" s="59"/>
      <c r="L188" s="44"/>
      <c r="M188" s="30" t="s">
        <v>87</v>
      </c>
      <c r="N188" s="30" t="s">
        <v>88</v>
      </c>
      <c r="O188" s="30" t="s">
        <v>89</v>
      </c>
      <c r="P188" s="30" t="s">
        <v>90</v>
      </c>
      <c r="Q188" s="45" t="s">
        <v>19</v>
      </c>
    </row>
    <row r="189" spans="2:17" x14ac:dyDescent="0.25">
      <c r="D189" s="41" t="s">
        <v>248</v>
      </c>
      <c r="E189" s="41" t="s">
        <v>93</v>
      </c>
      <c r="F189" s="73" t="s">
        <v>68</v>
      </c>
      <c r="G189" s="55"/>
      <c r="H189" s="67">
        <f>VLOOKUP($Q189,'FILL Table'!$A$91:$I$104,H$3,FALSE)</f>
        <v>1</v>
      </c>
      <c r="I189" s="67">
        <f>VLOOKUP($Q189,'FILL Table'!$A$91:$L$104,I$3,FALSE)</f>
        <v>1</v>
      </c>
      <c r="J189" s="67">
        <f>VLOOKUP($Q189,'FILL Table'!$A$91:$L$104,J$3,FALSE)</f>
        <v>1</v>
      </c>
      <c r="K189" s="67">
        <f>VLOOKUP($Q189,'FILL Table'!$A$91:$L$104,K$3,FALSE)</f>
        <v>1</v>
      </c>
      <c r="Q189" s="46" t="str">
        <f t="shared" ref="Q189:Q208" si="90">LEFT(D189,13)</f>
        <v>TER_TP_CK_LOG</v>
      </c>
    </row>
    <row r="190" spans="2:17" x14ac:dyDescent="0.25">
      <c r="D190" s="41" t="s">
        <v>249</v>
      </c>
      <c r="E190" s="41" t="s">
        <v>91</v>
      </c>
      <c r="F190" s="46" t="str">
        <f>F189</f>
        <v>PRC_CAPACT</v>
      </c>
      <c r="G190" s="55"/>
      <c r="H190" s="67">
        <f>VLOOKUP($Q190,'FILL Table'!$A$91:$I$104,H$3,FALSE)</f>
        <v>1</v>
      </c>
      <c r="I190" s="67">
        <f>VLOOKUP($Q190,'FILL Table'!$A$91:$L$104,I$3,FALSE)</f>
        <v>1</v>
      </c>
      <c r="J190" s="67">
        <f>VLOOKUP($Q190,'FILL Table'!$A$91:$L$104,J$3,FALSE)</f>
        <v>1</v>
      </c>
      <c r="K190" s="67">
        <f>VLOOKUP($Q190,'FILL Table'!$A$91:$L$104,K$3,FALSE)</f>
        <v>1</v>
      </c>
      <c r="Q190" s="46" t="str">
        <f t="shared" si="90"/>
        <v>TER_TP_CK_GAS</v>
      </c>
    </row>
    <row r="191" spans="2:17" x14ac:dyDescent="0.25">
      <c r="D191" s="41" t="s">
        <v>250</v>
      </c>
      <c r="E191" s="41" t="s">
        <v>91</v>
      </c>
      <c r="F191" s="46" t="str">
        <f t="shared" ref="F191:F208" si="91">F190</f>
        <v>PRC_CAPACT</v>
      </c>
      <c r="G191" s="55"/>
      <c r="H191" s="67">
        <f>VLOOKUP($Q191,'FILL Table'!$A$91:$I$104,H$3,FALSE)</f>
        <v>1</v>
      </c>
      <c r="I191" s="67">
        <f>VLOOKUP($Q191,'FILL Table'!$A$91:$L$104,I$3,FALSE)</f>
        <v>1</v>
      </c>
      <c r="J191" s="67">
        <f>VLOOKUP($Q191,'FILL Table'!$A$91:$L$104,J$3,FALSE)</f>
        <v>1</v>
      </c>
      <c r="K191" s="67">
        <f>VLOOKUP($Q191,'FILL Table'!$A$91:$L$104,K$3,FALSE)</f>
        <v>1</v>
      </c>
      <c r="Q191" s="46" t="str">
        <f t="shared" si="90"/>
        <v>TER_TP_CK_GAS</v>
      </c>
    </row>
    <row r="192" spans="2:17" x14ac:dyDescent="0.25">
      <c r="D192" s="41" t="s">
        <v>251</v>
      </c>
      <c r="E192" s="41" t="s">
        <v>91</v>
      </c>
      <c r="F192" s="46" t="str">
        <f t="shared" si="91"/>
        <v>PRC_CAPACT</v>
      </c>
      <c r="G192" s="55"/>
      <c r="H192" s="67">
        <f>VLOOKUP($Q192,'FILL Table'!$A$91:$I$104,H$3,FALSE)</f>
        <v>1</v>
      </c>
      <c r="I192" s="67">
        <f>VLOOKUP($Q192,'FILL Table'!$A$91:$L$104,I$3,FALSE)</f>
        <v>1</v>
      </c>
      <c r="J192" s="67">
        <f>VLOOKUP($Q192,'FILL Table'!$A$91:$L$104,J$3,FALSE)</f>
        <v>1</v>
      </c>
      <c r="K192" s="67">
        <f>VLOOKUP($Q192,'FILL Table'!$A$91:$L$104,K$3,FALSE)</f>
        <v>1</v>
      </c>
      <c r="Q192" s="46" t="str">
        <f t="shared" si="90"/>
        <v>TER_TP_CK_GAS</v>
      </c>
    </row>
    <row r="193" spans="2:17" x14ac:dyDescent="0.25">
      <c r="D193" s="41" t="s">
        <v>252</v>
      </c>
      <c r="E193" s="41" t="s">
        <v>92</v>
      </c>
      <c r="F193" s="46" t="str">
        <f t="shared" si="91"/>
        <v>PRC_CAPACT</v>
      </c>
      <c r="G193" s="55"/>
      <c r="H193" s="67">
        <f>VLOOKUP($Q193,'FILL Table'!$A$91:$I$104,H$3,FALSE)</f>
        <v>1</v>
      </c>
      <c r="I193" s="67">
        <f>VLOOKUP($Q193,'FILL Table'!$A$91:$L$104,I$3,FALSE)</f>
        <v>1</v>
      </c>
      <c r="J193" s="67">
        <f>VLOOKUP($Q193,'FILL Table'!$A$91:$L$104,J$3,FALSE)</f>
        <v>1</v>
      </c>
      <c r="K193" s="67">
        <f>VLOOKUP($Q193,'FILL Table'!$A$91:$L$104,K$3,FALSE)</f>
        <v>1</v>
      </c>
      <c r="Q193" s="46" t="str">
        <f t="shared" si="90"/>
        <v>TER_TP_CK_LPG</v>
      </c>
    </row>
    <row r="194" spans="2:17" x14ac:dyDescent="0.25">
      <c r="D194" s="41" t="s">
        <v>253</v>
      </c>
      <c r="E194" s="41" t="s">
        <v>92</v>
      </c>
      <c r="F194" s="46" t="str">
        <f t="shared" si="91"/>
        <v>PRC_CAPACT</v>
      </c>
      <c r="G194" s="55"/>
      <c r="H194" s="67">
        <f>VLOOKUP($Q194,'FILL Table'!$A$91:$I$104,H$3,FALSE)</f>
        <v>1</v>
      </c>
      <c r="I194" s="67">
        <f>VLOOKUP($Q194,'FILL Table'!$A$91:$L$104,I$3,FALSE)</f>
        <v>1</v>
      </c>
      <c r="J194" s="67">
        <f>VLOOKUP($Q194,'FILL Table'!$A$91:$L$104,J$3,FALSE)</f>
        <v>1</v>
      </c>
      <c r="K194" s="67">
        <f>VLOOKUP($Q194,'FILL Table'!$A$91:$L$104,K$3,FALSE)</f>
        <v>1</v>
      </c>
      <c r="Q194" s="46" t="str">
        <f t="shared" si="90"/>
        <v>TER_TP_CK_LPG</v>
      </c>
    </row>
    <row r="195" spans="2:17" x14ac:dyDescent="0.25">
      <c r="D195" s="41" t="s">
        <v>254</v>
      </c>
      <c r="E195" s="41" t="s">
        <v>92</v>
      </c>
      <c r="F195" s="46" t="str">
        <f t="shared" si="91"/>
        <v>PRC_CAPACT</v>
      </c>
      <c r="G195" s="55"/>
      <c r="H195" s="67">
        <f>VLOOKUP($Q195,'FILL Table'!$A$91:$I$104,H$3,FALSE)</f>
        <v>1</v>
      </c>
      <c r="I195" s="67">
        <f>VLOOKUP($Q195,'FILL Table'!$A$91:$L$104,I$3,FALSE)</f>
        <v>1</v>
      </c>
      <c r="J195" s="67">
        <f>VLOOKUP($Q195,'FILL Table'!$A$91:$L$104,J$3,FALSE)</f>
        <v>1</v>
      </c>
      <c r="K195" s="67">
        <f>VLOOKUP($Q195,'FILL Table'!$A$91:$L$104,K$3,FALSE)</f>
        <v>1</v>
      </c>
      <c r="Q195" s="46" t="str">
        <f t="shared" si="90"/>
        <v>TER_TP_CK_LPG</v>
      </c>
    </row>
    <row r="196" spans="2:17" x14ac:dyDescent="0.25">
      <c r="D196" s="41" t="s">
        <v>255</v>
      </c>
      <c r="E196" s="41" t="s">
        <v>95</v>
      </c>
      <c r="F196" s="46" t="str">
        <f t="shared" si="91"/>
        <v>PRC_CAPACT</v>
      </c>
      <c r="G196" s="55"/>
      <c r="H196" s="67">
        <f>VLOOKUP($Q196,'FILL Table'!$A$91:$I$104,H$3,FALSE)</f>
        <v>1.34</v>
      </c>
      <c r="I196" s="67">
        <f>VLOOKUP($Q196,'FILL Table'!$A$91:$L$104,I$3,FALSE)</f>
        <v>1.34</v>
      </c>
      <c r="J196" s="67">
        <f>VLOOKUP($Q196,'FILL Table'!$A$91:$L$104,J$3,FALSE)</f>
        <v>1.34</v>
      </c>
      <c r="K196" s="67">
        <f>VLOOKUP($Q196,'FILL Table'!$A$91:$L$104,K$3,FALSE)</f>
        <v>1.34</v>
      </c>
      <c r="Q196" s="46" t="str">
        <f t="shared" si="90"/>
        <v>TER_TP_CK_ELC</v>
      </c>
    </row>
    <row r="197" spans="2:17" x14ac:dyDescent="0.25">
      <c r="D197" s="41" t="s">
        <v>256</v>
      </c>
      <c r="E197" s="41" t="s">
        <v>95</v>
      </c>
      <c r="F197" s="46" t="str">
        <f t="shared" si="91"/>
        <v>PRC_CAPACT</v>
      </c>
      <c r="G197" s="55"/>
      <c r="H197" s="67">
        <f>VLOOKUP($Q197,'FILL Table'!$A$91:$I$104,H$3,FALSE)</f>
        <v>1.34</v>
      </c>
      <c r="I197" s="67">
        <f>VLOOKUP($Q197,'FILL Table'!$A$91:$L$104,I$3,FALSE)</f>
        <v>1.34</v>
      </c>
      <c r="J197" s="67">
        <f>VLOOKUP($Q197,'FILL Table'!$A$91:$L$104,J$3,FALSE)</f>
        <v>1.34</v>
      </c>
      <c r="K197" s="67">
        <f>VLOOKUP($Q197,'FILL Table'!$A$91:$L$104,K$3,FALSE)</f>
        <v>1.34</v>
      </c>
      <c r="Q197" s="46" t="str">
        <f t="shared" si="90"/>
        <v>TER_TP_CK_ELC</v>
      </c>
    </row>
    <row r="198" spans="2:17" x14ac:dyDescent="0.25">
      <c r="D198" s="41" t="s">
        <v>257</v>
      </c>
      <c r="E198" s="41" t="s">
        <v>95</v>
      </c>
      <c r="F198" s="46" t="str">
        <f t="shared" si="91"/>
        <v>PRC_CAPACT</v>
      </c>
      <c r="G198" s="55"/>
      <c r="H198" s="67">
        <f>VLOOKUP($Q198,'FILL Table'!$A$91:$I$104,H$3,FALSE)</f>
        <v>1.34</v>
      </c>
      <c r="I198" s="67">
        <f>VLOOKUP($Q198,'FILL Table'!$A$91:$L$104,I$3,FALSE)</f>
        <v>1.34</v>
      </c>
      <c r="J198" s="67">
        <f>VLOOKUP($Q198,'FILL Table'!$A$91:$L$104,J$3,FALSE)</f>
        <v>1.34</v>
      </c>
      <c r="K198" s="67">
        <f>VLOOKUP($Q198,'FILL Table'!$A$91:$L$104,K$3,FALSE)</f>
        <v>1.34</v>
      </c>
      <c r="Q198" s="46" t="str">
        <f t="shared" si="90"/>
        <v>TER_TP_CK_ELC</v>
      </c>
    </row>
    <row r="199" spans="2:17" x14ac:dyDescent="0.25">
      <c r="D199" s="41" t="s">
        <v>258</v>
      </c>
      <c r="E199" s="41" t="s">
        <v>93</v>
      </c>
      <c r="F199" s="46" t="str">
        <f t="shared" si="91"/>
        <v>PRC_CAPACT</v>
      </c>
      <c r="G199" s="55"/>
      <c r="H199" s="67">
        <f>VLOOKUP($Q199,'FILL Table'!$A$91:$I$104,H$3,FALSE)</f>
        <v>1</v>
      </c>
      <c r="I199" s="67">
        <f>VLOOKUP($Q199,'FILL Table'!$A$91:$L$104,I$3,FALSE)</f>
        <v>1</v>
      </c>
      <c r="J199" s="67">
        <f>VLOOKUP($Q199,'FILL Table'!$A$91:$L$104,J$3,FALSE)</f>
        <v>1</v>
      </c>
      <c r="K199" s="67">
        <f>VLOOKUP($Q199,'FILL Table'!$A$91:$L$104,K$3,FALSE)</f>
        <v>1</v>
      </c>
      <c r="Q199" s="46" t="str">
        <f t="shared" si="90"/>
        <v>TER_TS_CK_LOG</v>
      </c>
    </row>
    <row r="200" spans="2:17" x14ac:dyDescent="0.25">
      <c r="D200" s="41" t="s">
        <v>259</v>
      </c>
      <c r="E200" s="41" t="s">
        <v>91</v>
      </c>
      <c r="F200" s="46" t="str">
        <f>F199</f>
        <v>PRC_CAPACT</v>
      </c>
      <c r="G200" s="55"/>
      <c r="H200" s="67">
        <f>VLOOKUP($Q200,'FILL Table'!$A$91:$I$104,H$3,FALSE)</f>
        <v>1</v>
      </c>
      <c r="I200" s="67">
        <f>VLOOKUP($Q200,'FILL Table'!$A$91:$L$104,I$3,FALSE)</f>
        <v>1</v>
      </c>
      <c r="J200" s="67">
        <f>VLOOKUP($Q200,'FILL Table'!$A$91:$L$104,J$3,FALSE)</f>
        <v>1</v>
      </c>
      <c r="K200" s="67">
        <f>VLOOKUP($Q200,'FILL Table'!$A$91:$L$104,K$3,FALSE)</f>
        <v>1</v>
      </c>
      <c r="Q200" s="46" t="str">
        <f t="shared" si="90"/>
        <v>TER_TS_CK_GAS</v>
      </c>
    </row>
    <row r="201" spans="2:17" x14ac:dyDescent="0.25">
      <c r="D201" s="41" t="s">
        <v>260</v>
      </c>
      <c r="E201" s="41" t="s">
        <v>91</v>
      </c>
      <c r="F201" s="46" t="str">
        <f t="shared" si="91"/>
        <v>PRC_CAPACT</v>
      </c>
      <c r="G201" s="55"/>
      <c r="H201" s="67">
        <f>VLOOKUP($Q201,'FILL Table'!$A$91:$I$104,H$3,FALSE)</f>
        <v>1</v>
      </c>
      <c r="I201" s="67">
        <f>VLOOKUP($Q201,'FILL Table'!$A$91:$L$104,I$3,FALSE)</f>
        <v>1</v>
      </c>
      <c r="J201" s="67">
        <f>VLOOKUP($Q201,'FILL Table'!$A$91:$L$104,J$3,FALSE)</f>
        <v>1</v>
      </c>
      <c r="K201" s="67">
        <f>VLOOKUP($Q201,'FILL Table'!$A$91:$L$104,K$3,FALSE)</f>
        <v>1</v>
      </c>
      <c r="Q201" s="46" t="str">
        <f t="shared" si="90"/>
        <v>TER_TS_CK_GAS</v>
      </c>
    </row>
    <row r="202" spans="2:17" x14ac:dyDescent="0.25">
      <c r="D202" s="41" t="s">
        <v>261</v>
      </c>
      <c r="E202" s="41" t="s">
        <v>91</v>
      </c>
      <c r="F202" s="46" t="str">
        <f t="shared" si="91"/>
        <v>PRC_CAPACT</v>
      </c>
      <c r="G202" s="55"/>
      <c r="H202" s="67">
        <f>VLOOKUP($Q202,'FILL Table'!$A$91:$I$104,H$3,FALSE)</f>
        <v>1</v>
      </c>
      <c r="I202" s="67">
        <f>VLOOKUP($Q202,'FILL Table'!$A$91:$L$104,I$3,FALSE)</f>
        <v>1</v>
      </c>
      <c r="J202" s="67">
        <f>VLOOKUP($Q202,'FILL Table'!$A$91:$L$104,J$3,FALSE)</f>
        <v>1</v>
      </c>
      <c r="K202" s="67">
        <f>VLOOKUP($Q202,'FILL Table'!$A$91:$L$104,K$3,FALSE)</f>
        <v>1</v>
      </c>
      <c r="Q202" s="46" t="str">
        <f t="shared" si="90"/>
        <v>TER_TS_CK_GAS</v>
      </c>
    </row>
    <row r="203" spans="2:17" x14ac:dyDescent="0.25">
      <c r="D203" s="41" t="s">
        <v>262</v>
      </c>
      <c r="E203" s="41" t="s">
        <v>92</v>
      </c>
      <c r="F203" s="46" t="str">
        <f t="shared" si="91"/>
        <v>PRC_CAPACT</v>
      </c>
      <c r="G203" s="55"/>
      <c r="H203" s="67">
        <f>VLOOKUP($Q203,'FILL Table'!$A$91:$I$104,H$3,FALSE)</f>
        <v>1</v>
      </c>
      <c r="I203" s="67">
        <f>VLOOKUP($Q203,'FILL Table'!$A$91:$L$104,I$3,FALSE)</f>
        <v>1</v>
      </c>
      <c r="J203" s="67">
        <f>VLOOKUP($Q203,'FILL Table'!$A$91:$L$104,J$3,FALSE)</f>
        <v>1</v>
      </c>
      <c r="K203" s="67">
        <f>VLOOKUP($Q203,'FILL Table'!$A$91:$L$104,K$3,FALSE)</f>
        <v>1</v>
      </c>
      <c r="Q203" s="46" t="str">
        <f t="shared" si="90"/>
        <v>TER_TS_CK_LPG</v>
      </c>
    </row>
    <row r="204" spans="2:17" x14ac:dyDescent="0.25">
      <c r="D204" s="41" t="s">
        <v>263</v>
      </c>
      <c r="E204" s="41" t="s">
        <v>92</v>
      </c>
      <c r="F204" s="46" t="str">
        <f t="shared" si="91"/>
        <v>PRC_CAPACT</v>
      </c>
      <c r="G204" s="55"/>
      <c r="H204" s="67">
        <f>VLOOKUP($Q204,'FILL Table'!$A$91:$I$104,H$3,FALSE)</f>
        <v>1</v>
      </c>
      <c r="I204" s="67">
        <f>VLOOKUP($Q204,'FILL Table'!$A$91:$L$104,I$3,FALSE)</f>
        <v>1</v>
      </c>
      <c r="J204" s="67">
        <f>VLOOKUP($Q204,'FILL Table'!$A$91:$L$104,J$3,FALSE)</f>
        <v>1</v>
      </c>
      <c r="K204" s="67">
        <f>VLOOKUP($Q204,'FILL Table'!$A$91:$L$104,K$3,FALSE)</f>
        <v>1</v>
      </c>
      <c r="Q204" s="46" t="str">
        <f t="shared" si="90"/>
        <v>TER_TS_CK_LPG</v>
      </c>
    </row>
    <row r="205" spans="2:17" x14ac:dyDescent="0.25">
      <c r="D205" s="41" t="s">
        <v>264</v>
      </c>
      <c r="E205" s="41" t="s">
        <v>92</v>
      </c>
      <c r="F205" s="46" t="str">
        <f t="shared" si="91"/>
        <v>PRC_CAPACT</v>
      </c>
      <c r="G205" s="55"/>
      <c r="H205" s="67">
        <f>VLOOKUP($Q205,'FILL Table'!$A$91:$I$104,H$3,FALSE)</f>
        <v>1</v>
      </c>
      <c r="I205" s="67">
        <f>VLOOKUP($Q205,'FILL Table'!$A$91:$L$104,I$3,FALSE)</f>
        <v>1</v>
      </c>
      <c r="J205" s="67">
        <f>VLOOKUP($Q205,'FILL Table'!$A$91:$L$104,J$3,FALSE)</f>
        <v>1</v>
      </c>
      <c r="K205" s="67">
        <f>VLOOKUP($Q205,'FILL Table'!$A$91:$L$104,K$3,FALSE)</f>
        <v>1</v>
      </c>
      <c r="Q205" s="46" t="str">
        <f t="shared" si="90"/>
        <v>TER_TS_CK_LPG</v>
      </c>
    </row>
    <row r="206" spans="2:17" x14ac:dyDescent="0.25">
      <c r="D206" s="41" t="s">
        <v>265</v>
      </c>
      <c r="E206" s="41" t="s">
        <v>95</v>
      </c>
      <c r="F206" s="46" t="str">
        <f t="shared" si="91"/>
        <v>PRC_CAPACT</v>
      </c>
      <c r="G206" s="55"/>
      <c r="H206" s="67">
        <f>VLOOKUP($Q206,'FILL Table'!$A$91:$I$104,H$3,FALSE)</f>
        <v>1.34</v>
      </c>
      <c r="I206" s="67">
        <f>VLOOKUP($Q206,'FILL Table'!$A$91:$L$104,I$3,FALSE)</f>
        <v>1.34</v>
      </c>
      <c r="J206" s="67">
        <f>VLOOKUP($Q206,'FILL Table'!$A$91:$L$104,J$3,FALSE)</f>
        <v>1.34</v>
      </c>
      <c r="K206" s="67">
        <f>VLOOKUP($Q206,'FILL Table'!$A$91:$L$104,K$3,FALSE)</f>
        <v>1.34</v>
      </c>
      <c r="Q206" s="46" t="str">
        <f t="shared" si="90"/>
        <v>TER_TS_CK_ELC</v>
      </c>
    </row>
    <row r="207" spans="2:17" x14ac:dyDescent="0.25">
      <c r="D207" s="41" t="s">
        <v>266</v>
      </c>
      <c r="E207" s="41" t="s">
        <v>95</v>
      </c>
      <c r="F207" s="46" t="str">
        <f t="shared" si="91"/>
        <v>PRC_CAPACT</v>
      </c>
      <c r="G207" s="55"/>
      <c r="H207" s="67">
        <f>VLOOKUP($Q207,'FILL Table'!$A$91:$I$104,H$3,FALSE)</f>
        <v>1.34</v>
      </c>
      <c r="I207" s="67">
        <f>VLOOKUP($Q207,'FILL Table'!$A$91:$L$104,I$3,FALSE)</f>
        <v>1.34</v>
      </c>
      <c r="J207" s="67">
        <f>VLOOKUP($Q207,'FILL Table'!$A$91:$L$104,J$3,FALSE)</f>
        <v>1.34</v>
      </c>
      <c r="K207" s="67">
        <f>VLOOKUP($Q207,'FILL Table'!$A$91:$L$104,K$3,FALSE)</f>
        <v>1.34</v>
      </c>
      <c r="Q207" s="46" t="str">
        <f t="shared" si="90"/>
        <v>TER_TS_CK_ELC</v>
      </c>
    </row>
    <row r="208" spans="2:17" ht="14.4" thickBot="1" x14ac:dyDescent="0.3">
      <c r="B208" s="50"/>
      <c r="C208" s="50"/>
      <c r="D208" s="50" t="s">
        <v>267</v>
      </c>
      <c r="E208" s="50" t="s">
        <v>95</v>
      </c>
      <c r="F208" s="50" t="str">
        <f t="shared" si="91"/>
        <v>PRC_CAPACT</v>
      </c>
      <c r="G208" s="51"/>
      <c r="H208" s="66">
        <f>VLOOKUP($Q208,'FILL Table'!$A$91:$I$104,H$3,FALSE)</f>
        <v>1.34</v>
      </c>
      <c r="I208" s="66">
        <f>VLOOKUP($Q208,'FILL Table'!$A$91:$L$104,I$3,FALSE)</f>
        <v>1.34</v>
      </c>
      <c r="J208" s="66">
        <f>VLOOKUP($Q208,'FILL Table'!$A$91:$L$104,J$3,FALSE)</f>
        <v>1.34</v>
      </c>
      <c r="K208" s="66">
        <f>VLOOKUP($Q208,'FILL Table'!$A$91:$L$104,K$3,FALSE)</f>
        <v>1.34</v>
      </c>
      <c r="L208" s="50"/>
      <c r="M208" s="50"/>
      <c r="N208" s="50"/>
      <c r="O208" s="50"/>
      <c r="P208" s="50"/>
      <c r="Q208" s="50" t="str">
        <f t="shared" si="90"/>
        <v>TER_TS_CK_ELC</v>
      </c>
    </row>
    <row r="209" spans="2:17" ht="14.4" thickTop="1" x14ac:dyDescent="0.25">
      <c r="B209" s="46"/>
      <c r="C209" s="46"/>
      <c r="D209" s="46" t="s">
        <v>288</v>
      </c>
      <c r="E209" s="46" t="s">
        <v>95</v>
      </c>
      <c r="F209" s="46" t="str">
        <f>F208</f>
        <v>PRC_CAPACT</v>
      </c>
      <c r="G209" s="55"/>
      <c r="H209" s="67">
        <f>VLOOKUP($Q209,'FILL Table'!$A$91:$I$104,H$3,FALSE)</f>
        <v>1.7050000000000001</v>
      </c>
      <c r="I209" s="67">
        <f>VLOOKUP($Q209,'FILL Table'!$A$91:$L$104,I$3,FALSE)</f>
        <v>1.7050000000000001</v>
      </c>
      <c r="J209" s="67">
        <f>VLOOKUP($Q209,'FILL Table'!$A$91:$L$104,J$3,FALSE)</f>
        <v>1.7050000000000001</v>
      </c>
      <c r="K209" s="67">
        <f>VLOOKUP($Q209,'FILL Table'!$A$91:$L$104,K$3,FALSE)</f>
        <v>1.7050000000000001</v>
      </c>
      <c r="L209" s="46"/>
      <c r="M209" s="46"/>
      <c r="N209" s="46"/>
      <c r="O209" s="46"/>
      <c r="P209" s="46"/>
      <c r="Q209" s="46" t="str">
        <f>LEFT(D209,9)</f>
        <v>TER_TP_LI</v>
      </c>
    </row>
    <row r="210" spans="2:17" x14ac:dyDescent="0.25">
      <c r="B210" s="46"/>
      <c r="C210" s="46"/>
      <c r="D210" s="46" t="s">
        <v>368</v>
      </c>
      <c r="E210" s="46" t="s">
        <v>95</v>
      </c>
      <c r="F210" s="46" t="str">
        <f>F208</f>
        <v>PRC_CAPACT</v>
      </c>
      <c r="G210" s="55"/>
      <c r="H210" s="67">
        <f>VLOOKUP($Q210,'FILL Table'!$A$91:$I$107,H$3,FALSE)</f>
        <v>2.21</v>
      </c>
      <c r="I210" s="67">
        <f>VLOOKUP($Q210,'FILL Table'!$A$91:$L$107,I$3,FALSE)</f>
        <v>2.21</v>
      </c>
      <c r="J210" s="67">
        <f>VLOOKUP($Q210,'FILL Table'!$A$91:$L$107,J$3,FALSE)</f>
        <v>2.21</v>
      </c>
      <c r="K210" s="67">
        <f>VLOOKUP($Q210,'FILL Table'!$A$91:$L$107,K$3,FALSE)</f>
        <v>2.21</v>
      </c>
      <c r="L210" s="46"/>
      <c r="M210" s="46"/>
      <c r="N210" s="46"/>
      <c r="O210" s="46"/>
      <c r="P210" s="46"/>
      <c r="Q210" s="46" t="str">
        <f>LEFT(D210,9)</f>
        <v>TER_SL_LI</v>
      </c>
    </row>
    <row r="211" spans="2:17" ht="14.4" thickBot="1" x14ac:dyDescent="0.3">
      <c r="B211" s="50"/>
      <c r="C211" s="50"/>
      <c r="D211" s="50" t="s">
        <v>289</v>
      </c>
      <c r="E211" s="50" t="s">
        <v>95</v>
      </c>
      <c r="F211" s="50" t="str">
        <f>F209</f>
        <v>PRC_CAPACT</v>
      </c>
      <c r="G211" s="51"/>
      <c r="H211" s="66">
        <f>VLOOKUP($Q211,'FILL Table'!$A$91:$I$104,H$3,FALSE)</f>
        <v>1.7050000000000001</v>
      </c>
      <c r="I211" s="66">
        <f>VLOOKUP($Q211,'FILL Table'!$A$91:$L$104,I$3,FALSE)</f>
        <v>1.7050000000000001</v>
      </c>
      <c r="J211" s="66">
        <f>VLOOKUP($Q211,'FILL Table'!$A$91:$L$104,J$3,FALSE)</f>
        <v>1.7050000000000001</v>
      </c>
      <c r="K211" s="66">
        <f>VLOOKUP($Q211,'FILL Table'!$A$91:$L$104,K$3,FALSE)</f>
        <v>1.7050000000000001</v>
      </c>
      <c r="L211" s="50"/>
      <c r="M211" s="50"/>
      <c r="N211" s="50"/>
      <c r="O211" s="50"/>
      <c r="P211" s="50"/>
      <c r="Q211" s="50" t="str">
        <f t="shared" ref="Q211" si="92">LEFT(D211,9)</f>
        <v>TER_TS_LI</v>
      </c>
    </row>
    <row r="212" spans="2:17" ht="14.4" thickTop="1" x14ac:dyDescent="0.25">
      <c r="D212" s="41" t="s">
        <v>276</v>
      </c>
      <c r="E212" s="46" t="s">
        <v>95</v>
      </c>
      <c r="F212" s="46" t="str">
        <f>F211</f>
        <v>PRC_CAPACT</v>
      </c>
      <c r="G212" s="55"/>
      <c r="H212" s="67">
        <f>VLOOKUP($Q212,'FILL Table'!$A$91:$I$104,H$3,FALSE)</f>
        <v>1</v>
      </c>
      <c r="I212" s="67">
        <f>VLOOKUP($Q212,'FILL Table'!$A$91:$L$104,I$3,FALSE)</f>
        <v>1</v>
      </c>
      <c r="J212" s="67">
        <f>VLOOKUP($Q212,'FILL Table'!$A$91:$L$104,J$3,FALSE)</f>
        <v>1</v>
      </c>
      <c r="K212" s="67">
        <f>VLOOKUP($Q212,'FILL Table'!$A$91:$L$104,K$3,FALSE)</f>
        <v>1</v>
      </c>
      <c r="Q212" s="46" t="str">
        <f>LEFT(D212,9)</f>
        <v>TER_TP_RF</v>
      </c>
    </row>
    <row r="213" spans="2:17" x14ac:dyDescent="0.25">
      <c r="D213" s="41" t="s">
        <v>277</v>
      </c>
      <c r="E213" s="46" t="s">
        <v>95</v>
      </c>
      <c r="F213" s="46" t="str">
        <f t="shared" ref="F213:F219" si="93">F212</f>
        <v>PRC_CAPACT</v>
      </c>
      <c r="G213" s="55"/>
      <c r="H213" s="67">
        <f>VLOOKUP($Q213,'FILL Table'!$A$91:$I$104,H$3,FALSE)</f>
        <v>1</v>
      </c>
      <c r="I213" s="67">
        <f>VLOOKUP($Q213,'FILL Table'!$A$91:$L$104,I$3,FALSE)</f>
        <v>1</v>
      </c>
      <c r="J213" s="67">
        <f>VLOOKUP($Q213,'FILL Table'!$A$91:$L$104,J$3,FALSE)</f>
        <v>1</v>
      </c>
      <c r="K213" s="67">
        <f>VLOOKUP($Q213,'FILL Table'!$A$91:$L$104,K$3,FALSE)</f>
        <v>1</v>
      </c>
      <c r="Q213" s="46" t="str">
        <f t="shared" ref="Q213:Q217" si="94">LEFT(D213,9)</f>
        <v>TER_TP_RF</v>
      </c>
    </row>
    <row r="214" spans="2:17" x14ac:dyDescent="0.25">
      <c r="D214" s="41" t="s">
        <v>278</v>
      </c>
      <c r="E214" s="46" t="s">
        <v>95</v>
      </c>
      <c r="F214" s="46" t="str">
        <f t="shared" si="93"/>
        <v>PRC_CAPACT</v>
      </c>
      <c r="G214" s="55"/>
      <c r="H214" s="67">
        <f>VLOOKUP($Q214,'FILL Table'!$A$91:$I$104,H$3,FALSE)</f>
        <v>1</v>
      </c>
      <c r="I214" s="67">
        <f>VLOOKUP($Q214,'FILL Table'!$A$91:$L$104,I$3,FALSE)</f>
        <v>1</v>
      </c>
      <c r="J214" s="67">
        <f>VLOOKUP($Q214,'FILL Table'!$A$91:$L$104,J$3,FALSE)</f>
        <v>1</v>
      </c>
      <c r="K214" s="67">
        <f>VLOOKUP($Q214,'FILL Table'!$A$91:$L$104,K$3,FALSE)</f>
        <v>1</v>
      </c>
      <c r="Q214" s="46" t="str">
        <f t="shared" si="94"/>
        <v>TER_TP_RF</v>
      </c>
    </row>
    <row r="215" spans="2:17" x14ac:dyDescent="0.25">
      <c r="D215" s="41" t="s">
        <v>279</v>
      </c>
      <c r="E215" s="46" t="s">
        <v>95</v>
      </c>
      <c r="F215" s="46" t="str">
        <f t="shared" si="93"/>
        <v>PRC_CAPACT</v>
      </c>
      <c r="G215" s="55"/>
      <c r="H215" s="67">
        <f>VLOOKUP($Q215,'FILL Table'!$A$91:$I$104,H$3,FALSE)</f>
        <v>1</v>
      </c>
      <c r="I215" s="67">
        <f>VLOOKUP($Q215,'FILL Table'!$A$91:$L$104,I$3,FALSE)</f>
        <v>1</v>
      </c>
      <c r="J215" s="67">
        <f>VLOOKUP($Q215,'FILL Table'!$A$91:$L$104,J$3,FALSE)</f>
        <v>1</v>
      </c>
      <c r="K215" s="67">
        <f>VLOOKUP($Q215,'FILL Table'!$A$91:$L$104,K$3,FALSE)</f>
        <v>1</v>
      </c>
      <c r="Q215" s="46" t="str">
        <f t="shared" si="94"/>
        <v>TER_TS_RF</v>
      </c>
    </row>
    <row r="216" spans="2:17" x14ac:dyDescent="0.25">
      <c r="D216" s="41" t="s">
        <v>280</v>
      </c>
      <c r="E216" s="46" t="s">
        <v>95</v>
      </c>
      <c r="F216" s="46" t="str">
        <f t="shared" si="93"/>
        <v>PRC_CAPACT</v>
      </c>
      <c r="G216" s="55"/>
      <c r="H216" s="67">
        <f>VLOOKUP($Q216,'FILL Table'!$A$91:$I$104,H$3,FALSE)</f>
        <v>1</v>
      </c>
      <c r="I216" s="67">
        <f>VLOOKUP($Q216,'FILL Table'!$A$91:$L$104,I$3,FALSE)</f>
        <v>1</v>
      </c>
      <c r="J216" s="67">
        <f>VLOOKUP($Q216,'FILL Table'!$A$91:$L$104,J$3,FALSE)</f>
        <v>1</v>
      </c>
      <c r="K216" s="67">
        <f>VLOOKUP($Q216,'FILL Table'!$A$91:$L$104,K$3,FALSE)</f>
        <v>1</v>
      </c>
      <c r="Q216" s="46" t="str">
        <f t="shared" si="94"/>
        <v>TER_TS_RF</v>
      </c>
    </row>
    <row r="217" spans="2:17" ht="14.4" thickBot="1" x14ac:dyDescent="0.3">
      <c r="B217" s="50"/>
      <c r="C217" s="50"/>
      <c r="D217" s="50" t="s">
        <v>281</v>
      </c>
      <c r="E217" s="50" t="s">
        <v>95</v>
      </c>
      <c r="F217" s="50" t="str">
        <f t="shared" si="93"/>
        <v>PRC_CAPACT</v>
      </c>
      <c r="G217" s="51"/>
      <c r="H217" s="66">
        <f>VLOOKUP($Q217,'FILL Table'!$A$91:$I$104,H$3,FALSE)</f>
        <v>1</v>
      </c>
      <c r="I217" s="66">
        <f>VLOOKUP($Q217,'FILL Table'!$A$91:$L$104,I$3,FALSE)</f>
        <v>1</v>
      </c>
      <c r="J217" s="66">
        <f>VLOOKUP($Q217,'FILL Table'!$A$91:$L$104,J$3,FALSE)</f>
        <v>1</v>
      </c>
      <c r="K217" s="66">
        <f>VLOOKUP($Q217,'FILL Table'!$A$91:$L$104,K$3,FALSE)</f>
        <v>1</v>
      </c>
      <c r="L217" s="50"/>
      <c r="M217" s="50"/>
      <c r="N217" s="50"/>
      <c r="O217" s="50"/>
      <c r="P217" s="50"/>
      <c r="Q217" s="50" t="str">
        <f t="shared" si="94"/>
        <v>TER_TS_RF</v>
      </c>
    </row>
    <row r="218" spans="2:17" ht="14.4" thickTop="1" x14ac:dyDescent="0.25">
      <c r="D218" s="41" t="s">
        <v>282</v>
      </c>
      <c r="E218" s="46" t="s">
        <v>95</v>
      </c>
      <c r="F218" s="46" t="str">
        <f>F217</f>
        <v>PRC_CAPACT</v>
      </c>
      <c r="G218" s="55"/>
      <c r="H218" s="67">
        <f>VLOOKUP($Q218,'FILL Table'!$A$91:$I$106,H$3,FALSE)</f>
        <v>1.7050000000000001</v>
      </c>
      <c r="I218" s="67">
        <f>VLOOKUP($Q218,'FILL Table'!$A$91:$L$106,I$3,FALSE)</f>
        <v>1.7050000000000001</v>
      </c>
      <c r="J218" s="67">
        <f>VLOOKUP($Q218,'FILL Table'!$A$91:$L$106,J$3,FALSE)</f>
        <v>1.7050000000000001</v>
      </c>
      <c r="K218" s="67">
        <f>VLOOKUP($Q218,'FILL Table'!$A$91:$L$106,K$3,FALSE)</f>
        <v>1.7050000000000001</v>
      </c>
      <c r="Q218" s="46" t="str">
        <f>LEFT(D218,9)</f>
        <v>TER_TP_AP</v>
      </c>
    </row>
    <row r="219" spans="2:17" x14ac:dyDescent="0.25">
      <c r="D219" s="41" t="s">
        <v>283</v>
      </c>
      <c r="E219" s="46" t="s">
        <v>95</v>
      </c>
      <c r="F219" s="46" t="str">
        <f t="shared" si="93"/>
        <v>PRC_CAPACT</v>
      </c>
      <c r="G219" s="55"/>
      <c r="H219" s="67">
        <f>VLOOKUP($Q219,'FILL Table'!$A$91:$I$106,H$3,FALSE)</f>
        <v>1.7050000000000001</v>
      </c>
      <c r="I219" s="67">
        <f>VLOOKUP($Q219,'FILL Table'!$A$91:$L$106,I$3,FALSE)</f>
        <v>1.7050000000000001</v>
      </c>
      <c r="J219" s="67">
        <f>VLOOKUP($Q219,'FILL Table'!$A$91:$L$106,J$3,FALSE)</f>
        <v>1.7050000000000001</v>
      </c>
      <c r="K219" s="67">
        <f>VLOOKUP($Q219,'FILL Table'!$A$91:$L$106,K$3,FALSE)</f>
        <v>1.7050000000000001</v>
      </c>
      <c r="Q219" s="46" t="str">
        <f t="shared" ref="Q219:Q223" si="95">LEFT(D219,9)</f>
        <v>TER_TP_AP</v>
      </c>
    </row>
    <row r="220" spans="2:17" x14ac:dyDescent="0.25">
      <c r="D220" s="41" t="s">
        <v>284</v>
      </c>
      <c r="E220" s="46" t="s">
        <v>95</v>
      </c>
      <c r="F220" s="46" t="str">
        <f t="shared" ref="F220:F223" si="96">F219</f>
        <v>PRC_CAPACT</v>
      </c>
      <c r="G220" s="55"/>
      <c r="H220" s="67">
        <f>VLOOKUP($Q220,'FILL Table'!$A$91:$I$106,H$3,FALSE)</f>
        <v>1.7050000000000001</v>
      </c>
      <c r="I220" s="67">
        <f>VLOOKUP($Q220,'FILL Table'!$A$91:$L$106,I$3,FALSE)</f>
        <v>1.7050000000000001</v>
      </c>
      <c r="J220" s="67">
        <f>VLOOKUP($Q220,'FILL Table'!$A$91:$L$106,J$3,FALSE)</f>
        <v>1.7050000000000001</v>
      </c>
      <c r="K220" s="67">
        <f>VLOOKUP($Q220,'FILL Table'!$A$91:$L$106,K$3,FALSE)</f>
        <v>1.7050000000000001</v>
      </c>
      <c r="Q220" s="46" t="str">
        <f t="shared" si="95"/>
        <v>TER_TP_AP</v>
      </c>
    </row>
    <row r="221" spans="2:17" x14ac:dyDescent="0.25">
      <c r="D221" s="41" t="s">
        <v>285</v>
      </c>
      <c r="E221" s="46" t="s">
        <v>95</v>
      </c>
      <c r="F221" s="46" t="str">
        <f t="shared" si="96"/>
        <v>PRC_CAPACT</v>
      </c>
      <c r="G221" s="55"/>
      <c r="H221" s="67">
        <f>VLOOKUP($Q221,'FILL Table'!$A$91:$I$106,H$3,FALSE)</f>
        <v>1.7050000000000001</v>
      </c>
      <c r="I221" s="67">
        <f>VLOOKUP($Q221,'FILL Table'!$A$91:$L$106,I$3,FALSE)</f>
        <v>1.7050000000000001</v>
      </c>
      <c r="J221" s="67">
        <f>VLOOKUP($Q221,'FILL Table'!$A$91:$L$106,J$3,FALSE)</f>
        <v>1.7050000000000001</v>
      </c>
      <c r="K221" s="67">
        <f>VLOOKUP($Q221,'FILL Table'!$A$91:$L$106,K$3,FALSE)</f>
        <v>1.7050000000000001</v>
      </c>
      <c r="Q221" s="46" t="str">
        <f t="shared" si="95"/>
        <v>TER_TS_AP</v>
      </c>
    </row>
    <row r="222" spans="2:17" x14ac:dyDescent="0.25">
      <c r="D222" s="41" t="s">
        <v>286</v>
      </c>
      <c r="E222" s="46" t="s">
        <v>95</v>
      </c>
      <c r="F222" s="46" t="str">
        <f t="shared" si="96"/>
        <v>PRC_CAPACT</v>
      </c>
      <c r="G222" s="55"/>
      <c r="H222" s="67">
        <f>VLOOKUP($Q222,'FILL Table'!$A$91:$I$106,H$3,FALSE)</f>
        <v>1.7050000000000001</v>
      </c>
      <c r="I222" s="67">
        <f>VLOOKUP($Q222,'FILL Table'!$A$91:$L$106,I$3,FALSE)</f>
        <v>1.7050000000000001</v>
      </c>
      <c r="J222" s="67">
        <f>VLOOKUP($Q222,'FILL Table'!$A$91:$L$106,J$3,FALSE)</f>
        <v>1.7050000000000001</v>
      </c>
      <c r="K222" s="67">
        <f>VLOOKUP($Q222,'FILL Table'!$A$91:$L$106,K$3,FALSE)</f>
        <v>1.7050000000000001</v>
      </c>
      <c r="Q222" s="46" t="str">
        <f t="shared" si="95"/>
        <v>TER_TS_AP</v>
      </c>
    </row>
    <row r="223" spans="2:17" x14ac:dyDescent="0.25">
      <c r="D223" s="41" t="s">
        <v>287</v>
      </c>
      <c r="E223" s="46" t="s">
        <v>95</v>
      </c>
      <c r="F223" s="46" t="str">
        <f t="shared" si="96"/>
        <v>PRC_CAPACT</v>
      </c>
      <c r="G223" s="55"/>
      <c r="H223" s="67">
        <f>VLOOKUP($Q223,'FILL Table'!$A$91:$I$106,H$3,FALSE)</f>
        <v>1.7050000000000001</v>
      </c>
      <c r="I223" s="67">
        <f>VLOOKUP($Q223,'FILL Table'!$A$91:$L$106,I$3,FALSE)</f>
        <v>1.7050000000000001</v>
      </c>
      <c r="J223" s="67">
        <f>VLOOKUP($Q223,'FILL Table'!$A$91:$L$106,J$3,FALSE)</f>
        <v>1.7050000000000001</v>
      </c>
      <c r="K223" s="67">
        <f>VLOOKUP($Q223,'FILL Table'!$A$91:$L$106,K$3,FALSE)</f>
        <v>1.7050000000000001</v>
      </c>
      <c r="Q223" s="46" t="str">
        <f t="shared" si="95"/>
        <v>TER_TS_AP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W97"/>
  <sheetViews>
    <sheetView zoomScale="55" zoomScaleNormal="55" workbookViewId="0">
      <selection sqref="A1:XFD1048576"/>
    </sheetView>
  </sheetViews>
  <sheetFormatPr defaultRowHeight="13.2" x14ac:dyDescent="0.25"/>
  <cols>
    <col min="1" max="1" width="4.44140625" style="75" customWidth="1"/>
    <col min="2" max="2" width="33" style="75" customWidth="1"/>
    <col min="3" max="3" width="51.5546875" style="75" bestFit="1" customWidth="1"/>
    <col min="4" max="4" width="29.33203125" style="75" customWidth="1"/>
    <col min="5" max="5" width="26.109375" style="75" bestFit="1" customWidth="1"/>
    <col min="6" max="8" width="26.109375" style="75" customWidth="1"/>
    <col min="9" max="9" width="22.109375" style="75" bestFit="1" customWidth="1"/>
    <col min="10" max="10" width="12.109375" style="76" bestFit="1" customWidth="1"/>
    <col min="11" max="11" width="17.109375" style="75" bestFit="1" customWidth="1"/>
    <col min="12" max="12" width="26.44140625" style="75" customWidth="1"/>
    <col min="13" max="21" width="27.109375" style="75" customWidth="1"/>
    <col min="22" max="22" width="20.88671875" style="75" customWidth="1"/>
    <col min="23" max="23" width="12.88671875" style="75" customWidth="1"/>
    <col min="24" max="24" width="29.33203125" style="75" customWidth="1"/>
    <col min="25" max="25" width="47.5546875" style="75" customWidth="1"/>
    <col min="26" max="26" width="31.33203125" style="75" customWidth="1"/>
    <col min="27" max="27" width="24" style="75" customWidth="1"/>
    <col min="28" max="28" width="40.88671875" style="75" customWidth="1"/>
    <col min="29" max="29" width="55.6640625" style="75" bestFit="1" customWidth="1"/>
    <col min="30" max="30" width="17" style="75" customWidth="1"/>
    <col min="31" max="31" width="13.6640625" style="75" bestFit="1" customWidth="1"/>
    <col min="32" max="33" width="14" style="75" customWidth="1"/>
    <col min="34" max="34" width="10.6640625" style="75" customWidth="1"/>
    <col min="35" max="35" width="5.33203125" style="75" customWidth="1"/>
    <col min="36" max="36" width="24.33203125" style="75" bestFit="1" customWidth="1"/>
    <col min="37" max="37" width="7" style="75" customWidth="1"/>
    <col min="38" max="38" width="27.33203125" style="75" bestFit="1" customWidth="1"/>
    <col min="39" max="39" width="34" style="75" customWidth="1"/>
    <col min="40" max="40" width="107.6640625" style="75" bestFit="1" customWidth="1"/>
    <col min="41" max="41" width="4.6640625" style="75" bestFit="1" customWidth="1"/>
    <col min="42" max="42" width="23.88671875" style="75" bestFit="1" customWidth="1"/>
    <col min="43" max="43" width="21.5546875" style="75" bestFit="1" customWidth="1"/>
    <col min="44" max="44" width="14.5546875" style="75" bestFit="1" customWidth="1"/>
    <col min="45" max="45" width="17" style="75" bestFit="1" customWidth="1"/>
    <col min="46" max="46" width="8.88671875" style="75"/>
    <col min="47" max="47" width="54.109375" style="75" bestFit="1" customWidth="1"/>
    <col min="48" max="16384" width="8.88671875" style="75"/>
  </cols>
  <sheetData>
    <row r="1" spans="1:42" s="41" customFormat="1" ht="17.399999999999999" x14ac:dyDescent="0.3">
      <c r="B1" s="74" t="s">
        <v>42</v>
      </c>
      <c r="C1" s="74"/>
      <c r="D1" s="74"/>
      <c r="E1" s="74"/>
      <c r="F1" s="74"/>
      <c r="G1" s="74"/>
      <c r="H1" s="74"/>
      <c r="I1" s="75"/>
      <c r="J1" s="76"/>
      <c r="K1" s="75"/>
    </row>
    <row r="2" spans="1:42" s="41" customFormat="1" ht="17.399999999999999" x14ac:dyDescent="0.3">
      <c r="B2" s="74" t="s">
        <v>43</v>
      </c>
      <c r="C2" s="74"/>
      <c r="D2" s="74"/>
      <c r="E2" s="74"/>
      <c r="F2" s="74"/>
      <c r="G2" s="74"/>
      <c r="H2" s="74"/>
      <c r="I2" s="75"/>
      <c r="J2" s="76"/>
      <c r="K2" s="75"/>
    </row>
    <row r="3" spans="1:42" s="41" customFormat="1" ht="17.399999999999999" x14ac:dyDescent="0.3">
      <c r="B3" s="74" t="s">
        <v>74</v>
      </c>
      <c r="C3" s="74"/>
      <c r="D3" s="74"/>
      <c r="E3" s="74"/>
      <c r="F3" s="74"/>
      <c r="G3" s="74"/>
      <c r="H3" s="74"/>
      <c r="I3" s="75"/>
      <c r="J3" s="76"/>
      <c r="K3" s="75"/>
    </row>
    <row r="4" spans="1:42" s="41" customFormat="1" ht="13.8" x14ac:dyDescent="0.25">
      <c r="I4" s="75"/>
      <c r="J4" s="76"/>
      <c r="K4" s="75"/>
      <c r="X4" s="77" t="s">
        <v>44</v>
      </c>
      <c r="Y4" s="77"/>
      <c r="Z4" s="77" t="s">
        <v>45</v>
      </c>
      <c r="AA4" s="77"/>
      <c r="AB4" s="77"/>
      <c r="AC4" s="77"/>
      <c r="AD4" s="77"/>
      <c r="AE4" s="77"/>
      <c r="AI4" s="46"/>
      <c r="AJ4" s="46"/>
      <c r="AK4" s="46"/>
    </row>
    <row r="5" spans="1:42" s="41" customFormat="1" ht="13.8" x14ac:dyDescent="0.25">
      <c r="A5" s="75"/>
      <c r="B5" s="46"/>
      <c r="C5" s="46"/>
      <c r="D5" s="78"/>
      <c r="I5" s="75"/>
      <c r="J5" s="76"/>
      <c r="K5" s="75"/>
      <c r="L5" s="75"/>
      <c r="M5" s="75"/>
      <c r="N5" s="75"/>
      <c r="O5" s="75"/>
      <c r="P5" s="75"/>
      <c r="Q5" s="75"/>
      <c r="R5" s="75"/>
      <c r="S5" s="75"/>
      <c r="T5" s="75"/>
      <c r="X5" s="79"/>
      <c r="Y5" s="79"/>
      <c r="Z5" s="77"/>
      <c r="AA5" s="77"/>
      <c r="AB5" s="77"/>
      <c r="AC5" s="77"/>
      <c r="AG5" s="80"/>
      <c r="AH5" s="81"/>
      <c r="AI5" s="81"/>
      <c r="AJ5" s="82"/>
      <c r="AK5" s="82"/>
      <c r="AL5" s="81"/>
      <c r="AM5" s="81"/>
      <c r="AN5" s="81"/>
      <c r="AO5" s="83"/>
      <c r="AP5" s="83"/>
    </row>
    <row r="6" spans="1:42" s="41" customFormat="1" ht="13.8" x14ac:dyDescent="0.25">
      <c r="A6" s="75"/>
      <c r="B6" s="46"/>
      <c r="C6" s="46"/>
      <c r="D6" s="78"/>
      <c r="I6" s="75"/>
      <c r="J6" s="76"/>
      <c r="K6" s="75"/>
      <c r="X6" s="84" t="s">
        <v>46</v>
      </c>
      <c r="Y6" s="84" t="s">
        <v>49</v>
      </c>
      <c r="Z6" s="85"/>
      <c r="AA6" s="86"/>
      <c r="AB6" s="87" t="s">
        <v>50</v>
      </c>
      <c r="AC6" s="87" t="s">
        <v>51</v>
      </c>
      <c r="AD6" s="85"/>
    </row>
    <row r="7" spans="1:42" s="41" customFormat="1" ht="17.25" customHeight="1" x14ac:dyDescent="0.3">
      <c r="A7" s="75"/>
      <c r="B7" s="74" t="s">
        <v>73</v>
      </c>
      <c r="C7" s="74"/>
      <c r="D7" s="74"/>
      <c r="E7" s="74"/>
      <c r="F7" s="74"/>
      <c r="G7" s="74"/>
      <c r="H7" s="74"/>
      <c r="I7" s="75"/>
      <c r="J7" s="76"/>
      <c r="K7" s="75"/>
      <c r="X7" s="88" t="s">
        <v>53</v>
      </c>
      <c r="Y7" s="88" t="s">
        <v>52</v>
      </c>
      <c r="Z7" s="89"/>
      <c r="AA7" s="88" t="s">
        <v>52</v>
      </c>
      <c r="AB7" s="90" t="s">
        <v>54</v>
      </c>
      <c r="AC7" s="90" t="s">
        <v>55</v>
      </c>
      <c r="AD7" s="89"/>
    </row>
    <row r="8" spans="1:42" s="41" customFormat="1" ht="17.25" customHeight="1" x14ac:dyDescent="0.25">
      <c r="A8" s="75"/>
      <c r="B8" s="91" t="s">
        <v>0</v>
      </c>
      <c r="E8" s="75"/>
      <c r="F8" s="75"/>
      <c r="G8" s="75"/>
      <c r="H8" s="75"/>
      <c r="I8" s="75"/>
      <c r="J8" s="76"/>
      <c r="K8" s="75"/>
      <c r="L8" s="92"/>
      <c r="W8" s="46"/>
      <c r="X8" s="41" t="s">
        <v>300</v>
      </c>
      <c r="Y8" s="92" t="s">
        <v>332</v>
      </c>
      <c r="Z8" s="93"/>
      <c r="AA8" s="46"/>
      <c r="AB8" s="94" t="s">
        <v>312</v>
      </c>
      <c r="AC8" s="94" t="s">
        <v>340</v>
      </c>
      <c r="AD8" s="93"/>
    </row>
    <row r="9" spans="1:42" s="41" customFormat="1" ht="13.8" x14ac:dyDescent="0.25">
      <c r="A9" s="75"/>
      <c r="B9" s="31" t="s">
        <v>3</v>
      </c>
      <c r="C9" s="31" t="s">
        <v>58</v>
      </c>
      <c r="D9" s="95" t="s">
        <v>59</v>
      </c>
      <c r="E9" s="31" t="s">
        <v>87</v>
      </c>
      <c r="F9" s="31" t="s">
        <v>88</v>
      </c>
      <c r="G9" s="31" t="s">
        <v>89</v>
      </c>
      <c r="H9" s="31" t="s">
        <v>90</v>
      </c>
      <c r="I9" s="75"/>
      <c r="J9" s="76"/>
      <c r="K9" s="75"/>
      <c r="L9" s="92"/>
      <c r="X9" s="41" t="s">
        <v>301</v>
      </c>
      <c r="Y9" s="92" t="s">
        <v>333</v>
      </c>
      <c r="Z9" s="93"/>
      <c r="AA9" s="46"/>
      <c r="AB9" s="94" t="s">
        <v>313</v>
      </c>
      <c r="AC9" s="94" t="s">
        <v>341</v>
      </c>
      <c r="AD9" s="93"/>
    </row>
    <row r="10" spans="1:42" s="41" customFormat="1" ht="14.4" thickBot="1" x14ac:dyDescent="0.3">
      <c r="A10" s="75"/>
      <c r="B10" s="96" t="s">
        <v>56</v>
      </c>
      <c r="C10" s="96"/>
      <c r="D10" s="97" t="s">
        <v>56</v>
      </c>
      <c r="E10" s="98" t="s">
        <v>77</v>
      </c>
      <c r="F10" s="98" t="s">
        <v>77</v>
      </c>
      <c r="G10" s="98" t="s">
        <v>77</v>
      </c>
      <c r="H10" s="98" t="s">
        <v>77</v>
      </c>
      <c r="I10" s="75"/>
      <c r="J10" s="76"/>
      <c r="K10" s="75"/>
      <c r="L10" s="92"/>
      <c r="X10" s="41" t="s">
        <v>302</v>
      </c>
      <c r="Y10" s="92" t="s">
        <v>334</v>
      </c>
      <c r="Z10" s="93"/>
      <c r="AA10" s="46"/>
      <c r="AB10" s="94" t="s">
        <v>314</v>
      </c>
      <c r="AC10" s="94" t="s">
        <v>342</v>
      </c>
      <c r="AD10" s="93"/>
    </row>
    <row r="11" spans="1:42" ht="14.4" thickBot="1" x14ac:dyDescent="0.3">
      <c r="B11" s="99" t="s">
        <v>60</v>
      </c>
      <c r="C11" s="55" t="str">
        <f t="shared" ref="C11:C16" si="0">LEFT(D11,7)&amp;"SH"</f>
        <v>TER_TP_SH</v>
      </c>
      <c r="D11" s="100" t="str">
        <f t="shared" ref="D11:D16" si="1">X8</f>
        <v>TER_TP_Ret11</v>
      </c>
      <c r="E11" s="101">
        <f>VLOOKUP(LEFT($D$11,11),$L$14:$U$26,3,0)</f>
        <v>2.0104084390912001E-4</v>
      </c>
      <c r="F11" s="102">
        <f>VLOOKUP(LEFT($D$11,11),$L$14:$U$26,4,0)</f>
        <v>4.1017698981818203E-5</v>
      </c>
      <c r="G11" s="101">
        <f>VLOOKUP(LEFT($D$11,11),$L$14:$U$26,5,0)</f>
        <v>1.8345552768000002E-4</v>
      </c>
      <c r="H11" s="102">
        <f>VLOOKUP(LEFT($D$11,11),$L$14:$U$26,6,0)</f>
        <v>1.7474715115200001E-4</v>
      </c>
      <c r="L11" s="92"/>
      <c r="M11" s="41"/>
      <c r="N11" s="103" t="s">
        <v>87</v>
      </c>
      <c r="O11" s="103" t="s">
        <v>88</v>
      </c>
      <c r="P11" s="103" t="s">
        <v>89</v>
      </c>
      <c r="Q11" s="103" t="s">
        <v>90</v>
      </c>
      <c r="R11" s="41"/>
      <c r="S11" s="41"/>
      <c r="T11" s="41"/>
      <c r="U11" s="41"/>
      <c r="V11" s="41"/>
      <c r="X11" s="41" t="s">
        <v>303</v>
      </c>
      <c r="Y11" s="92" t="s">
        <v>335</v>
      </c>
      <c r="Z11" s="93"/>
      <c r="AA11" s="46"/>
      <c r="AB11" s="94" t="s">
        <v>315</v>
      </c>
      <c r="AC11" s="94" t="s">
        <v>343</v>
      </c>
      <c r="AD11" s="93"/>
      <c r="AE11" s="41"/>
      <c r="AF11" s="41"/>
      <c r="AG11" s="41"/>
    </row>
    <row r="12" spans="1:42" ht="15.6" x14ac:dyDescent="0.3">
      <c r="B12" s="99" t="s">
        <v>60</v>
      </c>
      <c r="C12" s="55" t="str">
        <f t="shared" si="0"/>
        <v>TER_TP_SH</v>
      </c>
      <c r="D12" s="100" t="str">
        <f t="shared" si="1"/>
        <v>TER_TP_Ret21</v>
      </c>
      <c r="E12" s="101">
        <f>VLOOKUP(LEFT($D$12,11),$L$14:$U$26,3,0)</f>
        <v>3.0156126586367997E-4</v>
      </c>
      <c r="F12" s="102">
        <f>VLOOKUP(LEFT($D$12,11),$L$14:$U$26,4,0)</f>
        <v>6.1526548472727298E-5</v>
      </c>
      <c r="G12" s="101">
        <f>VLOOKUP(LEFT($D$12,11),$L$14:$U$26,5,0)</f>
        <v>2.7518329152E-4</v>
      </c>
      <c r="H12" s="102">
        <f>VLOOKUP(LEFT($D$12,11),$L$14:$U$26,6,0)</f>
        <v>2.6212072672800001E-4</v>
      </c>
      <c r="L12" s="32" t="s">
        <v>364</v>
      </c>
      <c r="M12" s="33" t="s">
        <v>79</v>
      </c>
      <c r="N12" s="34"/>
      <c r="O12" s="34"/>
      <c r="P12" s="34"/>
      <c r="Q12" s="34"/>
      <c r="R12" s="35"/>
      <c r="S12" s="33" t="s">
        <v>80</v>
      </c>
      <c r="T12" s="34"/>
      <c r="U12" s="104"/>
      <c r="V12" s="105"/>
      <c r="X12" s="41" t="s">
        <v>304</v>
      </c>
      <c r="Y12" s="92" t="s">
        <v>336</v>
      </c>
      <c r="Z12" s="93"/>
      <c r="AA12" s="46"/>
      <c r="AB12" s="94" t="s">
        <v>316</v>
      </c>
      <c r="AC12" s="94" t="s">
        <v>344</v>
      </c>
      <c r="AD12" s="93"/>
      <c r="AE12" s="41"/>
      <c r="AF12" s="41"/>
      <c r="AG12" s="41"/>
    </row>
    <row r="13" spans="1:42" ht="15" x14ac:dyDescent="0.25">
      <c r="B13" s="106" t="s">
        <v>60</v>
      </c>
      <c r="C13" s="107" t="str">
        <f t="shared" si="0"/>
        <v>TER_TP_SH</v>
      </c>
      <c r="D13" s="108" t="str">
        <f t="shared" si="1"/>
        <v>TER_TP_Ret31</v>
      </c>
      <c r="E13" s="109">
        <f>VLOOKUP(LEFT($D$13,11),$L$14:$U$26,3,0)</f>
        <v>4.5234189879552004E-4</v>
      </c>
      <c r="F13" s="110">
        <f>VLOOKUP(LEFT($D$13,11),$L$14:$U$26,4,0)</f>
        <v>9.2289822709090954E-5</v>
      </c>
      <c r="G13" s="111">
        <f>VLOOKUP(LEFT($D$13,11),$L$14:$U$26,5,0)</f>
        <v>4.1277493728000001E-4</v>
      </c>
      <c r="H13" s="110">
        <f>VLOOKUP(LEFT($D$13,11),$L$14:$U$26,6,0)</f>
        <v>3.9318109009199998E-4</v>
      </c>
      <c r="L13" s="112"/>
      <c r="M13" s="113" t="s">
        <v>81</v>
      </c>
      <c r="N13" s="113" t="s">
        <v>81</v>
      </c>
      <c r="O13" s="113" t="s">
        <v>81</v>
      </c>
      <c r="P13" s="113" t="s">
        <v>81</v>
      </c>
      <c r="Q13" s="113" t="s">
        <v>81</v>
      </c>
      <c r="R13" s="114" t="s">
        <v>82</v>
      </c>
      <c r="S13" s="113" t="s">
        <v>81</v>
      </c>
      <c r="T13" s="113" t="s">
        <v>81</v>
      </c>
      <c r="U13" s="114" t="s">
        <v>82</v>
      </c>
      <c r="V13" s="105"/>
      <c r="X13" s="41" t="s">
        <v>305</v>
      </c>
      <c r="Y13" s="92" t="s">
        <v>337</v>
      </c>
      <c r="Z13" s="93"/>
      <c r="AA13" s="46"/>
      <c r="AB13" s="94" t="s">
        <v>317</v>
      </c>
      <c r="AC13" s="94" t="s">
        <v>345</v>
      </c>
      <c r="AD13" s="93"/>
      <c r="AE13" s="41"/>
      <c r="AF13" s="41"/>
      <c r="AG13" s="41"/>
    </row>
    <row r="14" spans="1:42" ht="17.25" customHeight="1" x14ac:dyDescent="0.25">
      <c r="B14" s="99" t="s">
        <v>60</v>
      </c>
      <c r="C14" s="55" t="str">
        <f>LEFT(D14,7)&amp;"SH"</f>
        <v>TER_TP_SH</v>
      </c>
      <c r="D14" s="100" t="str">
        <f>X11</f>
        <v>TER_TP_Ret12</v>
      </c>
      <c r="E14" s="101">
        <v>0</v>
      </c>
      <c r="F14" s="102">
        <v>0</v>
      </c>
      <c r="G14" s="101">
        <v>0</v>
      </c>
      <c r="H14" s="102">
        <v>0</v>
      </c>
      <c r="L14" s="115"/>
      <c r="M14" s="116" t="s">
        <v>85</v>
      </c>
      <c r="N14" s="117" t="s">
        <v>86</v>
      </c>
      <c r="O14" s="117"/>
      <c r="P14" s="117"/>
      <c r="Q14" s="117"/>
      <c r="R14" s="118" t="s">
        <v>83</v>
      </c>
      <c r="S14" s="116" t="s">
        <v>85</v>
      </c>
      <c r="T14" s="117" t="s">
        <v>86</v>
      </c>
      <c r="U14" s="118" t="s">
        <v>83</v>
      </c>
      <c r="V14" s="119"/>
      <c r="X14" s="41" t="s">
        <v>306</v>
      </c>
      <c r="Y14" s="92" t="s">
        <v>326</v>
      </c>
      <c r="Z14" s="93"/>
      <c r="AA14" s="46"/>
      <c r="AB14" s="94" t="s">
        <v>318</v>
      </c>
      <c r="AC14" s="94" t="s">
        <v>346</v>
      </c>
      <c r="AD14" s="93"/>
      <c r="AE14" s="41"/>
      <c r="AF14" s="41"/>
      <c r="AG14" s="41"/>
    </row>
    <row r="15" spans="1:42" ht="15" x14ac:dyDescent="0.25">
      <c r="B15" s="99" t="s">
        <v>60</v>
      </c>
      <c r="C15" s="55" t="str">
        <f t="shared" si="0"/>
        <v>TER_TP_SH</v>
      </c>
      <c r="D15" s="100" t="str">
        <f t="shared" si="1"/>
        <v>TER_TP_Ret22</v>
      </c>
      <c r="E15" s="101">
        <v>0</v>
      </c>
      <c r="F15" s="102">
        <v>0</v>
      </c>
      <c r="G15" s="101">
        <v>0</v>
      </c>
      <c r="H15" s="102">
        <v>0</v>
      </c>
      <c r="L15" s="115" t="s">
        <v>290</v>
      </c>
      <c r="M15" s="120">
        <v>0.2</v>
      </c>
      <c r="N15" s="121">
        <f>M15*'FILL Table'!$I$5</f>
        <v>2.0104084390912001E-4</v>
      </c>
      <c r="O15" s="121">
        <f>M15*'FILL Table'!J$5</f>
        <v>4.1017698981818203E-5</v>
      </c>
      <c r="P15" s="121">
        <f>M15*'FILL Table'!K$5</f>
        <v>1.8345552768000002E-4</v>
      </c>
      <c r="Q15" s="121">
        <f>M15*'FILL Table'!L$5</f>
        <v>1.7474715115200001E-4</v>
      </c>
      <c r="R15" s="122">
        <v>35</v>
      </c>
      <c r="S15" s="120"/>
      <c r="T15" s="121">
        <f>S15*'FILL Table'!$I$5</f>
        <v>0</v>
      </c>
      <c r="U15" s="122">
        <v>119.76</v>
      </c>
      <c r="V15" s="117"/>
      <c r="W15" s="41"/>
      <c r="X15" s="41" t="s">
        <v>307</v>
      </c>
      <c r="Y15" s="92" t="s">
        <v>327</v>
      </c>
      <c r="Z15" s="93"/>
      <c r="AA15" s="46"/>
      <c r="AB15" s="94" t="s">
        <v>319</v>
      </c>
      <c r="AC15" s="94" t="s">
        <v>347</v>
      </c>
      <c r="AD15" s="93"/>
      <c r="AF15" s="41"/>
      <c r="AG15" s="41"/>
    </row>
    <row r="16" spans="1:42" ht="15.6" thickBot="1" x14ac:dyDescent="0.3">
      <c r="B16" s="106" t="s">
        <v>60</v>
      </c>
      <c r="C16" s="107" t="str">
        <f t="shared" si="0"/>
        <v>TER_TP_SH</v>
      </c>
      <c r="D16" s="108" t="str">
        <f t="shared" si="1"/>
        <v>TER_TP_Ret32</v>
      </c>
      <c r="E16" s="109">
        <v>0</v>
      </c>
      <c r="F16" s="110">
        <v>0</v>
      </c>
      <c r="G16" s="111">
        <v>0</v>
      </c>
      <c r="H16" s="110">
        <v>0</v>
      </c>
      <c r="I16" s="123"/>
      <c r="K16" s="123"/>
      <c r="L16" s="112" t="s">
        <v>291</v>
      </c>
      <c r="M16" s="120">
        <f>M15</f>
        <v>0.2</v>
      </c>
      <c r="N16" s="121">
        <f>M16*'FILL Table'!$I$6</f>
        <v>2.43283021557644E-4</v>
      </c>
      <c r="O16" s="121">
        <f>M16*'FILL Table'!J$6</f>
        <v>4.2877437480000003E-5</v>
      </c>
      <c r="P16" s="121">
        <f>M16*'FILL Table'!K$6</f>
        <v>2.2615418880000002E-4</v>
      </c>
      <c r="Q16" s="121">
        <f>M16*'FILL Table'!L$6</f>
        <v>2.0687230008E-4</v>
      </c>
      <c r="R16" s="124">
        <v>35</v>
      </c>
      <c r="S16" s="120"/>
      <c r="T16" s="121">
        <f>S16*'FILL Table'!$I$6</f>
        <v>0</v>
      </c>
      <c r="U16" s="122">
        <v>119.76</v>
      </c>
      <c r="V16" s="117"/>
      <c r="W16" s="94"/>
      <c r="X16" s="41" t="s">
        <v>308</v>
      </c>
      <c r="Y16" s="92" t="s">
        <v>328</v>
      </c>
      <c r="Z16" s="93"/>
      <c r="AA16" s="46"/>
      <c r="AB16" s="94" t="s">
        <v>320</v>
      </c>
      <c r="AC16" s="94" t="s">
        <v>348</v>
      </c>
      <c r="AD16" s="93"/>
      <c r="AF16" s="41"/>
      <c r="AG16" s="41"/>
    </row>
    <row r="17" spans="2:39" ht="15.6" x14ac:dyDescent="0.3">
      <c r="B17" s="99" t="s">
        <v>60</v>
      </c>
      <c r="C17" s="55" t="str">
        <f>LEFT(D17,7)&amp;"SH"</f>
        <v>TER_TS_SH</v>
      </c>
      <c r="D17" s="100" t="str">
        <f>X14</f>
        <v>TER_TS_Ret11</v>
      </c>
      <c r="E17" s="101">
        <f>VLOOKUP(LEFT($D$17,11),$L$14:$U$26,3,0)</f>
        <v>2.43283021557644E-4</v>
      </c>
      <c r="F17" s="125">
        <f>VLOOKUP(LEFT($D$17,11),$L$14:$U$26,4,0)</f>
        <v>4.2877437480000003E-5</v>
      </c>
      <c r="G17" s="125">
        <f>VLOOKUP(LEFT($D$17,11),$L$14:$U$26,5,0)</f>
        <v>2.2615418880000002E-4</v>
      </c>
      <c r="H17" s="125">
        <f>VLOOKUP(LEFT($D$17,11),$L$14:$U$26,6,0)</f>
        <v>2.0687230008E-4</v>
      </c>
      <c r="I17" s="41"/>
      <c r="K17" s="55"/>
      <c r="L17" s="32" t="s">
        <v>365</v>
      </c>
      <c r="M17" s="36" t="s">
        <v>79</v>
      </c>
      <c r="N17" s="37"/>
      <c r="O17" s="37"/>
      <c r="P17" s="37"/>
      <c r="Q17" s="37"/>
      <c r="R17" s="38"/>
      <c r="S17" s="126" t="s">
        <v>80</v>
      </c>
      <c r="T17" s="37"/>
      <c r="U17" s="127"/>
      <c r="V17" s="117"/>
      <c r="W17" s="94"/>
      <c r="X17" s="41" t="s">
        <v>309</v>
      </c>
      <c r="Y17" s="92" t="s">
        <v>329</v>
      </c>
      <c r="Z17" s="93"/>
      <c r="AA17" s="46"/>
      <c r="AB17" s="94" t="s">
        <v>321</v>
      </c>
      <c r="AC17" s="94" t="s">
        <v>349</v>
      </c>
      <c r="AD17" s="93"/>
      <c r="AF17" s="41"/>
      <c r="AG17" s="41"/>
    </row>
    <row r="18" spans="2:39" ht="15" x14ac:dyDescent="0.25">
      <c r="B18" s="99" t="s">
        <v>60</v>
      </c>
      <c r="C18" s="55" t="str">
        <f t="shared" ref="C18:C19" si="2">LEFT(D18,7)&amp;"SH"</f>
        <v>TER_TS_SH</v>
      </c>
      <c r="D18" s="100" t="str">
        <f t="shared" ref="D18:D19" si="3">X15</f>
        <v>TER_TS_Ret21</v>
      </c>
      <c r="E18" s="101">
        <f>VLOOKUP(LEFT($D$18,11),$L$14:$U$26,3,0)</f>
        <v>3.6492453233646596E-4</v>
      </c>
      <c r="F18" s="102">
        <f>VLOOKUP(LEFT($D$18,11),$L$14:$U$26,4,0)</f>
        <v>6.4316156220000002E-5</v>
      </c>
      <c r="G18" s="102">
        <f>VLOOKUP(LEFT($D$18,11),$L$14:$U$26,5,0)</f>
        <v>3.3923128320000002E-4</v>
      </c>
      <c r="H18" s="102">
        <f>VLOOKUP(LEFT($D$18,11),$L$14:$U$26,6,0)</f>
        <v>3.1030845012E-4</v>
      </c>
      <c r="I18" s="41"/>
      <c r="K18" s="55"/>
      <c r="L18" s="112"/>
      <c r="M18" s="116" t="s">
        <v>81</v>
      </c>
      <c r="N18" s="113" t="s">
        <v>81</v>
      </c>
      <c r="O18" s="113" t="s">
        <v>81</v>
      </c>
      <c r="P18" s="113" t="s">
        <v>81</v>
      </c>
      <c r="Q18" s="113" t="s">
        <v>81</v>
      </c>
      <c r="R18" s="122" t="s">
        <v>82</v>
      </c>
      <c r="S18" s="116" t="s">
        <v>81</v>
      </c>
      <c r="T18" s="113" t="s">
        <v>81</v>
      </c>
      <c r="U18" s="122" t="s">
        <v>82</v>
      </c>
      <c r="V18" s="117"/>
      <c r="W18" s="94"/>
      <c r="X18" s="41" t="s">
        <v>310</v>
      </c>
      <c r="Y18" s="92" t="s">
        <v>330</v>
      </c>
      <c r="Z18" s="93"/>
      <c r="AA18" s="46"/>
      <c r="AB18" s="94" t="s">
        <v>322</v>
      </c>
      <c r="AC18" s="94" t="s">
        <v>350</v>
      </c>
      <c r="AD18" s="93"/>
      <c r="AE18" s="41"/>
      <c r="AF18" s="41"/>
      <c r="AG18" s="41"/>
    </row>
    <row r="19" spans="2:39" ht="18" customHeight="1" x14ac:dyDescent="0.25">
      <c r="B19" s="106" t="s">
        <v>60</v>
      </c>
      <c r="C19" s="107" t="str">
        <f t="shared" si="2"/>
        <v>TER_TS_SH</v>
      </c>
      <c r="D19" s="108" t="str">
        <f t="shared" si="3"/>
        <v>TER_TS_Ret31</v>
      </c>
      <c r="E19" s="109">
        <f>VLOOKUP(LEFT($D$19,11),$L$14:$U$26,3,0)</f>
        <v>5.4738679850469896E-4</v>
      </c>
      <c r="F19" s="110">
        <f>VLOOKUP(LEFT($D$19,11),$L$14:$U$26,4,0)</f>
        <v>9.6474234329999996E-5</v>
      </c>
      <c r="G19" s="110">
        <f>VLOOKUP(LEFT($D$19,11),$L$14:$U$26,5,0)</f>
        <v>5.0884692480000001E-4</v>
      </c>
      <c r="H19" s="110">
        <f>VLOOKUP(LEFT($D$19,11),$L$14:$U$26,6,0)</f>
        <v>4.6546267518E-4</v>
      </c>
      <c r="L19" s="115"/>
      <c r="M19" s="116" t="s">
        <v>85</v>
      </c>
      <c r="N19" s="117" t="s">
        <v>86</v>
      </c>
      <c r="O19" s="117"/>
      <c r="P19" s="117"/>
      <c r="Q19" s="117"/>
      <c r="R19" s="118" t="s">
        <v>83</v>
      </c>
      <c r="S19" s="116" t="s">
        <v>85</v>
      </c>
      <c r="T19" s="117" t="s">
        <v>86</v>
      </c>
      <c r="U19" s="118" t="s">
        <v>83</v>
      </c>
      <c r="V19" s="119"/>
      <c r="W19" s="94"/>
      <c r="X19" s="41" t="s">
        <v>311</v>
      </c>
      <c r="Y19" s="92" t="s">
        <v>331</v>
      </c>
      <c r="Z19" s="93"/>
      <c r="AA19" s="46"/>
      <c r="AB19" s="94" t="s">
        <v>323</v>
      </c>
      <c r="AC19" s="94" t="s">
        <v>351</v>
      </c>
      <c r="AD19" s="93"/>
      <c r="AE19" s="41"/>
      <c r="AF19" s="41"/>
      <c r="AG19" s="41"/>
    </row>
    <row r="20" spans="2:39" ht="15" x14ac:dyDescent="0.25">
      <c r="B20" s="99" t="s">
        <v>60</v>
      </c>
      <c r="C20" s="55" t="str">
        <f>LEFT(D20,7)&amp;"SH"</f>
        <v>TER_TS_SH</v>
      </c>
      <c r="D20" s="100" t="str">
        <f>X17</f>
        <v>TER_TS_Ret12</v>
      </c>
      <c r="E20" s="101">
        <v>0</v>
      </c>
      <c r="F20" s="102">
        <v>0</v>
      </c>
      <c r="G20" s="101">
        <v>0</v>
      </c>
      <c r="H20" s="102">
        <v>0</v>
      </c>
      <c r="L20" s="115" t="s">
        <v>292</v>
      </c>
      <c r="M20" s="120">
        <v>0.3</v>
      </c>
      <c r="N20" s="121">
        <f>M20*'FILL Table'!$I$5</f>
        <v>3.0156126586367997E-4</v>
      </c>
      <c r="O20" s="121">
        <f>M20*'FILL Table'!J$5</f>
        <v>6.1526548472727298E-5</v>
      </c>
      <c r="P20" s="121">
        <f>M20*'FILL Table'!K$5</f>
        <v>2.7518329152E-4</v>
      </c>
      <c r="Q20" s="121">
        <f>M20*'FILL Table'!L$5</f>
        <v>2.6212072672800001E-4</v>
      </c>
      <c r="R20" s="122">
        <v>50</v>
      </c>
      <c r="S20" s="120"/>
      <c r="T20" s="121">
        <f>S20*'FILL Table'!$I$5</f>
        <v>0</v>
      </c>
      <c r="U20" s="122">
        <v>56</v>
      </c>
      <c r="V20" s="117"/>
      <c r="W20" s="94"/>
      <c r="X20" s="41" t="s">
        <v>299</v>
      </c>
      <c r="Y20" s="92" t="s">
        <v>76</v>
      </c>
      <c r="Z20" s="93"/>
      <c r="AA20" s="46"/>
      <c r="AB20" s="94"/>
      <c r="AC20" s="94"/>
      <c r="AD20" s="93"/>
      <c r="AE20" s="41"/>
    </row>
    <row r="21" spans="2:39" ht="15.6" thickBot="1" x14ac:dyDescent="0.3">
      <c r="B21" s="99" t="s">
        <v>60</v>
      </c>
      <c r="C21" s="55" t="str">
        <f t="shared" ref="C21:C22" si="4">LEFT(D21,7)&amp;"SH"</f>
        <v>TER_TS_SH</v>
      </c>
      <c r="D21" s="100" t="str">
        <f t="shared" ref="D21:D22" si="5">X18</f>
        <v>TER_TS_Ret22</v>
      </c>
      <c r="E21" s="101">
        <v>0</v>
      </c>
      <c r="F21" s="102">
        <v>0</v>
      </c>
      <c r="G21" s="101">
        <v>0</v>
      </c>
      <c r="H21" s="102">
        <v>0</v>
      </c>
      <c r="L21" s="112" t="s">
        <v>293</v>
      </c>
      <c r="M21" s="120">
        <v>0.3</v>
      </c>
      <c r="N21" s="121">
        <f>M21*'FILL Table'!$I$6</f>
        <v>3.6492453233646596E-4</v>
      </c>
      <c r="O21" s="121">
        <f>M21*'FILL Table'!J$6</f>
        <v>6.4316156220000002E-5</v>
      </c>
      <c r="P21" s="121">
        <f>M21*'FILL Table'!K$6</f>
        <v>3.3923128320000002E-4</v>
      </c>
      <c r="Q21" s="121">
        <f>M21*'FILL Table'!L$6</f>
        <v>3.1030845012E-4</v>
      </c>
      <c r="R21" s="121">
        <v>50</v>
      </c>
      <c r="S21" s="120"/>
      <c r="T21" s="121">
        <f>S21*'FILL Table'!$I$6</f>
        <v>0</v>
      </c>
      <c r="U21" s="122">
        <v>56</v>
      </c>
      <c r="V21" s="117"/>
      <c r="W21" s="94"/>
      <c r="X21" s="41"/>
      <c r="Y21" s="55"/>
      <c r="Z21" s="55"/>
      <c r="AA21" s="41"/>
      <c r="AB21" s="41"/>
      <c r="AC21" s="41"/>
      <c r="AD21" s="41"/>
      <c r="AE21" s="41"/>
    </row>
    <row r="22" spans="2:39" ht="15.6" x14ac:dyDescent="0.3">
      <c r="B22" s="106" t="s">
        <v>60</v>
      </c>
      <c r="C22" s="107" t="str">
        <f t="shared" si="4"/>
        <v>TER_TS_SH</v>
      </c>
      <c r="D22" s="108" t="str">
        <f t="shared" si="5"/>
        <v>TER_TS_Ret32</v>
      </c>
      <c r="E22" s="109">
        <v>0</v>
      </c>
      <c r="F22" s="110">
        <v>0</v>
      </c>
      <c r="G22" s="111">
        <v>0</v>
      </c>
      <c r="H22" s="110">
        <v>0</v>
      </c>
      <c r="L22" s="32" t="s">
        <v>366</v>
      </c>
      <c r="M22" s="36" t="s">
        <v>79</v>
      </c>
      <c r="N22" s="37"/>
      <c r="O22" s="37"/>
      <c r="P22" s="37"/>
      <c r="Q22" s="37"/>
      <c r="R22" s="38"/>
      <c r="S22" s="126" t="s">
        <v>80</v>
      </c>
      <c r="T22" s="37"/>
      <c r="U22" s="127"/>
      <c r="V22" s="117"/>
      <c r="W22" s="94"/>
      <c r="X22" s="41"/>
      <c r="Y22" s="55"/>
      <c r="Z22" s="55"/>
      <c r="AA22" s="41"/>
      <c r="AB22" s="41"/>
      <c r="AC22" s="41"/>
      <c r="AD22" s="41"/>
      <c r="AE22" s="41"/>
    </row>
    <row r="23" spans="2:39" ht="15" x14ac:dyDescent="0.25">
      <c r="L23" s="112"/>
      <c r="M23" s="116" t="s">
        <v>81</v>
      </c>
      <c r="N23" s="113" t="s">
        <v>81</v>
      </c>
      <c r="O23" s="113" t="s">
        <v>81</v>
      </c>
      <c r="P23" s="113" t="s">
        <v>81</v>
      </c>
      <c r="Q23" s="113" t="s">
        <v>81</v>
      </c>
      <c r="R23" s="122" t="s">
        <v>82</v>
      </c>
      <c r="S23" s="116" t="s">
        <v>81</v>
      </c>
      <c r="T23" s="113" t="s">
        <v>81</v>
      </c>
      <c r="U23" s="122" t="s">
        <v>82</v>
      </c>
      <c r="V23" s="117"/>
      <c r="W23" s="94"/>
      <c r="Y23" s="41"/>
      <c r="Z23" s="94"/>
      <c r="AD23" s="41"/>
      <c r="AE23" s="41"/>
      <c r="AF23" s="41"/>
      <c r="AG23" s="41"/>
    </row>
    <row r="24" spans="2:39" ht="15" x14ac:dyDescent="0.25">
      <c r="L24" s="115"/>
      <c r="M24" s="116" t="s">
        <v>85</v>
      </c>
      <c r="N24" s="117" t="s">
        <v>86</v>
      </c>
      <c r="O24" s="117"/>
      <c r="P24" s="117"/>
      <c r="Q24" s="117"/>
      <c r="R24" s="118" t="s">
        <v>83</v>
      </c>
      <c r="S24" s="116" t="s">
        <v>85</v>
      </c>
      <c r="T24" s="117" t="s">
        <v>86</v>
      </c>
      <c r="U24" s="118" t="s">
        <v>83</v>
      </c>
      <c r="V24" s="119"/>
      <c r="W24" s="94"/>
      <c r="Y24" s="41"/>
      <c r="Z24" s="94"/>
      <c r="AD24" s="41"/>
      <c r="AE24" s="41"/>
      <c r="AF24" s="41"/>
      <c r="AG24" s="41"/>
    </row>
    <row r="25" spans="2:39" ht="15" x14ac:dyDescent="0.25">
      <c r="L25" s="115" t="s">
        <v>294</v>
      </c>
      <c r="M25" s="120">
        <v>0.45</v>
      </c>
      <c r="N25" s="121">
        <f>M25*'FILL Table'!$I$5</f>
        <v>4.5234189879552004E-4</v>
      </c>
      <c r="O25" s="121">
        <f>M25*'FILL Table'!J$5</f>
        <v>9.2289822709090954E-5</v>
      </c>
      <c r="P25" s="121">
        <f>M25*'FILL Table'!K$5</f>
        <v>4.1277493728000001E-4</v>
      </c>
      <c r="Q25" s="121">
        <f>M25*'FILL Table'!L$5</f>
        <v>3.9318109009199998E-4</v>
      </c>
      <c r="R25" s="122">
        <v>85</v>
      </c>
      <c r="S25" s="120"/>
      <c r="T25" s="121">
        <f>S25*'FILL Table'!$I$5</f>
        <v>0</v>
      </c>
      <c r="U25" s="122">
        <v>175.76</v>
      </c>
      <c r="V25" s="117"/>
      <c r="W25" s="94"/>
      <c r="Y25" s="41"/>
      <c r="Z25" s="94"/>
      <c r="AD25" s="41"/>
      <c r="AE25" s="41"/>
      <c r="AF25" s="41"/>
      <c r="AG25" s="41"/>
    </row>
    <row r="26" spans="2:39" ht="15.6" thickBot="1" x14ac:dyDescent="0.3">
      <c r="L26" s="128" t="s">
        <v>295</v>
      </c>
      <c r="M26" s="129">
        <v>0.45</v>
      </c>
      <c r="N26" s="39">
        <f>M26*'FILL Table'!$I$6</f>
        <v>5.4738679850469896E-4</v>
      </c>
      <c r="O26" s="39">
        <f>M26*'FILL Table'!J$6</f>
        <v>9.6474234329999996E-5</v>
      </c>
      <c r="P26" s="39">
        <f>M26*'FILL Table'!K$6</f>
        <v>5.0884692480000001E-4</v>
      </c>
      <c r="Q26" s="39">
        <f>M26*'FILL Table'!L$6</f>
        <v>4.6546267518E-4</v>
      </c>
      <c r="R26" s="130">
        <v>85</v>
      </c>
      <c r="S26" s="129"/>
      <c r="T26" s="39">
        <f>S26*'FILL Table'!$I$6</f>
        <v>0</v>
      </c>
      <c r="U26" s="131">
        <v>175.76</v>
      </c>
      <c r="V26" s="117"/>
      <c r="Y26" s="41"/>
      <c r="Z26" s="94"/>
      <c r="AD26" s="41"/>
      <c r="AE26" s="41"/>
      <c r="AF26" s="41"/>
      <c r="AG26" s="41"/>
    </row>
    <row r="27" spans="2:39" ht="17.399999999999999" x14ac:dyDescent="0.3">
      <c r="B27" s="74" t="s">
        <v>62</v>
      </c>
      <c r="C27" s="74"/>
      <c r="D27" s="74"/>
      <c r="E27" s="74"/>
      <c r="F27" s="74"/>
      <c r="G27" s="74"/>
      <c r="H27" s="74"/>
      <c r="L27" s="132"/>
      <c r="U27" s="41"/>
      <c r="V27" s="41"/>
      <c r="Y27" s="41"/>
      <c r="Z27" s="94"/>
      <c r="AD27" s="41"/>
      <c r="AE27" s="41"/>
      <c r="AF27" s="41"/>
      <c r="AG27" s="41"/>
      <c r="AH27" s="41"/>
      <c r="AI27" s="41"/>
      <c r="AJ27" s="41"/>
      <c r="AK27" s="41"/>
      <c r="AL27" s="41"/>
    </row>
    <row r="28" spans="2:39" ht="13.8" x14ac:dyDescent="0.25">
      <c r="B28" s="91" t="s">
        <v>0</v>
      </c>
      <c r="C28" s="41"/>
      <c r="D28" s="41"/>
      <c r="L28" s="132"/>
      <c r="U28" s="41"/>
      <c r="V28" s="41"/>
      <c r="Y28" s="41"/>
      <c r="Z28" s="94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2:39" ht="13.8" x14ac:dyDescent="0.25">
      <c r="B29" s="31" t="s">
        <v>3</v>
      </c>
      <c r="C29" s="31" t="s">
        <v>59</v>
      </c>
      <c r="D29" s="31" t="s">
        <v>4</v>
      </c>
      <c r="E29" s="31" t="s">
        <v>87</v>
      </c>
      <c r="F29" s="31" t="s">
        <v>88</v>
      </c>
      <c r="G29" s="31" t="s">
        <v>89</v>
      </c>
      <c r="H29" s="31" t="s">
        <v>90</v>
      </c>
      <c r="L29" s="132"/>
      <c r="U29" s="41"/>
      <c r="Y29" s="41"/>
      <c r="AA29" s="41"/>
      <c r="AB29" s="94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</row>
    <row r="30" spans="2:39" ht="14.4" thickBot="1" x14ac:dyDescent="0.3">
      <c r="B30" s="96" t="s">
        <v>56</v>
      </c>
      <c r="C30" s="96"/>
      <c r="D30" s="96"/>
      <c r="E30" s="96" t="s">
        <v>78</v>
      </c>
      <c r="F30" s="96" t="s">
        <v>78</v>
      </c>
      <c r="G30" s="96" t="s">
        <v>78</v>
      </c>
      <c r="H30" s="96" t="s">
        <v>78</v>
      </c>
      <c r="L30" s="132"/>
      <c r="U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2:39" ht="13.8" x14ac:dyDescent="0.25">
      <c r="B31" s="55" t="s">
        <v>48</v>
      </c>
      <c r="C31" s="55" t="str">
        <f t="shared" ref="C31:C36" si="6">X8</f>
        <v>TER_TP_Ret11</v>
      </c>
      <c r="D31" s="55">
        <v>2018</v>
      </c>
      <c r="E31" s="133">
        <f>R15/1000</f>
        <v>3.5000000000000003E-2</v>
      </c>
      <c r="F31" s="133">
        <f>E31</f>
        <v>3.5000000000000003E-2</v>
      </c>
      <c r="G31" s="133">
        <f>F31</f>
        <v>3.5000000000000003E-2</v>
      </c>
      <c r="H31" s="133">
        <f>G31</f>
        <v>3.5000000000000003E-2</v>
      </c>
      <c r="L31" s="132"/>
      <c r="U31" s="41"/>
      <c r="Y31" s="41"/>
      <c r="Z31" s="94"/>
      <c r="AA31" s="41"/>
      <c r="AB31" s="55"/>
      <c r="AC31" s="55"/>
      <c r="AD31" s="41"/>
      <c r="AE31" s="41"/>
      <c r="AF31" s="41"/>
      <c r="AG31" s="41"/>
      <c r="AH31" s="41"/>
      <c r="AI31" s="41"/>
      <c r="AJ31" s="41"/>
      <c r="AK31" s="41"/>
      <c r="AL31" s="41"/>
      <c r="AM31" s="41"/>
    </row>
    <row r="32" spans="2:39" ht="13.8" x14ac:dyDescent="0.25">
      <c r="B32" s="55" t="s">
        <v>48</v>
      </c>
      <c r="C32" s="55" t="str">
        <f t="shared" si="6"/>
        <v>TER_TP_Ret21</v>
      </c>
      <c r="D32" s="55">
        <f>D31</f>
        <v>2018</v>
      </c>
      <c r="E32" s="133">
        <f>R20/1000</f>
        <v>0.05</v>
      </c>
      <c r="F32" s="133">
        <f t="shared" ref="F32:H42" si="7">E32</f>
        <v>0.05</v>
      </c>
      <c r="G32" s="133">
        <f t="shared" si="7"/>
        <v>0.05</v>
      </c>
      <c r="H32" s="133">
        <f t="shared" si="7"/>
        <v>0.05</v>
      </c>
      <c r="L32" s="132"/>
      <c r="Z32" s="94"/>
      <c r="AA32" s="41"/>
      <c r="AB32" s="55"/>
      <c r="AC32" s="55"/>
      <c r="AD32" s="41"/>
      <c r="AE32" s="41"/>
      <c r="AF32" s="41"/>
      <c r="AG32" s="41"/>
      <c r="AH32" s="41"/>
      <c r="AI32" s="41"/>
      <c r="AJ32" s="41"/>
      <c r="AK32" s="41"/>
      <c r="AL32" s="41"/>
      <c r="AM32" s="41"/>
    </row>
    <row r="33" spans="2:49" ht="17.399999999999999" x14ac:dyDescent="0.3">
      <c r="B33" s="107" t="s">
        <v>48</v>
      </c>
      <c r="C33" s="107" t="str">
        <f t="shared" si="6"/>
        <v>TER_TP_Ret31</v>
      </c>
      <c r="D33" s="107">
        <f t="shared" ref="D33:D42" si="8">D32</f>
        <v>2018</v>
      </c>
      <c r="E33" s="134">
        <f>R25/1000</f>
        <v>8.5000000000000006E-2</v>
      </c>
      <c r="F33" s="134">
        <f t="shared" si="7"/>
        <v>8.5000000000000006E-2</v>
      </c>
      <c r="G33" s="134">
        <f t="shared" si="7"/>
        <v>8.5000000000000006E-2</v>
      </c>
      <c r="H33" s="134">
        <f t="shared" si="7"/>
        <v>8.5000000000000006E-2</v>
      </c>
      <c r="X33" s="41"/>
      <c r="Y33" s="41"/>
      <c r="Z33" s="74" t="s">
        <v>354</v>
      </c>
      <c r="AA33" s="74"/>
      <c r="AB33" s="74"/>
      <c r="AC33" s="74"/>
      <c r="AD33" s="74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</row>
    <row r="34" spans="2:49" ht="13.8" x14ac:dyDescent="0.25">
      <c r="B34" s="55" t="s">
        <v>48</v>
      </c>
      <c r="C34" s="55" t="str">
        <f t="shared" si="6"/>
        <v>TER_TP_Ret12</v>
      </c>
      <c r="D34" s="55">
        <f t="shared" si="8"/>
        <v>2018</v>
      </c>
      <c r="E34" s="133">
        <f>+E31*5</f>
        <v>0.17500000000000002</v>
      </c>
      <c r="F34" s="133">
        <f t="shared" si="7"/>
        <v>0.17500000000000002</v>
      </c>
      <c r="G34" s="133">
        <f t="shared" si="7"/>
        <v>0.17500000000000002</v>
      </c>
      <c r="H34" s="133">
        <f t="shared" si="7"/>
        <v>0.17500000000000002</v>
      </c>
      <c r="X34" s="41"/>
      <c r="Y34" s="41"/>
      <c r="Z34" s="31"/>
      <c r="AA34" s="31" t="s">
        <v>87</v>
      </c>
      <c r="AB34" s="31" t="s">
        <v>88</v>
      </c>
      <c r="AC34" s="31" t="s">
        <v>89</v>
      </c>
      <c r="AD34" s="31" t="s">
        <v>90</v>
      </c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</row>
    <row r="35" spans="2:49" ht="14.4" x14ac:dyDescent="0.25">
      <c r="B35" s="55" t="s">
        <v>48</v>
      </c>
      <c r="C35" s="55" t="str">
        <f t="shared" si="6"/>
        <v>TER_TP_Ret22</v>
      </c>
      <c r="D35" s="55">
        <f t="shared" si="8"/>
        <v>2018</v>
      </c>
      <c r="E35" s="133">
        <f>E32*5</f>
        <v>0.25</v>
      </c>
      <c r="F35" s="133">
        <f t="shared" si="7"/>
        <v>0.25</v>
      </c>
      <c r="G35" s="133">
        <f t="shared" si="7"/>
        <v>0.25</v>
      </c>
      <c r="H35" s="133">
        <f t="shared" si="7"/>
        <v>0.25</v>
      </c>
      <c r="I35" s="75" t="s">
        <v>63</v>
      </c>
      <c r="X35" s="41"/>
      <c r="Y35" s="135" t="s">
        <v>324</v>
      </c>
      <c r="Z35" s="135" t="s">
        <v>338</v>
      </c>
      <c r="AA35" s="136">
        <f>AC65</f>
        <v>45000</v>
      </c>
      <c r="AB35" s="136">
        <f t="shared" ref="AB35:AD35" si="9">AD65</f>
        <v>22000</v>
      </c>
      <c r="AC35" s="136">
        <f t="shared" si="9"/>
        <v>7500</v>
      </c>
      <c r="AD35" s="136">
        <f t="shared" si="9"/>
        <v>40000</v>
      </c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2:49" ht="14.4" x14ac:dyDescent="0.25">
      <c r="B36" s="107" t="s">
        <v>48</v>
      </c>
      <c r="C36" s="107" t="str">
        <f t="shared" si="6"/>
        <v>TER_TP_Ret32</v>
      </c>
      <c r="D36" s="107">
        <f t="shared" si="8"/>
        <v>2018</v>
      </c>
      <c r="E36" s="134">
        <f>E33*5</f>
        <v>0.42500000000000004</v>
      </c>
      <c r="F36" s="134">
        <f t="shared" si="7"/>
        <v>0.42500000000000004</v>
      </c>
      <c r="G36" s="134">
        <f t="shared" si="7"/>
        <v>0.42500000000000004</v>
      </c>
      <c r="H36" s="134">
        <f t="shared" si="7"/>
        <v>0.42500000000000004</v>
      </c>
      <c r="V36" s="41"/>
      <c r="W36" s="41"/>
      <c r="X36" s="41"/>
      <c r="Y36" s="135" t="s">
        <v>325</v>
      </c>
      <c r="Z36" s="135" t="s">
        <v>339</v>
      </c>
      <c r="AA36" s="136">
        <f>AC66</f>
        <v>55000</v>
      </c>
      <c r="AB36" s="136">
        <f t="shared" ref="AB36:AD36" si="10">AD66</f>
        <v>28000</v>
      </c>
      <c r="AC36" s="136">
        <f t="shared" si="10"/>
        <v>9000</v>
      </c>
      <c r="AD36" s="136">
        <f t="shared" si="10"/>
        <v>50000</v>
      </c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2:49" ht="13.8" x14ac:dyDescent="0.25">
      <c r="B37" s="55" t="s">
        <v>48</v>
      </c>
      <c r="C37" s="55" t="str">
        <f t="shared" ref="C37:C42" si="11">X14</f>
        <v>TER_TS_Ret11</v>
      </c>
      <c r="D37" s="55">
        <f t="shared" si="8"/>
        <v>2018</v>
      </c>
      <c r="E37" s="133">
        <f t="shared" ref="E37:E42" si="12">E31</f>
        <v>3.5000000000000003E-2</v>
      </c>
      <c r="F37" s="133">
        <f t="shared" si="7"/>
        <v>3.5000000000000003E-2</v>
      </c>
      <c r="G37" s="133">
        <f t="shared" si="7"/>
        <v>3.5000000000000003E-2</v>
      </c>
      <c r="H37" s="133">
        <f t="shared" si="7"/>
        <v>3.5000000000000003E-2</v>
      </c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2:49" ht="13.8" x14ac:dyDescent="0.25">
      <c r="B38" s="55" t="s">
        <v>48</v>
      </c>
      <c r="C38" s="55" t="str">
        <f t="shared" si="11"/>
        <v>TER_TS_Ret21</v>
      </c>
      <c r="D38" s="55">
        <f t="shared" si="8"/>
        <v>2018</v>
      </c>
      <c r="E38" s="133">
        <f t="shared" si="12"/>
        <v>0.05</v>
      </c>
      <c r="F38" s="133">
        <f t="shared" si="7"/>
        <v>0.05</v>
      </c>
      <c r="G38" s="133">
        <f t="shared" si="7"/>
        <v>0.05</v>
      </c>
      <c r="H38" s="133">
        <f t="shared" si="7"/>
        <v>0.05</v>
      </c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</row>
    <row r="39" spans="2:49" ht="13.8" x14ac:dyDescent="0.25">
      <c r="B39" s="107" t="s">
        <v>48</v>
      </c>
      <c r="C39" s="107" t="str">
        <f t="shared" si="11"/>
        <v>TER_TS_Ret31</v>
      </c>
      <c r="D39" s="107">
        <f t="shared" si="8"/>
        <v>2018</v>
      </c>
      <c r="E39" s="134">
        <f t="shared" si="12"/>
        <v>8.5000000000000006E-2</v>
      </c>
      <c r="F39" s="134">
        <f t="shared" si="7"/>
        <v>8.5000000000000006E-2</v>
      </c>
      <c r="G39" s="134">
        <f t="shared" si="7"/>
        <v>8.5000000000000006E-2</v>
      </c>
      <c r="H39" s="134">
        <f t="shared" si="7"/>
        <v>8.5000000000000006E-2</v>
      </c>
      <c r="V39" s="123"/>
      <c r="W39" s="123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</row>
    <row r="40" spans="2:49" ht="13.8" x14ac:dyDescent="0.25">
      <c r="B40" s="55" t="s">
        <v>48</v>
      </c>
      <c r="C40" s="55" t="str">
        <f t="shared" si="11"/>
        <v>TER_TS_Ret12</v>
      </c>
      <c r="D40" s="55">
        <f t="shared" si="8"/>
        <v>2018</v>
      </c>
      <c r="E40" s="133">
        <f t="shared" si="12"/>
        <v>0.17500000000000002</v>
      </c>
      <c r="F40" s="133">
        <f t="shared" si="7"/>
        <v>0.17500000000000002</v>
      </c>
      <c r="G40" s="133">
        <f t="shared" si="7"/>
        <v>0.17500000000000002</v>
      </c>
      <c r="H40" s="133">
        <f t="shared" si="7"/>
        <v>0.17500000000000002</v>
      </c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</row>
    <row r="41" spans="2:49" ht="17.399999999999999" x14ac:dyDescent="0.3">
      <c r="B41" s="55" t="s">
        <v>48</v>
      </c>
      <c r="C41" s="55" t="str">
        <f t="shared" si="11"/>
        <v>TER_TS_Ret22</v>
      </c>
      <c r="D41" s="55">
        <f t="shared" si="8"/>
        <v>2018</v>
      </c>
      <c r="E41" s="133">
        <f t="shared" si="12"/>
        <v>0.25</v>
      </c>
      <c r="F41" s="133">
        <f t="shared" si="7"/>
        <v>0.25</v>
      </c>
      <c r="G41" s="133">
        <f t="shared" si="7"/>
        <v>0.25</v>
      </c>
      <c r="H41" s="133">
        <f t="shared" si="7"/>
        <v>0.25</v>
      </c>
      <c r="X41" s="74" t="s">
        <v>57</v>
      </c>
      <c r="Y41" s="74"/>
      <c r="Z41" s="74"/>
      <c r="AA41" s="74"/>
      <c r="AB41" s="74"/>
      <c r="AC41" s="74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</row>
    <row r="42" spans="2:49" ht="13.8" x14ac:dyDescent="0.25">
      <c r="B42" s="107" t="s">
        <v>48</v>
      </c>
      <c r="C42" s="107" t="str">
        <f t="shared" si="11"/>
        <v>TER_TS_Ret32</v>
      </c>
      <c r="D42" s="107">
        <f t="shared" si="8"/>
        <v>2018</v>
      </c>
      <c r="E42" s="133">
        <f t="shared" si="12"/>
        <v>0.42500000000000004</v>
      </c>
      <c r="F42" s="133">
        <f t="shared" si="7"/>
        <v>0.42500000000000004</v>
      </c>
      <c r="G42" s="133">
        <f t="shared" si="7"/>
        <v>0.42500000000000004</v>
      </c>
      <c r="H42" s="133">
        <f t="shared" si="7"/>
        <v>0.42500000000000004</v>
      </c>
      <c r="V42" s="123"/>
      <c r="W42" s="123"/>
      <c r="X42" s="91" t="s">
        <v>0</v>
      </c>
      <c r="Y42" s="41"/>
      <c r="Z42" s="41"/>
      <c r="AB42" s="54"/>
      <c r="AC42" s="41"/>
      <c r="AJ42" s="41"/>
      <c r="AK42" s="41"/>
      <c r="AL42" s="41"/>
      <c r="AM42" s="41"/>
      <c r="AN42" s="41"/>
      <c r="AO42" s="41"/>
      <c r="AP42" s="41"/>
      <c r="AQ42" s="41"/>
    </row>
    <row r="43" spans="2:49" ht="14.4" thickBot="1" x14ac:dyDescent="0.3">
      <c r="B43" s="96" t="s">
        <v>56</v>
      </c>
      <c r="C43" s="96"/>
      <c r="D43" s="96"/>
      <c r="E43" s="96" t="s">
        <v>65</v>
      </c>
      <c r="F43" s="96" t="s">
        <v>65</v>
      </c>
      <c r="G43" s="96" t="s">
        <v>65</v>
      </c>
      <c r="H43" s="96" t="s">
        <v>65</v>
      </c>
      <c r="L43" s="41"/>
      <c r="M43" s="41"/>
      <c r="N43" s="41"/>
      <c r="O43" s="41"/>
      <c r="P43" s="41"/>
      <c r="Q43" s="41"/>
      <c r="R43" s="41"/>
      <c r="S43" s="41"/>
      <c r="T43" s="41"/>
      <c r="U43" s="41"/>
      <c r="X43" s="31" t="s">
        <v>3</v>
      </c>
      <c r="Y43" s="31" t="s">
        <v>2</v>
      </c>
      <c r="Z43" s="31" t="s">
        <v>59</v>
      </c>
      <c r="AA43" s="31" t="s">
        <v>58</v>
      </c>
      <c r="AB43" s="137" t="s">
        <v>47</v>
      </c>
      <c r="AC43" s="31" t="s">
        <v>87</v>
      </c>
      <c r="AD43" s="31" t="s">
        <v>88</v>
      </c>
      <c r="AE43" s="31" t="s">
        <v>89</v>
      </c>
      <c r="AF43" s="31" t="s">
        <v>90</v>
      </c>
      <c r="AJ43" s="41"/>
      <c r="AK43" s="41"/>
      <c r="AL43" s="41"/>
      <c r="AM43" s="41"/>
      <c r="AN43" s="41"/>
      <c r="AO43" s="41"/>
      <c r="AP43" s="41"/>
      <c r="AQ43" s="41"/>
    </row>
    <row r="44" spans="2:49" ht="14.4" thickBot="1" x14ac:dyDescent="0.3">
      <c r="B44" s="55" t="s">
        <v>66</v>
      </c>
      <c r="C44" s="55" t="s">
        <v>296</v>
      </c>
      <c r="D44" s="55"/>
      <c r="E44" s="55">
        <v>40</v>
      </c>
      <c r="F44" s="55">
        <v>40</v>
      </c>
      <c r="G44" s="55">
        <v>40</v>
      </c>
      <c r="H44" s="55">
        <v>40</v>
      </c>
      <c r="X44" s="96" t="s">
        <v>31</v>
      </c>
      <c r="Y44" s="96"/>
      <c r="Z44" s="96"/>
      <c r="AA44" s="96"/>
      <c r="AB44" s="97"/>
      <c r="AC44" s="96">
        <v>3</v>
      </c>
      <c r="AD44" s="96">
        <v>4</v>
      </c>
      <c r="AE44" s="96">
        <v>5</v>
      </c>
      <c r="AF44" s="96">
        <v>6</v>
      </c>
      <c r="AJ44" s="41"/>
      <c r="AK44" s="41"/>
      <c r="AL44" s="41"/>
      <c r="AM44" s="41"/>
      <c r="AN44" s="41"/>
      <c r="AO44" s="41"/>
      <c r="AP44" s="41"/>
      <c r="AQ44" s="41"/>
    </row>
    <row r="45" spans="2:49" ht="14.4" thickBot="1" x14ac:dyDescent="0.3">
      <c r="B45" s="55" t="s">
        <v>66</v>
      </c>
      <c r="C45" s="55" t="s">
        <v>297</v>
      </c>
      <c r="D45" s="55"/>
      <c r="E45" s="55">
        <v>40</v>
      </c>
      <c r="F45" s="55">
        <v>40</v>
      </c>
      <c r="G45" s="55">
        <v>40</v>
      </c>
      <c r="H45" s="55">
        <v>40</v>
      </c>
      <c r="V45" s="123"/>
      <c r="W45" s="123"/>
      <c r="X45" s="96" t="s">
        <v>56</v>
      </c>
      <c r="Y45" s="96"/>
      <c r="Z45" s="96"/>
      <c r="AA45" s="96"/>
      <c r="AB45" s="138"/>
      <c r="AC45" s="98" t="s">
        <v>75</v>
      </c>
      <c r="AD45" s="98" t="s">
        <v>75</v>
      </c>
      <c r="AE45" s="98" t="s">
        <v>75</v>
      </c>
      <c r="AF45" s="98" t="s">
        <v>75</v>
      </c>
      <c r="AJ45" s="41"/>
      <c r="AK45" s="41"/>
      <c r="AL45" s="41"/>
      <c r="AM45" s="41"/>
      <c r="AN45" s="41"/>
      <c r="AO45" s="41"/>
      <c r="AP45" s="41"/>
      <c r="AQ45" s="41"/>
    </row>
    <row r="46" spans="2:49" ht="14.4" x14ac:dyDescent="0.25">
      <c r="B46" s="107" t="s">
        <v>66</v>
      </c>
      <c r="C46" s="107" t="s">
        <v>298</v>
      </c>
      <c r="D46" s="107"/>
      <c r="E46" s="107">
        <v>40</v>
      </c>
      <c r="F46" s="107">
        <v>40</v>
      </c>
      <c r="G46" s="107">
        <v>40</v>
      </c>
      <c r="H46" s="107">
        <v>40</v>
      </c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X46" s="139" t="s">
        <v>31</v>
      </c>
      <c r="Y46" s="139" t="s">
        <v>61</v>
      </c>
      <c r="Z46" s="77" t="str">
        <f>X20</f>
        <v>Dum_TER_Retrofit</v>
      </c>
      <c r="AA46" s="77" t="str">
        <f t="shared" ref="AA46:AA57" si="13">AB8</f>
        <v>DumTER_TP_Ret11</v>
      </c>
      <c r="AB46" s="100">
        <f>BASE_YEAR+1</f>
        <v>2018</v>
      </c>
      <c r="AC46" s="140">
        <f t="shared" ref="AC46:AC57" si="14">VLOOKUP(LEFT(RIGHT($AA46,8),2),$Y$35:$AA$36,AC$44,FALSE)</f>
        <v>45000</v>
      </c>
      <c r="AD46" s="140">
        <f>VLOOKUP(LEFT(RIGHT($AA46,8),2),$Y$35:$AD$36,AD$44,FALSE)</f>
        <v>22000</v>
      </c>
      <c r="AE46" s="140">
        <f>VLOOKUP(LEFT(RIGHT($AA46,8),2),$Y$35:$AD$36,AE$44,FALSE)</f>
        <v>7500</v>
      </c>
      <c r="AF46" s="140">
        <f>VLOOKUP(LEFT(RIGHT($AA46,8),2),$Y$35:$AD$36,AF$44,FALSE)</f>
        <v>40000</v>
      </c>
      <c r="AJ46" s="41"/>
      <c r="AK46" s="41"/>
      <c r="AL46" s="41"/>
      <c r="AM46" s="41"/>
      <c r="AN46" s="41"/>
      <c r="AO46" s="41"/>
      <c r="AP46" s="41"/>
      <c r="AQ46" s="41"/>
    </row>
    <row r="47" spans="2:49" ht="14.4" x14ac:dyDescent="0.25">
      <c r="X47" s="139" t="s">
        <v>31</v>
      </c>
      <c r="Y47" s="141" t="str">
        <f t="shared" ref="Y47:Y57" si="15">Y46</f>
        <v>UP</v>
      </c>
      <c r="Z47" s="77" t="str">
        <f t="shared" ref="Z47:Z57" si="16">Z46</f>
        <v>Dum_TER_Retrofit</v>
      </c>
      <c r="AA47" s="77" t="str">
        <f t="shared" si="13"/>
        <v>DumTER_TP_Ret21</v>
      </c>
      <c r="AB47" s="100">
        <f>BASE_YEAR+1</f>
        <v>2018</v>
      </c>
      <c r="AC47" s="140">
        <f t="shared" si="14"/>
        <v>45000</v>
      </c>
      <c r="AD47" s="140">
        <f t="shared" ref="AD47:AF57" si="17">VLOOKUP(LEFT(RIGHT($AA47,8),2),$Y$35:$AD$36,AD$44,FALSE)</f>
        <v>22000</v>
      </c>
      <c r="AE47" s="140">
        <f t="shared" si="17"/>
        <v>7500</v>
      </c>
      <c r="AF47" s="140">
        <f t="shared" si="17"/>
        <v>40000</v>
      </c>
      <c r="AJ47" s="41"/>
      <c r="AK47" s="41"/>
      <c r="AL47" s="41"/>
      <c r="AM47" s="41"/>
      <c r="AN47" s="41"/>
      <c r="AO47" s="41"/>
      <c r="AP47" s="41"/>
      <c r="AQ47" s="41"/>
    </row>
    <row r="48" spans="2:49" ht="14.4" x14ac:dyDescent="0.25">
      <c r="X48" s="139" t="s">
        <v>31</v>
      </c>
      <c r="Y48" s="141" t="str">
        <f t="shared" si="15"/>
        <v>UP</v>
      </c>
      <c r="Z48" s="77" t="str">
        <f t="shared" si="16"/>
        <v>Dum_TER_Retrofit</v>
      </c>
      <c r="AA48" s="77" t="str">
        <f t="shared" si="13"/>
        <v>DumTER_TP_Ret31</v>
      </c>
      <c r="AB48" s="100">
        <f>BASE_YEAR+1</f>
        <v>2018</v>
      </c>
      <c r="AC48" s="140">
        <f t="shared" si="14"/>
        <v>45000</v>
      </c>
      <c r="AD48" s="140">
        <f t="shared" si="17"/>
        <v>22000</v>
      </c>
      <c r="AE48" s="140">
        <f t="shared" si="17"/>
        <v>7500</v>
      </c>
      <c r="AF48" s="140">
        <f t="shared" si="17"/>
        <v>40000</v>
      </c>
      <c r="AJ48" s="41"/>
      <c r="AK48" s="41"/>
      <c r="AL48" s="41"/>
      <c r="AM48" s="41"/>
      <c r="AN48" s="41"/>
      <c r="AO48" s="41"/>
      <c r="AP48" s="41"/>
      <c r="AQ48" s="41"/>
    </row>
    <row r="49" spans="12:46" ht="14.4" x14ac:dyDescent="0.25"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X49" s="139" t="s">
        <v>31</v>
      </c>
      <c r="Y49" s="141" t="str">
        <f t="shared" si="15"/>
        <v>UP</v>
      </c>
      <c r="Z49" s="77" t="str">
        <f t="shared" si="16"/>
        <v>Dum_TER_Retrofit</v>
      </c>
      <c r="AA49" s="77" t="str">
        <f t="shared" si="13"/>
        <v>DumTER_TP_Ret12</v>
      </c>
      <c r="AB49" s="100">
        <f t="shared" ref="AB49:AB57" si="18">BASE_YEAR+1</f>
        <v>2018</v>
      </c>
      <c r="AC49" s="140">
        <f t="shared" si="14"/>
        <v>45000</v>
      </c>
      <c r="AD49" s="140">
        <f t="shared" si="17"/>
        <v>22000</v>
      </c>
      <c r="AE49" s="140">
        <f t="shared" si="17"/>
        <v>7500</v>
      </c>
      <c r="AF49" s="140">
        <f t="shared" si="17"/>
        <v>40000</v>
      </c>
      <c r="AJ49" s="41"/>
      <c r="AK49" s="41"/>
      <c r="AL49" s="41"/>
      <c r="AM49" s="41"/>
      <c r="AN49" s="41"/>
      <c r="AO49" s="41"/>
      <c r="AP49" s="41"/>
    </row>
    <row r="50" spans="12:46" ht="14.4" x14ac:dyDescent="0.25">
      <c r="X50" s="139" t="s">
        <v>31</v>
      </c>
      <c r="Y50" s="141" t="str">
        <f t="shared" si="15"/>
        <v>UP</v>
      </c>
      <c r="Z50" s="77" t="str">
        <f t="shared" si="16"/>
        <v>Dum_TER_Retrofit</v>
      </c>
      <c r="AA50" s="77" t="str">
        <f t="shared" si="13"/>
        <v>DumTER_TP_Ret22</v>
      </c>
      <c r="AB50" s="100">
        <f t="shared" si="18"/>
        <v>2018</v>
      </c>
      <c r="AC50" s="140">
        <f t="shared" si="14"/>
        <v>45000</v>
      </c>
      <c r="AD50" s="140">
        <f t="shared" si="17"/>
        <v>22000</v>
      </c>
      <c r="AE50" s="140">
        <f t="shared" si="17"/>
        <v>7500</v>
      </c>
      <c r="AF50" s="140">
        <f t="shared" si="17"/>
        <v>40000</v>
      </c>
      <c r="AJ50" s="41"/>
      <c r="AK50" s="41"/>
      <c r="AL50" s="41"/>
      <c r="AM50" s="41"/>
      <c r="AN50" s="41"/>
      <c r="AO50" s="41"/>
      <c r="AP50" s="41"/>
      <c r="AQ50" s="41"/>
      <c r="AR50" s="41"/>
      <c r="AS50" s="41"/>
    </row>
    <row r="51" spans="12:46" ht="14.4" x14ac:dyDescent="0.25">
      <c r="X51" s="139" t="s">
        <v>31</v>
      </c>
      <c r="Y51" s="141" t="str">
        <f t="shared" si="15"/>
        <v>UP</v>
      </c>
      <c r="Z51" s="77" t="str">
        <f t="shared" si="16"/>
        <v>Dum_TER_Retrofit</v>
      </c>
      <c r="AA51" s="77" t="str">
        <f t="shared" si="13"/>
        <v>DumTER_TP_Ret32</v>
      </c>
      <c r="AB51" s="100">
        <f t="shared" si="18"/>
        <v>2018</v>
      </c>
      <c r="AC51" s="140">
        <f t="shared" si="14"/>
        <v>45000</v>
      </c>
      <c r="AD51" s="140">
        <f t="shared" si="17"/>
        <v>22000</v>
      </c>
      <c r="AE51" s="140">
        <f t="shared" si="17"/>
        <v>7500</v>
      </c>
      <c r="AF51" s="140">
        <f t="shared" si="17"/>
        <v>40000</v>
      </c>
      <c r="AJ51" s="41"/>
      <c r="AK51" s="41"/>
      <c r="AL51" s="41"/>
      <c r="AM51" s="41"/>
      <c r="AN51" s="41"/>
      <c r="AO51" s="41"/>
      <c r="AP51" s="41"/>
      <c r="AQ51" s="41"/>
      <c r="AR51" s="41"/>
      <c r="AS51" s="41"/>
    </row>
    <row r="52" spans="12:46" ht="14.4" x14ac:dyDescent="0.25"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X52" s="139" t="s">
        <v>31</v>
      </c>
      <c r="Y52" s="141" t="str">
        <f t="shared" si="15"/>
        <v>UP</v>
      </c>
      <c r="Z52" s="77" t="str">
        <f t="shared" si="16"/>
        <v>Dum_TER_Retrofit</v>
      </c>
      <c r="AA52" s="77" t="str">
        <f t="shared" si="13"/>
        <v>DumTER_TS_Ret11</v>
      </c>
      <c r="AB52" s="100">
        <f t="shared" si="18"/>
        <v>2018</v>
      </c>
      <c r="AC52" s="140">
        <f t="shared" si="14"/>
        <v>55000</v>
      </c>
      <c r="AD52" s="140">
        <f t="shared" si="17"/>
        <v>28000</v>
      </c>
      <c r="AE52" s="140">
        <f t="shared" si="17"/>
        <v>9000</v>
      </c>
      <c r="AF52" s="140">
        <f t="shared" si="17"/>
        <v>50000</v>
      </c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</row>
    <row r="53" spans="12:46" ht="14.4" x14ac:dyDescent="0.25">
      <c r="X53" s="139" t="s">
        <v>31</v>
      </c>
      <c r="Y53" s="141" t="str">
        <f t="shared" si="15"/>
        <v>UP</v>
      </c>
      <c r="Z53" s="77" t="str">
        <f t="shared" si="16"/>
        <v>Dum_TER_Retrofit</v>
      </c>
      <c r="AA53" s="77" t="str">
        <f t="shared" si="13"/>
        <v>DumTER_TS_Ret21</v>
      </c>
      <c r="AB53" s="100">
        <f t="shared" si="18"/>
        <v>2018</v>
      </c>
      <c r="AC53" s="140">
        <f t="shared" si="14"/>
        <v>55000</v>
      </c>
      <c r="AD53" s="140">
        <f t="shared" si="17"/>
        <v>28000</v>
      </c>
      <c r="AE53" s="140">
        <f t="shared" si="17"/>
        <v>9000</v>
      </c>
      <c r="AF53" s="140">
        <f t="shared" si="17"/>
        <v>50000</v>
      </c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</row>
    <row r="54" spans="12:46" ht="14.4" x14ac:dyDescent="0.25">
      <c r="X54" s="139" t="s">
        <v>31</v>
      </c>
      <c r="Y54" s="141" t="str">
        <f t="shared" si="15"/>
        <v>UP</v>
      </c>
      <c r="Z54" s="77" t="str">
        <f t="shared" si="16"/>
        <v>Dum_TER_Retrofit</v>
      </c>
      <c r="AA54" s="77" t="str">
        <f t="shared" si="13"/>
        <v>DumTER_TS_Ret31</v>
      </c>
      <c r="AB54" s="100">
        <f t="shared" si="18"/>
        <v>2018</v>
      </c>
      <c r="AC54" s="140">
        <f t="shared" si="14"/>
        <v>55000</v>
      </c>
      <c r="AD54" s="140">
        <f t="shared" si="17"/>
        <v>28000</v>
      </c>
      <c r="AE54" s="140">
        <f t="shared" si="17"/>
        <v>9000</v>
      </c>
      <c r="AF54" s="140">
        <f t="shared" si="17"/>
        <v>50000</v>
      </c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</row>
    <row r="55" spans="12:46" ht="14.4" x14ac:dyDescent="0.25">
      <c r="X55" s="139" t="s">
        <v>31</v>
      </c>
      <c r="Y55" s="141" t="str">
        <f t="shared" si="15"/>
        <v>UP</v>
      </c>
      <c r="Z55" s="77" t="str">
        <f t="shared" si="16"/>
        <v>Dum_TER_Retrofit</v>
      </c>
      <c r="AA55" s="77" t="str">
        <f t="shared" si="13"/>
        <v>DumTER_TS_Ret12</v>
      </c>
      <c r="AB55" s="100">
        <f t="shared" si="18"/>
        <v>2018</v>
      </c>
      <c r="AC55" s="140">
        <f t="shared" si="14"/>
        <v>55000</v>
      </c>
      <c r="AD55" s="140">
        <f t="shared" si="17"/>
        <v>28000</v>
      </c>
      <c r="AE55" s="140">
        <f t="shared" si="17"/>
        <v>9000</v>
      </c>
      <c r="AF55" s="140">
        <f t="shared" si="17"/>
        <v>50000</v>
      </c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</row>
    <row r="56" spans="12:46" ht="14.4" x14ac:dyDescent="0.25">
      <c r="X56" s="139" t="s">
        <v>31</v>
      </c>
      <c r="Y56" s="141" t="str">
        <f t="shared" si="15"/>
        <v>UP</v>
      </c>
      <c r="Z56" s="77" t="str">
        <f t="shared" si="16"/>
        <v>Dum_TER_Retrofit</v>
      </c>
      <c r="AA56" s="77" t="str">
        <f t="shared" si="13"/>
        <v>DumTER_TS_Ret22</v>
      </c>
      <c r="AB56" s="100">
        <f t="shared" si="18"/>
        <v>2018</v>
      </c>
      <c r="AC56" s="140">
        <f t="shared" si="14"/>
        <v>55000</v>
      </c>
      <c r="AD56" s="140">
        <f t="shared" si="17"/>
        <v>28000</v>
      </c>
      <c r="AE56" s="140">
        <f t="shared" si="17"/>
        <v>9000</v>
      </c>
      <c r="AF56" s="140">
        <f t="shared" si="17"/>
        <v>50000</v>
      </c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</row>
    <row r="57" spans="12:46" ht="14.4" x14ac:dyDescent="0.25">
      <c r="X57" s="139" t="s">
        <v>31</v>
      </c>
      <c r="Y57" s="141" t="str">
        <f t="shared" si="15"/>
        <v>UP</v>
      </c>
      <c r="Z57" s="77" t="str">
        <f t="shared" si="16"/>
        <v>Dum_TER_Retrofit</v>
      </c>
      <c r="AA57" s="77" t="str">
        <f t="shared" si="13"/>
        <v>DumTER_TS_Ret32</v>
      </c>
      <c r="AB57" s="100">
        <f t="shared" si="18"/>
        <v>2018</v>
      </c>
      <c r="AC57" s="140">
        <f t="shared" si="14"/>
        <v>55000</v>
      </c>
      <c r="AD57" s="140">
        <f t="shared" si="17"/>
        <v>28000</v>
      </c>
      <c r="AE57" s="140">
        <f t="shared" si="17"/>
        <v>9000</v>
      </c>
      <c r="AF57" s="140">
        <f t="shared" si="17"/>
        <v>50000</v>
      </c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</row>
    <row r="58" spans="12:46" ht="13.8" x14ac:dyDescent="0.25">
      <c r="X58" s="41"/>
      <c r="Y58" s="41"/>
      <c r="Z58" s="41"/>
      <c r="AA58" s="55"/>
      <c r="AB58" s="55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</row>
    <row r="59" spans="12:46" ht="13.8" x14ac:dyDescent="0.25">
      <c r="X59" s="41"/>
      <c r="Y59" s="41"/>
      <c r="Z59" s="41"/>
      <c r="AA59" s="55"/>
      <c r="AB59" s="55"/>
      <c r="AC59" s="41"/>
      <c r="AD59" s="41"/>
      <c r="AE59" s="41"/>
      <c r="AM59" s="41"/>
      <c r="AN59" s="41"/>
      <c r="AO59" s="41"/>
      <c r="AP59" s="41"/>
      <c r="AQ59" s="41"/>
      <c r="AR59" s="41"/>
      <c r="AS59" s="41"/>
    </row>
    <row r="60" spans="12:46" ht="13.8" x14ac:dyDescent="0.25">
      <c r="X60" s="41"/>
      <c r="Y60" s="41"/>
      <c r="Z60" s="41"/>
      <c r="AA60" s="55"/>
      <c r="AB60" s="55"/>
      <c r="AC60" s="41"/>
      <c r="AD60" s="41"/>
      <c r="AE60" s="41"/>
    </row>
    <row r="61" spans="12:46" ht="13.8" x14ac:dyDescent="0.25">
      <c r="X61" s="41"/>
      <c r="Y61" s="41"/>
      <c r="Z61" s="94"/>
      <c r="AA61" s="41"/>
      <c r="AB61" s="55"/>
      <c r="AC61" s="55"/>
      <c r="AD61" s="41"/>
      <c r="AE61" s="41"/>
    </row>
    <row r="62" spans="12:46" ht="13.8" x14ac:dyDescent="0.25">
      <c r="X62" s="41"/>
      <c r="Y62" s="41"/>
      <c r="Z62" s="94"/>
      <c r="AA62" s="41"/>
      <c r="AB62" s="55"/>
      <c r="AC62" s="55"/>
      <c r="AD62" s="41"/>
      <c r="AE62" s="41"/>
    </row>
    <row r="63" spans="12:46" ht="13.8" x14ac:dyDescent="0.25">
      <c r="X63" s="75" t="s">
        <v>14</v>
      </c>
      <c r="Z63" s="76"/>
      <c r="AC63" s="76"/>
      <c r="AD63" s="41"/>
      <c r="AE63" s="41"/>
    </row>
    <row r="64" spans="12:46" ht="15" thickBot="1" x14ac:dyDescent="0.3">
      <c r="X64" s="44" t="s">
        <v>15</v>
      </c>
      <c r="Y64" s="44" t="s">
        <v>16</v>
      </c>
      <c r="Z64" s="59" t="s">
        <v>4</v>
      </c>
      <c r="AA64" s="44" t="s">
        <v>3</v>
      </c>
      <c r="AB64" s="44" t="s">
        <v>10</v>
      </c>
      <c r="AC64" s="59" t="s">
        <v>87</v>
      </c>
      <c r="AD64" s="59" t="s">
        <v>88</v>
      </c>
      <c r="AE64" s="59" t="s">
        <v>89</v>
      </c>
      <c r="AF64" s="59" t="s">
        <v>90</v>
      </c>
      <c r="AN64" s="41"/>
    </row>
    <row r="65" spans="24:43" ht="13.8" x14ac:dyDescent="0.25">
      <c r="X65" s="41" t="s">
        <v>20</v>
      </c>
      <c r="Y65" s="142" t="s">
        <v>21</v>
      </c>
      <c r="Z65" s="41">
        <v>2017</v>
      </c>
      <c r="AA65" s="41" t="s">
        <v>64</v>
      </c>
      <c r="AB65" s="41" t="s">
        <v>352</v>
      </c>
      <c r="AC65" s="143">
        <v>45000</v>
      </c>
      <c r="AD65" s="143">
        <v>22000</v>
      </c>
      <c r="AE65" s="143">
        <v>7500</v>
      </c>
      <c r="AF65" s="143">
        <v>40000</v>
      </c>
      <c r="AN65" s="41"/>
    </row>
    <row r="66" spans="24:43" ht="13.8" x14ac:dyDescent="0.25">
      <c r="X66" s="41" t="s">
        <v>20</v>
      </c>
      <c r="Y66" s="142" t="s">
        <v>21</v>
      </c>
      <c r="Z66" s="41">
        <v>2017</v>
      </c>
      <c r="AA66" s="41" t="s">
        <v>64</v>
      </c>
      <c r="AB66" s="41" t="s">
        <v>353</v>
      </c>
      <c r="AC66" s="143">
        <v>55000</v>
      </c>
      <c r="AD66" s="143">
        <v>28000</v>
      </c>
      <c r="AE66" s="143">
        <v>9000</v>
      </c>
      <c r="AF66" s="143">
        <v>50000</v>
      </c>
      <c r="AN66" s="41"/>
      <c r="AO66" s="41"/>
      <c r="AP66" s="41"/>
      <c r="AQ66" s="41"/>
    </row>
    <row r="97" spans="21:22" x14ac:dyDescent="0.25">
      <c r="U97" s="76"/>
      <c r="V97" s="7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R4"/>
  <sheetViews>
    <sheetView workbookViewId="0">
      <selection activeCell="F5" sqref="F5:H6"/>
    </sheetView>
  </sheetViews>
  <sheetFormatPr defaultRowHeight="13.2" x14ac:dyDescent="0.25"/>
  <cols>
    <col min="1" max="1" width="3.6640625" customWidth="1"/>
    <col min="2" max="2" width="10.88671875" bestFit="1" customWidth="1"/>
  </cols>
  <sheetData>
    <row r="3" spans="2:18" x14ac:dyDescent="0.25">
      <c r="B3" s="3" t="s">
        <v>17</v>
      </c>
      <c r="K3" s="2"/>
      <c r="L3" s="1"/>
      <c r="M3" s="1"/>
      <c r="N3" s="1"/>
      <c r="O3" s="1"/>
      <c r="P3" s="1"/>
      <c r="Q3" s="1"/>
      <c r="R3" s="1"/>
    </row>
    <row r="4" spans="2:18" ht="13.8" thickBot="1" x14ac:dyDescent="0.3">
      <c r="B4" s="4" t="s">
        <v>1</v>
      </c>
      <c r="C4" s="4" t="s">
        <v>2</v>
      </c>
      <c r="D4" s="4" t="s">
        <v>3</v>
      </c>
      <c r="E4" s="4" t="s">
        <v>4</v>
      </c>
      <c r="F4" s="6" t="s">
        <v>13</v>
      </c>
      <c r="G4" s="6" t="s">
        <v>87</v>
      </c>
      <c r="H4" s="6" t="s">
        <v>88</v>
      </c>
      <c r="I4" s="6" t="s">
        <v>89</v>
      </c>
      <c r="J4" s="6" t="s">
        <v>90</v>
      </c>
      <c r="K4" s="5" t="s">
        <v>5</v>
      </c>
      <c r="L4" s="5" t="s">
        <v>6</v>
      </c>
      <c r="M4" s="5" t="s">
        <v>12</v>
      </c>
      <c r="N4" s="5" t="s">
        <v>7</v>
      </c>
      <c r="O4" s="5" t="s">
        <v>8</v>
      </c>
      <c r="P4" s="5" t="s">
        <v>9</v>
      </c>
      <c r="Q4" s="5" t="s">
        <v>10</v>
      </c>
      <c r="R4" s="5" t="s">
        <v>11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B3"/>
  <sheetViews>
    <sheetView workbookViewId="0">
      <selection activeCell="A4" sqref="A4"/>
    </sheetView>
  </sheetViews>
  <sheetFormatPr defaultRowHeight="13.2" x14ac:dyDescent="0.25"/>
  <cols>
    <col min="1" max="1" width="14" customWidth="1"/>
    <col min="2" max="2" width="11.109375" customWidth="1"/>
  </cols>
  <sheetData>
    <row r="3" spans="1:2" x14ac:dyDescent="0.25">
      <c r="A3" s="23" t="s">
        <v>67</v>
      </c>
      <c r="B3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FILL Table</vt:lpstr>
      <vt:lpstr>Technologies</vt:lpstr>
      <vt:lpstr>TER_Refurbishment</vt:lpstr>
      <vt:lpstr>AVA</vt:lpstr>
      <vt:lpstr>General</vt:lpstr>
      <vt:lpstr>BASE_YEAR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2001-09-28T20:39:50Z</cp:lastPrinted>
  <dcterms:created xsi:type="dcterms:W3CDTF">2001-09-28T18:48:17Z</dcterms:created>
  <dcterms:modified xsi:type="dcterms:W3CDTF">2022-09-23T17:09:35Z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141532540321350</vt:r8>
  </property>
</Properties>
</file>