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bRES_TMPL\"/>
    </mc:Choice>
  </mc:AlternateContent>
  <xr:revisionPtr revIDLastSave="0" documentId="13_ncr:1_{F9099FDF-5A07-4940-915E-3207B36336D4}" xr6:coauthVersionLast="47" xr6:coauthVersionMax="47" xr10:uidLastSave="{00000000-0000-0000-0000-000000000000}"/>
  <bookViews>
    <workbookView xWindow="372" yWindow="0" windowWidth="22668" windowHeight="12240" activeTab="5" xr2:uid="{00000000-000D-0000-FFFF-FFFF00000000}"/>
  </bookViews>
  <sheets>
    <sheet name="TRA_Cars" sheetId="8" r:id="rId1"/>
    <sheet name="TRA_Busses" sheetId="13" r:id="rId2"/>
    <sheet name="TRA_Freight" sheetId="14" r:id="rId3"/>
    <sheet name="TRA_Rail" sheetId="15" r:id="rId4"/>
    <sheet name="TRA_Other" sheetId="16" r:id="rId5"/>
    <sheet name="Commodities" sheetId="12" r:id="rId6"/>
    <sheet name="Reference Data" sheetId="17" state="hidden" r:id="rId7"/>
    <sheet name="General" sheetId="11" state="hidden" r:id="rId8"/>
  </sheets>
  <definedNames>
    <definedName name="BASE_YEAR">General!$F$1</definedName>
    <definedName name="END_YEAR">General!$F$2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0" i="8" l="1"/>
  <c r="I30" i="16"/>
  <c r="D30" i="16"/>
  <c r="C30" i="16" l="1"/>
  <c r="B30" i="16"/>
  <c r="U16" i="16"/>
  <c r="X16" i="16"/>
  <c r="W16" i="16"/>
  <c r="F30" i="16"/>
  <c r="F31" i="16" s="1"/>
  <c r="E30" i="16"/>
  <c r="V85" i="8" l="1"/>
  <c r="C114" i="8"/>
  <c r="C113" i="8"/>
  <c r="I139" i="8" l="1"/>
  <c r="L139" i="8"/>
  <c r="K32" i="13" l="1"/>
  <c r="L38" i="8"/>
  <c r="U31" i="13"/>
  <c r="T31" i="13"/>
  <c r="W31" i="13"/>
  <c r="V31" i="13"/>
  <c r="M38" i="8"/>
  <c r="L32" i="13"/>
  <c r="H32" i="13"/>
  <c r="D32" i="13"/>
  <c r="E32" i="13"/>
  <c r="C32" i="13"/>
  <c r="B32" i="13"/>
  <c r="X37" i="8"/>
  <c r="V37" i="8"/>
  <c r="U37" i="8"/>
  <c r="T37" i="8"/>
  <c r="S37" i="8"/>
  <c r="O38" i="8"/>
  <c r="H38" i="8"/>
  <c r="F38" i="8"/>
  <c r="E38" i="8"/>
  <c r="C38" i="8"/>
  <c r="B38" i="8"/>
  <c r="K22" i="14" l="1"/>
  <c r="K21" i="14"/>
  <c r="G89" i="8" l="1"/>
  <c r="K129" i="8" l="1"/>
  <c r="C124" i="14" l="1"/>
  <c r="N101" i="8" l="1"/>
  <c r="N100" i="8"/>
  <c r="N91" i="8"/>
  <c r="N90" i="8"/>
  <c r="N89" i="8"/>
  <c r="H26" i="13" l="1"/>
  <c r="H25" i="13"/>
  <c r="L48" i="8"/>
  <c r="L36" i="8"/>
  <c r="L37" i="8" s="1"/>
  <c r="K25" i="13" l="1"/>
  <c r="K26" i="13" s="1"/>
  <c r="K54" i="14"/>
  <c r="K27" i="13"/>
  <c r="W12" i="16" l="1"/>
  <c r="W11" i="16"/>
  <c r="W10" i="16"/>
  <c r="W9" i="16"/>
  <c r="W8" i="16"/>
  <c r="W7" i="16"/>
  <c r="D28" i="15" l="1"/>
  <c r="D27" i="15"/>
  <c r="D26" i="15"/>
  <c r="G44" i="14" l="1"/>
  <c r="G16" i="14"/>
  <c r="M112" i="14" l="1"/>
  <c r="M111" i="14"/>
  <c r="M110" i="14"/>
  <c r="M109" i="14"/>
  <c r="M108" i="14"/>
  <c r="M107" i="14"/>
  <c r="M106" i="14"/>
  <c r="M105" i="14"/>
  <c r="M104" i="14"/>
  <c r="M103" i="14"/>
  <c r="M102" i="14"/>
  <c r="M101" i="14"/>
  <c r="M100" i="14"/>
  <c r="M99" i="14"/>
  <c r="M98" i="14"/>
  <c r="M97" i="14"/>
  <c r="M96" i="14"/>
  <c r="M95" i="14"/>
  <c r="M94" i="14"/>
  <c r="M93" i="14"/>
  <c r="M92" i="14"/>
  <c r="M91" i="14"/>
  <c r="M90" i="14"/>
  <c r="M89" i="14"/>
  <c r="K13" i="16" l="1"/>
  <c r="K12" i="16"/>
  <c r="R17" i="17" l="1"/>
  <c r="Q17" i="17"/>
  <c r="P17" i="17"/>
  <c r="R19" i="17"/>
  <c r="Q19" i="17"/>
  <c r="P19" i="17"/>
  <c r="K99" i="14" l="1"/>
  <c r="K98" i="14"/>
  <c r="K97" i="14"/>
  <c r="K13" i="14" l="1"/>
  <c r="K12" i="14"/>
  <c r="H13" i="14"/>
  <c r="H12" i="14"/>
  <c r="F13" i="14"/>
  <c r="F12" i="14"/>
  <c r="E13" i="14"/>
  <c r="E12" i="14"/>
  <c r="D13" i="14"/>
  <c r="D12" i="14"/>
  <c r="C13" i="14"/>
  <c r="C12" i="14"/>
  <c r="B13" i="14"/>
  <c r="B12" i="14"/>
  <c r="T15" i="14"/>
  <c r="T14" i="14"/>
  <c r="W15" i="14"/>
  <c r="V15" i="14"/>
  <c r="W14" i="14"/>
  <c r="V14" i="14"/>
  <c r="G28" i="16" l="1"/>
  <c r="G26" i="16"/>
  <c r="G12" i="16"/>
  <c r="G11" i="16"/>
  <c r="G10" i="16"/>
  <c r="G9" i="16"/>
  <c r="G31" i="15"/>
  <c r="G30" i="15"/>
  <c r="G29" i="15"/>
  <c r="G28" i="15"/>
  <c r="G27" i="15"/>
  <c r="G26" i="15"/>
  <c r="G12" i="15"/>
  <c r="G15" i="15"/>
  <c r="G14" i="15"/>
  <c r="G11" i="15"/>
  <c r="G56" i="14"/>
  <c r="G55" i="14"/>
  <c r="G54" i="14"/>
  <c r="G53" i="14"/>
  <c r="G52" i="14"/>
  <c r="G51" i="14"/>
  <c r="G50" i="14"/>
  <c r="G49" i="14"/>
  <c r="G48" i="14"/>
  <c r="G46" i="14"/>
  <c r="G43" i="14"/>
  <c r="G41" i="14"/>
  <c r="G40" i="14"/>
  <c r="G39" i="14"/>
  <c r="G38" i="14"/>
  <c r="G37" i="14"/>
  <c r="G36" i="14"/>
  <c r="G22" i="14"/>
  <c r="G21" i="14"/>
  <c r="G20" i="14"/>
  <c r="G19" i="14"/>
  <c r="G18" i="14"/>
  <c r="G17" i="14"/>
  <c r="G15" i="14"/>
  <c r="G11" i="14"/>
  <c r="G10" i="14"/>
  <c r="G31" i="13"/>
  <c r="G30" i="13"/>
  <c r="G28" i="13"/>
  <c r="G27" i="13"/>
  <c r="G26" i="13"/>
  <c r="G25" i="13"/>
  <c r="G24" i="13"/>
  <c r="G23" i="13"/>
  <c r="G22" i="13"/>
  <c r="G21" i="13"/>
  <c r="G20" i="13"/>
  <c r="G18" i="13"/>
  <c r="G17" i="13"/>
  <c r="G15" i="13"/>
  <c r="G14" i="13"/>
  <c r="G11" i="13"/>
  <c r="G10" i="13"/>
  <c r="G48" i="8"/>
  <c r="G47" i="8"/>
  <c r="G46" i="8"/>
  <c r="G45" i="8"/>
  <c r="G44" i="8"/>
  <c r="G43" i="8"/>
  <c r="G42" i="8"/>
  <c r="G41" i="8"/>
  <c r="G40" i="8"/>
  <c r="G39" i="8"/>
  <c r="G34" i="8"/>
  <c r="G33" i="8"/>
  <c r="G32" i="8"/>
  <c r="G30" i="8"/>
  <c r="G29" i="8"/>
  <c r="G19" i="8"/>
  <c r="G18" i="8"/>
  <c r="G17" i="8"/>
  <c r="G16" i="8"/>
  <c r="G15" i="8"/>
  <c r="G14" i="8"/>
  <c r="G13" i="8"/>
  <c r="G12" i="8"/>
  <c r="G11" i="8"/>
  <c r="G10" i="8"/>
  <c r="H53" i="14" l="1"/>
  <c r="H54" i="14" s="1"/>
  <c r="H21" i="14" l="1"/>
  <c r="H22" i="14" s="1"/>
  <c r="C42" i="13"/>
  <c r="D128" i="8"/>
  <c r="D127" i="8"/>
  <c r="D126" i="8"/>
  <c r="S73" i="8"/>
  <c r="S72" i="8"/>
  <c r="S71" i="8"/>
  <c r="B89" i="8" s="1"/>
  <c r="S47" i="8"/>
  <c r="S32" i="8"/>
  <c r="S31" i="8"/>
  <c r="S30" i="8"/>
  <c r="S66" i="8"/>
  <c r="S65" i="8"/>
  <c r="S64" i="8"/>
  <c r="S25" i="8"/>
  <c r="B30" i="8" s="1"/>
  <c r="S24" i="8"/>
  <c r="S23" i="8"/>
  <c r="S70" i="8"/>
  <c r="S69" i="8"/>
  <c r="S55" i="8"/>
  <c r="S54" i="8"/>
  <c r="S53" i="8"/>
  <c r="S52" i="8"/>
  <c r="B66" i="8" s="1"/>
  <c r="S29" i="8"/>
  <c r="S28" i="8"/>
  <c r="S14" i="8"/>
  <c r="S13" i="8"/>
  <c r="S12" i="8"/>
  <c r="S11" i="8"/>
  <c r="S63" i="8"/>
  <c r="S62" i="8"/>
  <c r="B78" i="8" s="1"/>
  <c r="S61" i="8"/>
  <c r="S60" i="8"/>
  <c r="S51" i="8"/>
  <c r="S50" i="8"/>
  <c r="S49" i="8"/>
  <c r="S48" i="8"/>
  <c r="S22" i="8"/>
  <c r="S21" i="8"/>
  <c r="B24" i="8" s="1"/>
  <c r="S20" i="8"/>
  <c r="S19" i="8"/>
  <c r="S10" i="8"/>
  <c r="S9" i="8"/>
  <c r="S8" i="8"/>
  <c r="S7" i="8"/>
  <c r="S68" i="8"/>
  <c r="S67" i="8"/>
  <c r="B85" i="8" s="1"/>
  <c r="S59" i="8"/>
  <c r="S58" i="8"/>
  <c r="S57" i="8"/>
  <c r="S56" i="8"/>
  <c r="S46" i="8"/>
  <c r="S45" i="8"/>
  <c r="S44" i="8"/>
  <c r="S27" i="8"/>
  <c r="S26" i="8"/>
  <c r="S18" i="8"/>
  <c r="S17" i="8"/>
  <c r="S16" i="8"/>
  <c r="S15" i="8"/>
  <c r="D99" i="8"/>
  <c r="D98" i="8"/>
  <c r="D97" i="8"/>
  <c r="D96" i="8"/>
  <c r="D95" i="8"/>
  <c r="D94" i="8"/>
  <c r="D93" i="8"/>
  <c r="D92" i="8"/>
  <c r="D89" i="8"/>
  <c r="D90" i="8" s="1"/>
  <c r="D91" i="8" s="1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41" i="8"/>
  <c r="D35" i="8"/>
  <c r="D42" i="8"/>
  <c r="D46" i="8"/>
  <c r="D45" i="8"/>
  <c r="D44" i="8"/>
  <c r="D43" i="8"/>
  <c r="D40" i="8"/>
  <c r="D39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T30" i="13"/>
  <c r="T29" i="13"/>
  <c r="T28" i="13"/>
  <c r="T27" i="13"/>
  <c r="T26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D31" i="13"/>
  <c r="D30" i="13"/>
  <c r="D29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T82" i="14"/>
  <c r="B112" i="14" s="1"/>
  <c r="T81" i="14"/>
  <c r="T80" i="14"/>
  <c r="T73" i="14"/>
  <c r="B103" i="14" s="1"/>
  <c r="T72" i="14"/>
  <c r="T71" i="14"/>
  <c r="B101" i="14" s="1"/>
  <c r="T70" i="14"/>
  <c r="T69" i="14"/>
  <c r="T68" i="14"/>
  <c r="B98" i="14" s="1"/>
  <c r="T67" i="14"/>
  <c r="T66" i="14"/>
  <c r="B96" i="14" s="1"/>
  <c r="T65" i="14"/>
  <c r="B95" i="14" s="1"/>
  <c r="T64" i="14"/>
  <c r="T63" i="14"/>
  <c r="T62" i="14"/>
  <c r="T61" i="14"/>
  <c r="T60" i="14"/>
  <c r="T59" i="14"/>
  <c r="T52" i="14"/>
  <c r="B74" i="14" s="1"/>
  <c r="T51" i="14"/>
  <c r="B73" i="14" s="1"/>
  <c r="T50" i="14"/>
  <c r="T49" i="14"/>
  <c r="B71" i="14" s="1"/>
  <c r="T48" i="14"/>
  <c r="T47" i="14"/>
  <c r="T46" i="14"/>
  <c r="B68" i="14" s="1"/>
  <c r="D78" i="14"/>
  <c r="D77" i="14"/>
  <c r="D76" i="14"/>
  <c r="D75" i="14"/>
  <c r="D74" i="14"/>
  <c r="D73" i="14"/>
  <c r="D72" i="14"/>
  <c r="D71" i="14"/>
  <c r="D70" i="14"/>
  <c r="D69" i="14"/>
  <c r="D68" i="14"/>
  <c r="T45" i="14"/>
  <c r="B57" i="14" s="1"/>
  <c r="T44" i="14"/>
  <c r="B56" i="14" s="1"/>
  <c r="T43" i="14"/>
  <c r="T36" i="14"/>
  <c r="T35" i="14"/>
  <c r="B47" i="14" s="1"/>
  <c r="T34" i="14"/>
  <c r="T33" i="14"/>
  <c r="B45" i="14" s="1"/>
  <c r="T32" i="14"/>
  <c r="B44" i="14" s="1"/>
  <c r="T31" i="14"/>
  <c r="T30" i="14"/>
  <c r="B42" i="14" s="1"/>
  <c r="T29" i="14"/>
  <c r="T28" i="14"/>
  <c r="T27" i="14"/>
  <c r="B39" i="14" s="1"/>
  <c r="T26" i="14"/>
  <c r="T25" i="14"/>
  <c r="B37" i="14" s="1"/>
  <c r="T24" i="14"/>
  <c r="B36" i="14" s="1"/>
  <c r="T23" i="14"/>
  <c r="T22" i="14"/>
  <c r="B34" i="14" s="1"/>
  <c r="D52" i="14"/>
  <c r="D51" i="14"/>
  <c r="D49" i="14"/>
  <c r="D50" i="14" s="1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T13" i="14"/>
  <c r="B16" i="14" s="1"/>
  <c r="T12" i="14"/>
  <c r="T11" i="14"/>
  <c r="T10" i="14"/>
  <c r="B11" i="14" s="1"/>
  <c r="T9" i="14"/>
  <c r="B10" i="14" s="1"/>
  <c r="T8" i="14"/>
  <c r="B9" i="14" s="1"/>
  <c r="T7" i="14"/>
  <c r="D19" i="14"/>
  <c r="D20" i="14" s="1"/>
  <c r="D17" i="14"/>
  <c r="D18" i="14" s="1"/>
  <c r="D16" i="14"/>
  <c r="D15" i="14"/>
  <c r="D14" i="14"/>
  <c r="D11" i="14"/>
  <c r="D10" i="14"/>
  <c r="D9" i="14"/>
  <c r="D8" i="14"/>
  <c r="D31" i="15"/>
  <c r="D30" i="15"/>
  <c r="D29" i="15"/>
  <c r="U18" i="15"/>
  <c r="U17" i="15"/>
  <c r="U16" i="15"/>
  <c r="U15" i="15"/>
  <c r="U14" i="15"/>
  <c r="U13" i="15"/>
  <c r="U9" i="15"/>
  <c r="U8" i="15"/>
  <c r="U7" i="15"/>
  <c r="U12" i="15"/>
  <c r="U11" i="15"/>
  <c r="U10" i="15"/>
  <c r="D15" i="15"/>
  <c r="D14" i="15"/>
  <c r="D13" i="15"/>
  <c r="D12" i="15"/>
  <c r="D11" i="15"/>
  <c r="D10" i="15"/>
  <c r="U11" i="16"/>
  <c r="U10" i="16"/>
  <c r="U9" i="16"/>
  <c r="U8" i="16"/>
  <c r="U7" i="16"/>
  <c r="D12" i="16"/>
  <c r="D11" i="16"/>
  <c r="D10" i="16"/>
  <c r="D9" i="16"/>
  <c r="D8" i="16"/>
  <c r="I28" i="16"/>
  <c r="I26" i="16"/>
  <c r="I24" i="16"/>
  <c r="K8" i="16"/>
  <c r="K31" i="15"/>
  <c r="K30" i="15"/>
  <c r="K29" i="15"/>
  <c r="K28" i="15"/>
  <c r="K27" i="15"/>
  <c r="K26" i="15"/>
  <c r="K15" i="15"/>
  <c r="K14" i="15"/>
  <c r="K13" i="15"/>
  <c r="K12" i="15"/>
  <c r="K11" i="15"/>
  <c r="K10" i="15"/>
  <c r="K57" i="14"/>
  <c r="K56" i="14"/>
  <c r="K55" i="14"/>
  <c r="K29" i="13"/>
  <c r="K21" i="13"/>
  <c r="K19" i="13"/>
  <c r="K16" i="13"/>
  <c r="K12" i="13"/>
  <c r="K8" i="13"/>
  <c r="F49" i="17"/>
  <c r="E49" i="17"/>
  <c r="D49" i="17"/>
  <c r="C49" i="17"/>
  <c r="F48" i="17"/>
  <c r="E48" i="17"/>
  <c r="D48" i="17"/>
  <c r="C48" i="17"/>
  <c r="F47" i="17"/>
  <c r="E47" i="17"/>
  <c r="D47" i="17"/>
  <c r="C47" i="17"/>
  <c r="F46" i="17"/>
  <c r="E46" i="17"/>
  <c r="D46" i="17"/>
  <c r="C46" i="17"/>
  <c r="F45" i="17"/>
  <c r="E45" i="17"/>
  <c r="D45" i="17"/>
  <c r="C45" i="17"/>
  <c r="F43" i="17"/>
  <c r="E43" i="17"/>
  <c r="D43" i="17"/>
  <c r="C43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E37" i="17"/>
  <c r="D37" i="17"/>
  <c r="C37" i="17"/>
  <c r="F36" i="17"/>
  <c r="E36" i="17"/>
  <c r="D36" i="17"/>
  <c r="C36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F29" i="17"/>
  <c r="E29" i="17"/>
  <c r="D29" i="17"/>
  <c r="C29" i="17"/>
  <c r="F28" i="17"/>
  <c r="E28" i="17"/>
  <c r="D28" i="17"/>
  <c r="C28" i="17"/>
  <c r="F27" i="17"/>
  <c r="E27" i="17"/>
  <c r="D27" i="17"/>
  <c r="C27" i="17"/>
  <c r="F26" i="17"/>
  <c r="E26" i="17"/>
  <c r="D26" i="17"/>
  <c r="C26" i="17"/>
  <c r="F25" i="17"/>
  <c r="E25" i="17"/>
  <c r="D25" i="17"/>
  <c r="C25" i="17"/>
  <c r="F24" i="17"/>
  <c r="E24" i="17"/>
  <c r="D24" i="17"/>
  <c r="C24" i="17"/>
  <c r="F23" i="17"/>
  <c r="E23" i="17"/>
  <c r="D23" i="17"/>
  <c r="C23" i="17"/>
  <c r="F22" i="17"/>
  <c r="E22" i="17"/>
  <c r="D22" i="17"/>
  <c r="C22" i="17"/>
  <c r="F21" i="17"/>
  <c r="E21" i="17"/>
  <c r="D21" i="17"/>
  <c r="C21" i="17"/>
  <c r="F20" i="17"/>
  <c r="E20" i="17"/>
  <c r="D20" i="17"/>
  <c r="C20" i="17"/>
  <c r="F19" i="17"/>
  <c r="E19" i="17"/>
  <c r="D19" i="17"/>
  <c r="C19" i="17"/>
  <c r="F18" i="17"/>
  <c r="E18" i="17"/>
  <c r="D18" i="17"/>
  <c r="C18" i="17"/>
  <c r="F17" i="17"/>
  <c r="E17" i="17"/>
  <c r="D17" i="17"/>
  <c r="C17" i="17"/>
  <c r="F16" i="17"/>
  <c r="E16" i="17"/>
  <c r="D16" i="17"/>
  <c r="C16" i="17"/>
  <c r="F15" i="17"/>
  <c r="E15" i="17"/>
  <c r="D15" i="17"/>
  <c r="C15" i="17"/>
  <c r="F14" i="17"/>
  <c r="E14" i="17"/>
  <c r="D14" i="17"/>
  <c r="C14" i="17"/>
  <c r="F13" i="17"/>
  <c r="E13" i="17"/>
  <c r="D13" i="17"/>
  <c r="C13" i="17"/>
  <c r="F12" i="17"/>
  <c r="E12" i="17"/>
  <c r="D12" i="17"/>
  <c r="C12" i="17"/>
  <c r="F11" i="17"/>
  <c r="E11" i="17"/>
  <c r="D11" i="17"/>
  <c r="C11" i="17"/>
  <c r="F10" i="17"/>
  <c r="E10" i="17"/>
  <c r="D10" i="17"/>
  <c r="C10" i="17"/>
  <c r="F9" i="17"/>
  <c r="E9" i="17"/>
  <c r="D9" i="17"/>
  <c r="C9" i="17"/>
  <c r="F8" i="17"/>
  <c r="E8" i="17"/>
  <c r="D8" i="17"/>
  <c r="C8" i="17"/>
  <c r="C3" i="17"/>
  <c r="B114" i="8"/>
  <c r="D114" i="8"/>
  <c r="D129" i="8" s="1"/>
  <c r="E114" i="8"/>
  <c r="F129" i="8"/>
  <c r="C129" i="8"/>
  <c r="E129" i="8"/>
  <c r="B129" i="8"/>
  <c r="V47" i="8"/>
  <c r="U47" i="8"/>
  <c r="F13" i="16"/>
  <c r="D13" i="16"/>
  <c r="C13" i="16"/>
  <c r="U12" i="16"/>
  <c r="B13" i="16" s="1"/>
  <c r="X12" i="16"/>
  <c r="K112" i="14"/>
  <c r="K111" i="14"/>
  <c r="K110" i="14"/>
  <c r="H109" i="14"/>
  <c r="H108" i="14"/>
  <c r="H80" i="14"/>
  <c r="H79" i="14"/>
  <c r="N62" i="8"/>
  <c r="L101" i="8"/>
  <c r="L89" i="8"/>
  <c r="L100" i="8"/>
  <c r="H101" i="8"/>
  <c r="H100" i="8"/>
  <c r="H90" i="8"/>
  <c r="H89" i="8"/>
  <c r="O80" i="8"/>
  <c r="O78" i="8"/>
  <c r="O76" i="8"/>
  <c r="O74" i="8"/>
  <c r="M80" i="8"/>
  <c r="M78" i="8"/>
  <c r="M76" i="8"/>
  <c r="M74" i="8"/>
  <c r="E80" i="8"/>
  <c r="E78" i="8"/>
  <c r="E76" i="8"/>
  <c r="E74" i="8"/>
  <c r="C74" i="8"/>
  <c r="C76" i="8"/>
  <c r="C78" i="8"/>
  <c r="C80" i="8"/>
  <c r="X63" i="8"/>
  <c r="X62" i="8"/>
  <c r="X61" i="8"/>
  <c r="X60" i="8"/>
  <c r="B80" i="8"/>
  <c r="B76" i="8"/>
  <c r="B74" i="8"/>
  <c r="M26" i="8"/>
  <c r="M24" i="8"/>
  <c r="M22" i="8"/>
  <c r="E26" i="8"/>
  <c r="E24" i="8"/>
  <c r="E22" i="8"/>
  <c r="C22" i="8"/>
  <c r="C24" i="8"/>
  <c r="C26" i="8"/>
  <c r="O20" i="8"/>
  <c r="O26" i="8"/>
  <c r="N20" i="8"/>
  <c r="N26" i="8" s="1"/>
  <c r="M20" i="8"/>
  <c r="E20" i="8"/>
  <c r="C20" i="8"/>
  <c r="V22" i="8"/>
  <c r="V63" i="8" s="1"/>
  <c r="U22" i="8"/>
  <c r="U63" i="8"/>
  <c r="V21" i="8"/>
  <c r="V62" i="8" s="1"/>
  <c r="U21" i="8"/>
  <c r="U62" i="8" s="1"/>
  <c r="V20" i="8"/>
  <c r="V61" i="8" s="1"/>
  <c r="U20" i="8"/>
  <c r="U61" i="8"/>
  <c r="V19" i="8"/>
  <c r="V60" i="8" s="1"/>
  <c r="U19" i="8"/>
  <c r="U60" i="8" s="1"/>
  <c r="B26" i="8"/>
  <c r="B22" i="8"/>
  <c r="B20" i="8"/>
  <c r="O22" i="8"/>
  <c r="O24" i="8"/>
  <c r="T8" i="17"/>
  <c r="T7" i="17"/>
  <c r="T6" i="17"/>
  <c r="T5" i="17"/>
  <c r="AA9" i="17"/>
  <c r="AA8" i="17"/>
  <c r="AA7" i="17"/>
  <c r="AA6" i="17"/>
  <c r="AA5" i="17"/>
  <c r="AA4" i="17"/>
  <c r="K17" i="17"/>
  <c r="K19" i="17"/>
  <c r="M69" i="14"/>
  <c r="D55" i="14"/>
  <c r="D56" i="14"/>
  <c r="D57" i="14"/>
  <c r="D110" i="14"/>
  <c r="D111" i="14"/>
  <c r="D112" i="14"/>
  <c r="D124" i="14"/>
  <c r="B124" i="14"/>
  <c r="N88" i="8"/>
  <c r="C88" i="8"/>
  <c r="E88" i="8"/>
  <c r="D42" i="13"/>
  <c r="D28" i="13"/>
  <c r="B42" i="13"/>
  <c r="D36" i="8"/>
  <c r="D37" i="8" s="1"/>
  <c r="D38" i="8" s="1"/>
  <c r="D113" i="8"/>
  <c r="D27" i="13"/>
  <c r="B113" i="8"/>
  <c r="H56" i="14"/>
  <c r="H111" i="14"/>
  <c r="H55" i="14"/>
  <c r="H110" i="14"/>
  <c r="H57" i="14"/>
  <c r="H112" i="14"/>
  <c r="H37" i="8"/>
  <c r="H91" i="8" s="1"/>
  <c r="K48" i="14"/>
  <c r="K103" i="14" s="1"/>
  <c r="K47" i="14"/>
  <c r="K102" i="14"/>
  <c r="K46" i="14"/>
  <c r="K101" i="14" s="1"/>
  <c r="K45" i="14"/>
  <c r="K100" i="14" s="1"/>
  <c r="L34" i="8"/>
  <c r="L88" i="8"/>
  <c r="L33" i="8"/>
  <c r="L87" i="8" s="1"/>
  <c r="L32" i="8"/>
  <c r="L86" i="8" s="1"/>
  <c r="L31" i="8"/>
  <c r="L85" i="8" s="1"/>
  <c r="L91" i="8"/>
  <c r="L90" i="8"/>
  <c r="M80" i="14"/>
  <c r="M79" i="14"/>
  <c r="M78" i="14"/>
  <c r="M77" i="14"/>
  <c r="M76" i="14"/>
  <c r="M75" i="14"/>
  <c r="M74" i="14"/>
  <c r="M73" i="14"/>
  <c r="M72" i="14"/>
  <c r="M71" i="14"/>
  <c r="M70" i="14"/>
  <c r="M68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N88" i="14"/>
  <c r="M88" i="14"/>
  <c r="L88" i="14"/>
  <c r="K88" i="14"/>
  <c r="J88" i="14"/>
  <c r="I88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N67" i="14"/>
  <c r="M67" i="14"/>
  <c r="L67" i="14"/>
  <c r="K67" i="14"/>
  <c r="J67" i="14"/>
  <c r="I67" i="14"/>
  <c r="Y82" i="14"/>
  <c r="Y81" i="14"/>
  <c r="Y80" i="14"/>
  <c r="Y79" i="14"/>
  <c r="Y78" i="14"/>
  <c r="Y77" i="14"/>
  <c r="Y76" i="14"/>
  <c r="Y75" i="14"/>
  <c r="Y74" i="14"/>
  <c r="Y73" i="14"/>
  <c r="Y72" i="14"/>
  <c r="Y71" i="14"/>
  <c r="Y70" i="14"/>
  <c r="Y69" i="14"/>
  <c r="Y68" i="14"/>
  <c r="Y67" i="14"/>
  <c r="Y66" i="14"/>
  <c r="Y65" i="14"/>
  <c r="Y64" i="14"/>
  <c r="Y63" i="14"/>
  <c r="Y62" i="14"/>
  <c r="Y61" i="14"/>
  <c r="Y60" i="14"/>
  <c r="Y59" i="14"/>
  <c r="Y58" i="14"/>
  <c r="Y57" i="14"/>
  <c r="Y56" i="14"/>
  <c r="Y55" i="14"/>
  <c r="Y54" i="14"/>
  <c r="Y53" i="14"/>
  <c r="Y52" i="14"/>
  <c r="Y51" i="14"/>
  <c r="Y50" i="14"/>
  <c r="Y49" i="14"/>
  <c r="Y48" i="14"/>
  <c r="Y47" i="14"/>
  <c r="Y46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B111" i="14"/>
  <c r="B110" i="14"/>
  <c r="T79" i="14"/>
  <c r="B109" i="14" s="1"/>
  <c r="T78" i="14"/>
  <c r="B108" i="14" s="1"/>
  <c r="T77" i="14"/>
  <c r="B107" i="14" s="1"/>
  <c r="T76" i="14"/>
  <c r="B106" i="14" s="1"/>
  <c r="T75" i="14"/>
  <c r="B105" i="14" s="1"/>
  <c r="T74" i="14"/>
  <c r="B104" i="14" s="1"/>
  <c r="B102" i="14"/>
  <c r="B100" i="14"/>
  <c r="B99" i="14"/>
  <c r="B97" i="14"/>
  <c r="B94" i="14"/>
  <c r="B93" i="14"/>
  <c r="B92" i="14"/>
  <c r="B91" i="14"/>
  <c r="B90" i="14"/>
  <c r="B89" i="14"/>
  <c r="T58" i="14"/>
  <c r="B80" i="14"/>
  <c r="T57" i="14"/>
  <c r="B79" i="14"/>
  <c r="T56" i="14"/>
  <c r="B78" i="14" s="1"/>
  <c r="T55" i="14"/>
  <c r="B77" i="14"/>
  <c r="T54" i="14"/>
  <c r="B76" i="14" s="1"/>
  <c r="T53" i="14"/>
  <c r="B75" i="14" s="1"/>
  <c r="B72" i="14"/>
  <c r="B70" i="14"/>
  <c r="B69" i="14"/>
  <c r="N99" i="8"/>
  <c r="N98" i="8"/>
  <c r="N97" i="8"/>
  <c r="N96" i="8"/>
  <c r="N95" i="8"/>
  <c r="N94" i="8"/>
  <c r="N93" i="8"/>
  <c r="N92" i="8"/>
  <c r="N87" i="8"/>
  <c r="N86" i="8"/>
  <c r="N85" i="8"/>
  <c r="N84" i="8"/>
  <c r="N83" i="8"/>
  <c r="N82" i="8"/>
  <c r="N73" i="8"/>
  <c r="N80" i="8" s="1"/>
  <c r="N72" i="8"/>
  <c r="N78" i="8" s="1"/>
  <c r="N71" i="8"/>
  <c r="N76" i="8" s="1"/>
  <c r="N70" i="8"/>
  <c r="N74" i="8" s="1"/>
  <c r="N69" i="8"/>
  <c r="N68" i="8"/>
  <c r="N67" i="8"/>
  <c r="N66" i="8"/>
  <c r="N65" i="8"/>
  <c r="N64" i="8"/>
  <c r="N63" i="8"/>
  <c r="C63" i="8"/>
  <c r="X49" i="8"/>
  <c r="X50" i="8"/>
  <c r="X51" i="8"/>
  <c r="X52" i="8"/>
  <c r="X53" i="8"/>
  <c r="X54" i="8"/>
  <c r="X55" i="8"/>
  <c r="X56" i="8"/>
  <c r="X57" i="8"/>
  <c r="X58" i="8"/>
  <c r="X59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48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7" i="8"/>
  <c r="C86" i="8"/>
  <c r="C85" i="8"/>
  <c r="C84" i="8"/>
  <c r="C83" i="8"/>
  <c r="C82" i="8"/>
  <c r="C73" i="8"/>
  <c r="C72" i="8"/>
  <c r="C71" i="8"/>
  <c r="C70" i="8"/>
  <c r="C69" i="8"/>
  <c r="C68" i="8"/>
  <c r="C67" i="8"/>
  <c r="C66" i="8"/>
  <c r="C65" i="8"/>
  <c r="C64" i="8"/>
  <c r="C62" i="8"/>
  <c r="S83" i="8"/>
  <c r="B101" i="8"/>
  <c r="S82" i="8"/>
  <c r="B100" i="8" s="1"/>
  <c r="S81" i="8"/>
  <c r="B99" i="8" s="1"/>
  <c r="S80" i="8"/>
  <c r="B98" i="8" s="1"/>
  <c r="S79" i="8"/>
  <c r="B97" i="8"/>
  <c r="S78" i="8"/>
  <c r="B96" i="8" s="1"/>
  <c r="S77" i="8"/>
  <c r="B95" i="8" s="1"/>
  <c r="S76" i="8"/>
  <c r="B94" i="8" s="1"/>
  <c r="S75" i="8"/>
  <c r="B93" i="8"/>
  <c r="S74" i="8"/>
  <c r="B92" i="8" s="1"/>
  <c r="B91" i="8"/>
  <c r="B90" i="8"/>
  <c r="B88" i="8"/>
  <c r="B87" i="8"/>
  <c r="B86" i="8"/>
  <c r="B84" i="8"/>
  <c r="B83" i="8"/>
  <c r="B82" i="8"/>
  <c r="B73" i="8"/>
  <c r="B72" i="8"/>
  <c r="B71" i="8"/>
  <c r="B70" i="8"/>
  <c r="B69" i="8"/>
  <c r="B68" i="8"/>
  <c r="B67" i="8"/>
  <c r="B65" i="8"/>
  <c r="B64" i="8"/>
  <c r="B63" i="8"/>
  <c r="B6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7" i="8"/>
  <c r="E86" i="8"/>
  <c r="E85" i="8"/>
  <c r="E84" i="8"/>
  <c r="E83" i="8"/>
  <c r="E82" i="8"/>
  <c r="E73" i="8"/>
  <c r="E72" i="8"/>
  <c r="E71" i="8"/>
  <c r="E70" i="8"/>
  <c r="E69" i="8"/>
  <c r="E68" i="8"/>
  <c r="E67" i="8"/>
  <c r="E66" i="8"/>
  <c r="E65" i="8"/>
  <c r="E64" i="8"/>
  <c r="E63" i="8"/>
  <c r="E62" i="8"/>
  <c r="O61" i="8"/>
  <c r="N61" i="8"/>
  <c r="M61" i="8"/>
  <c r="L61" i="8"/>
  <c r="K61" i="8"/>
  <c r="J61" i="8"/>
  <c r="K14" i="14"/>
  <c r="K72" i="14"/>
  <c r="K44" i="14"/>
  <c r="K43" i="14"/>
  <c r="K42" i="14"/>
  <c r="K41" i="14"/>
  <c r="K96" i="14" s="1"/>
  <c r="K40" i="14"/>
  <c r="K95" i="14" s="1"/>
  <c r="K39" i="14"/>
  <c r="K94" i="14" s="1"/>
  <c r="K38" i="14"/>
  <c r="K93" i="14" s="1"/>
  <c r="K37" i="14"/>
  <c r="K92" i="14" s="1"/>
  <c r="K36" i="14"/>
  <c r="K91" i="14" s="1"/>
  <c r="K35" i="14"/>
  <c r="K90" i="14" s="1"/>
  <c r="K34" i="14"/>
  <c r="K89" i="14" s="1"/>
  <c r="K49" i="14"/>
  <c r="K104" i="14" s="1"/>
  <c r="K16" i="14"/>
  <c r="K74" i="14" s="1"/>
  <c r="K15" i="14"/>
  <c r="K73" i="14"/>
  <c r="K11" i="14"/>
  <c r="K20" i="14" s="1"/>
  <c r="K78" i="14" s="1"/>
  <c r="K10" i="14"/>
  <c r="K17" i="14" s="1"/>
  <c r="K75" i="14" s="1"/>
  <c r="K9" i="14"/>
  <c r="K69" i="14"/>
  <c r="K8" i="14"/>
  <c r="K68" i="14" s="1"/>
  <c r="K71" i="14"/>
  <c r="K50" i="14"/>
  <c r="K105" i="14" s="1"/>
  <c r="K52" i="14"/>
  <c r="K107" i="14" s="1"/>
  <c r="K79" i="14"/>
  <c r="K18" i="14"/>
  <c r="K76" i="14" s="1"/>
  <c r="L29" i="8"/>
  <c r="L83" i="8" s="1"/>
  <c r="L30" i="8"/>
  <c r="L84" i="8" s="1"/>
  <c r="L28" i="8"/>
  <c r="L82" i="8" s="1"/>
  <c r="L16" i="8"/>
  <c r="L70" i="8"/>
  <c r="L74" i="8" s="1"/>
  <c r="L19" i="8"/>
  <c r="L73" i="8"/>
  <c r="L80" i="8" s="1"/>
  <c r="L18" i="8"/>
  <c r="L72" i="8"/>
  <c r="L78" i="8" s="1"/>
  <c r="L17" i="8"/>
  <c r="L71" i="8"/>
  <c r="L76" i="8" s="1"/>
  <c r="L15" i="8"/>
  <c r="L69" i="8" s="1"/>
  <c r="L14" i="8"/>
  <c r="L43" i="8" s="1"/>
  <c r="L13" i="8"/>
  <c r="L67" i="8"/>
  <c r="L12" i="8"/>
  <c r="L66" i="8"/>
  <c r="L11" i="8"/>
  <c r="L65" i="8" s="1"/>
  <c r="L10" i="8"/>
  <c r="L64" i="8" s="1"/>
  <c r="L9" i="8"/>
  <c r="L63" i="8"/>
  <c r="L8" i="8"/>
  <c r="L62" i="8"/>
  <c r="L26" i="8"/>
  <c r="L22" i="8"/>
  <c r="L24" i="8"/>
  <c r="L20" i="8"/>
  <c r="L40" i="8"/>
  <c r="L93" i="8" s="1"/>
  <c r="L44" i="8"/>
  <c r="L97" i="8" s="1"/>
  <c r="L39" i="8"/>
  <c r="L92" i="8" s="1"/>
  <c r="L46" i="8"/>
  <c r="L99" i="8" s="1"/>
  <c r="E17" i="11"/>
  <c r="C28" i="16"/>
  <c r="C26" i="16"/>
  <c r="C24" i="16"/>
  <c r="C12" i="16"/>
  <c r="C11" i="16"/>
  <c r="C10" i="16"/>
  <c r="C9" i="16"/>
  <c r="C8" i="16"/>
  <c r="C31" i="15"/>
  <c r="C30" i="15"/>
  <c r="C29" i="15"/>
  <c r="C28" i="15"/>
  <c r="C27" i="15"/>
  <c r="C15" i="15"/>
  <c r="C14" i="15"/>
  <c r="C13" i="15"/>
  <c r="C12" i="15"/>
  <c r="C11" i="15"/>
  <c r="C10" i="15"/>
  <c r="C52" i="14"/>
  <c r="C51" i="14"/>
  <c r="C50" i="14"/>
  <c r="C49" i="14"/>
  <c r="C48" i="14"/>
  <c r="C47" i="14"/>
  <c r="C44" i="14"/>
  <c r="C43" i="14"/>
  <c r="C42" i="14"/>
  <c r="C41" i="14"/>
  <c r="C39" i="14"/>
  <c r="C37" i="14"/>
  <c r="C36" i="14"/>
  <c r="C35" i="14"/>
  <c r="C34" i="14"/>
  <c r="C22" i="14"/>
  <c r="C20" i="14"/>
  <c r="C18" i="14"/>
  <c r="C17" i="14"/>
  <c r="C16" i="14"/>
  <c r="C15" i="14"/>
  <c r="C14" i="14"/>
  <c r="C11" i="14"/>
  <c r="C10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0" i="13"/>
  <c r="C9" i="13"/>
  <c r="C8" i="13"/>
  <c r="C127" i="8"/>
  <c r="C126" i="8"/>
  <c r="C48" i="8"/>
  <c r="C47" i="8"/>
  <c r="C46" i="8"/>
  <c r="C45" i="8"/>
  <c r="C44" i="8"/>
  <c r="C43" i="8"/>
  <c r="C42" i="8"/>
  <c r="C41" i="8"/>
  <c r="C40" i="8"/>
  <c r="C39" i="8"/>
  <c r="C37" i="8"/>
  <c r="C36" i="8"/>
  <c r="C35" i="8"/>
  <c r="C34" i="8"/>
  <c r="C33" i="8"/>
  <c r="C32" i="8"/>
  <c r="C31" i="8"/>
  <c r="C30" i="8"/>
  <c r="C29" i="8"/>
  <c r="C28" i="8"/>
  <c r="C19" i="8"/>
  <c r="C18" i="8"/>
  <c r="C17" i="8"/>
  <c r="C16" i="8"/>
  <c r="C15" i="8"/>
  <c r="C14" i="8"/>
  <c r="C13" i="8"/>
  <c r="C12" i="8"/>
  <c r="C11" i="8"/>
  <c r="C10" i="8"/>
  <c r="C9" i="8"/>
  <c r="C8" i="8"/>
  <c r="T9" i="17"/>
  <c r="L23" i="17"/>
  <c r="R25" i="17"/>
  <c r="S25" i="17"/>
  <c r="T25" i="17"/>
  <c r="L12" i="17"/>
  <c r="M11" i="17"/>
  <c r="H11" i="8"/>
  <c r="T4" i="17"/>
  <c r="E41" i="14"/>
  <c r="E40" i="14"/>
  <c r="E39" i="14"/>
  <c r="E38" i="14"/>
  <c r="C40" i="14"/>
  <c r="C38" i="14"/>
  <c r="B41" i="14"/>
  <c r="B40" i="14"/>
  <c r="B38" i="14"/>
  <c r="W29" i="14"/>
  <c r="W66" i="14" s="1"/>
  <c r="V29" i="14"/>
  <c r="V66" i="14" s="1"/>
  <c r="W28" i="14"/>
  <c r="W65" i="14" s="1"/>
  <c r="V28" i="14"/>
  <c r="V65" i="14" s="1"/>
  <c r="W27" i="14"/>
  <c r="W64" i="14" s="1"/>
  <c r="V27" i="14"/>
  <c r="V64" i="14" s="1"/>
  <c r="W26" i="14"/>
  <c r="W63" i="14" s="1"/>
  <c r="V26" i="14"/>
  <c r="V63" i="14" s="1"/>
  <c r="K30" i="13"/>
  <c r="K31" i="13"/>
  <c r="H30" i="13"/>
  <c r="H31" i="13"/>
  <c r="K9" i="13"/>
  <c r="K10" i="13"/>
  <c r="H9" i="13"/>
  <c r="H10" i="13"/>
  <c r="K23" i="13"/>
  <c r="H23" i="13"/>
  <c r="H21" i="13"/>
  <c r="K28" i="13"/>
  <c r="H28" i="13"/>
  <c r="K20" i="13"/>
  <c r="H19" i="13"/>
  <c r="K17" i="13"/>
  <c r="H17" i="13"/>
  <c r="H18" i="13"/>
  <c r="K13" i="13"/>
  <c r="K24" i="13"/>
  <c r="H13" i="13"/>
  <c r="B28" i="13"/>
  <c r="B27" i="13"/>
  <c r="T25" i="13"/>
  <c r="B26" i="13"/>
  <c r="T24" i="13"/>
  <c r="B25" i="13"/>
  <c r="T23" i="13"/>
  <c r="B24" i="13"/>
  <c r="T22" i="13"/>
  <c r="B23" i="13"/>
  <c r="T21" i="13"/>
  <c r="B22" i="13"/>
  <c r="T20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L7" i="16"/>
  <c r="K9" i="16"/>
  <c r="K11" i="16"/>
  <c r="AE10" i="8"/>
  <c r="AF7" i="16"/>
  <c r="AE8" i="8"/>
  <c r="AE9" i="8"/>
  <c r="E28" i="16"/>
  <c r="E26" i="16"/>
  <c r="E24" i="16"/>
  <c r="J23" i="16"/>
  <c r="I23" i="16"/>
  <c r="E11" i="16"/>
  <c r="E12" i="16"/>
  <c r="E13" i="16"/>
  <c r="B11" i="16"/>
  <c r="B12" i="16"/>
  <c r="X11" i="16"/>
  <c r="X10" i="16"/>
  <c r="X15" i="16"/>
  <c r="W15" i="16"/>
  <c r="X14" i="16"/>
  <c r="W14" i="16"/>
  <c r="X13" i="16"/>
  <c r="W13" i="16"/>
  <c r="U15" i="16"/>
  <c r="B28" i="16"/>
  <c r="U14" i="16"/>
  <c r="B26" i="16"/>
  <c r="U13" i="16"/>
  <c r="B24" i="16"/>
  <c r="B8" i="16"/>
  <c r="E10" i="16"/>
  <c r="E9" i="16"/>
  <c r="E8" i="16"/>
  <c r="B10" i="16"/>
  <c r="B9" i="16"/>
  <c r="X9" i="16"/>
  <c r="X8" i="16"/>
  <c r="X7" i="16"/>
  <c r="N7" i="16"/>
  <c r="M7" i="16"/>
  <c r="K7" i="16"/>
  <c r="I7" i="16"/>
  <c r="F31" i="15"/>
  <c r="F30" i="15"/>
  <c r="F29" i="15"/>
  <c r="F28" i="15"/>
  <c r="F27" i="15"/>
  <c r="E27" i="15"/>
  <c r="E28" i="15"/>
  <c r="E29" i="15"/>
  <c r="E30" i="15"/>
  <c r="E31" i="15"/>
  <c r="E26" i="15"/>
  <c r="N25" i="15"/>
  <c r="M25" i="15"/>
  <c r="L25" i="15"/>
  <c r="K25" i="15"/>
  <c r="J25" i="15"/>
  <c r="I25" i="15"/>
  <c r="E15" i="15"/>
  <c r="E14" i="15"/>
  <c r="E13" i="15"/>
  <c r="E12" i="15"/>
  <c r="E11" i="15"/>
  <c r="E10" i="15"/>
  <c r="N9" i="15"/>
  <c r="M9" i="15"/>
  <c r="L9" i="15"/>
  <c r="K9" i="15"/>
  <c r="J9" i="15"/>
  <c r="I9" i="15"/>
  <c r="C26" i="15"/>
  <c r="B31" i="15"/>
  <c r="B30" i="15"/>
  <c r="B29" i="15"/>
  <c r="B28" i="15"/>
  <c r="B27" i="15"/>
  <c r="B26" i="15"/>
  <c r="X18" i="15"/>
  <c r="W18" i="15"/>
  <c r="X17" i="15"/>
  <c r="W17" i="15"/>
  <c r="X16" i="15"/>
  <c r="W16" i="15"/>
  <c r="X15" i="15"/>
  <c r="W15" i="15"/>
  <c r="X14" i="15"/>
  <c r="W14" i="15"/>
  <c r="X13" i="15"/>
  <c r="W13" i="15"/>
  <c r="B15" i="15"/>
  <c r="B14" i="15"/>
  <c r="B13" i="15"/>
  <c r="X12" i="15"/>
  <c r="W12" i="15"/>
  <c r="X11" i="15"/>
  <c r="W11" i="15"/>
  <c r="X10" i="15"/>
  <c r="W10" i="15"/>
  <c r="X9" i="15"/>
  <c r="W9" i="15"/>
  <c r="X8" i="15"/>
  <c r="W8" i="15"/>
  <c r="X7" i="15"/>
  <c r="W7" i="15"/>
  <c r="B12" i="15"/>
  <c r="B11" i="15"/>
  <c r="B10" i="15"/>
  <c r="B55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37" i="14"/>
  <c r="E36" i="14"/>
  <c r="E35" i="14"/>
  <c r="E34" i="14"/>
  <c r="E22" i="14"/>
  <c r="E21" i="14"/>
  <c r="E20" i="14"/>
  <c r="E19" i="14"/>
  <c r="E18" i="14"/>
  <c r="E17" i="14"/>
  <c r="E16" i="14"/>
  <c r="E15" i="14"/>
  <c r="E14" i="14"/>
  <c r="E11" i="14"/>
  <c r="E10" i="14"/>
  <c r="E9" i="14"/>
  <c r="E8" i="14"/>
  <c r="C57" i="14"/>
  <c r="C56" i="14"/>
  <c r="C55" i="14"/>
  <c r="B48" i="14"/>
  <c r="W36" i="14"/>
  <c r="W73" i="14" s="1"/>
  <c r="V36" i="14"/>
  <c r="V73" i="14" s="1"/>
  <c r="W35" i="14"/>
  <c r="W72" i="14" s="1"/>
  <c r="V35" i="14"/>
  <c r="V72" i="14" s="1"/>
  <c r="W45" i="14"/>
  <c r="W82" i="14" s="1"/>
  <c r="V45" i="14"/>
  <c r="V82" i="14" s="1"/>
  <c r="W44" i="14"/>
  <c r="W81" i="14" s="1"/>
  <c r="V44" i="14"/>
  <c r="V81" i="14"/>
  <c r="W43" i="14"/>
  <c r="W80" i="14" s="1"/>
  <c r="V43" i="14"/>
  <c r="V80" i="14" s="1"/>
  <c r="C54" i="14"/>
  <c r="C53" i="14"/>
  <c r="C46" i="14"/>
  <c r="C45" i="14"/>
  <c r="C21" i="14"/>
  <c r="C19" i="14"/>
  <c r="C9" i="14"/>
  <c r="C8" i="14"/>
  <c r="T42" i="14"/>
  <c r="B54" i="14" s="1"/>
  <c r="T41" i="14"/>
  <c r="B53" i="14" s="1"/>
  <c r="T40" i="14"/>
  <c r="B52" i="14"/>
  <c r="T39" i="14"/>
  <c r="B51" i="14" s="1"/>
  <c r="T38" i="14"/>
  <c r="B50" i="14" s="1"/>
  <c r="T37" i="14"/>
  <c r="B49" i="14" s="1"/>
  <c r="B46" i="14"/>
  <c r="B43" i="14"/>
  <c r="B35" i="14"/>
  <c r="T21" i="14"/>
  <c r="B22" i="14" s="1"/>
  <c r="T20" i="14"/>
  <c r="B21" i="14" s="1"/>
  <c r="T19" i="14"/>
  <c r="B20" i="14" s="1"/>
  <c r="T18" i="14"/>
  <c r="B19" i="14" s="1"/>
  <c r="T17" i="14"/>
  <c r="B18" i="14" s="1"/>
  <c r="T16" i="14"/>
  <c r="B17" i="14"/>
  <c r="B15" i="14"/>
  <c r="B14" i="14"/>
  <c r="B8" i="14"/>
  <c r="W42" i="14"/>
  <c r="W79" i="14" s="1"/>
  <c r="V42" i="14"/>
  <c r="V79" i="14" s="1"/>
  <c r="W41" i="14"/>
  <c r="W78" i="14" s="1"/>
  <c r="V41" i="14"/>
  <c r="V78" i="14"/>
  <c r="W40" i="14"/>
  <c r="W77" i="14" s="1"/>
  <c r="V40" i="14"/>
  <c r="V77" i="14"/>
  <c r="W39" i="14"/>
  <c r="W76" i="14"/>
  <c r="V39" i="14"/>
  <c r="V76" i="14" s="1"/>
  <c r="W38" i="14"/>
  <c r="W75" i="14" s="1"/>
  <c r="V38" i="14"/>
  <c r="V75" i="14"/>
  <c r="W37" i="14"/>
  <c r="W74" i="14" s="1"/>
  <c r="V37" i="14"/>
  <c r="V74" i="14" s="1"/>
  <c r="W34" i="14"/>
  <c r="W71" i="14" s="1"/>
  <c r="V34" i="14"/>
  <c r="V71" i="14" s="1"/>
  <c r="W33" i="14"/>
  <c r="W70" i="14"/>
  <c r="V33" i="14"/>
  <c r="V70" i="14"/>
  <c r="W32" i="14"/>
  <c r="W69" i="14" s="1"/>
  <c r="V32" i="14"/>
  <c r="V69" i="14"/>
  <c r="N33" i="14"/>
  <c r="M33" i="14"/>
  <c r="L33" i="14"/>
  <c r="K33" i="14"/>
  <c r="J33" i="14"/>
  <c r="I33" i="14"/>
  <c r="W31" i="14"/>
  <c r="W68" i="14"/>
  <c r="V31" i="14"/>
  <c r="V68" i="14"/>
  <c r="W30" i="14"/>
  <c r="W67" i="14" s="1"/>
  <c r="V30" i="14"/>
  <c r="V67" i="14" s="1"/>
  <c r="W25" i="14"/>
  <c r="W62" i="14" s="1"/>
  <c r="V25" i="14"/>
  <c r="V62" i="14" s="1"/>
  <c r="W24" i="14"/>
  <c r="W61" i="14"/>
  <c r="V24" i="14"/>
  <c r="V61" i="14" s="1"/>
  <c r="W23" i="14"/>
  <c r="W60" i="14" s="1"/>
  <c r="V23" i="14"/>
  <c r="V60" i="14"/>
  <c r="W22" i="14"/>
  <c r="W59" i="14"/>
  <c r="V22" i="14"/>
  <c r="V59" i="14" s="1"/>
  <c r="W21" i="14"/>
  <c r="W58" i="14"/>
  <c r="V21" i="14"/>
  <c r="V58" i="14" s="1"/>
  <c r="W20" i="14"/>
  <c r="W57" i="14" s="1"/>
  <c r="V20" i="14"/>
  <c r="V57" i="14" s="1"/>
  <c r="W19" i="14"/>
  <c r="W56" i="14" s="1"/>
  <c r="V19" i="14"/>
  <c r="V56" i="14" s="1"/>
  <c r="W18" i="14"/>
  <c r="W55" i="14"/>
  <c r="V18" i="14"/>
  <c r="V55" i="14" s="1"/>
  <c r="W17" i="14"/>
  <c r="W54" i="14"/>
  <c r="V17" i="14"/>
  <c r="V54" i="14"/>
  <c r="W16" i="14"/>
  <c r="W53" i="14" s="1"/>
  <c r="V16" i="14"/>
  <c r="V53" i="14" s="1"/>
  <c r="W13" i="14"/>
  <c r="W52" i="14"/>
  <c r="V13" i="14"/>
  <c r="V52" i="14" s="1"/>
  <c r="W12" i="14"/>
  <c r="W51" i="14" s="1"/>
  <c r="V12" i="14"/>
  <c r="V51" i="14" s="1"/>
  <c r="W11" i="14"/>
  <c r="W50" i="14" s="1"/>
  <c r="V11" i="14"/>
  <c r="V50" i="14"/>
  <c r="W10" i="14"/>
  <c r="W49" i="14"/>
  <c r="V10" i="14"/>
  <c r="V49" i="14" s="1"/>
  <c r="W9" i="14"/>
  <c r="W48" i="14"/>
  <c r="V9" i="14"/>
  <c r="V48" i="14"/>
  <c r="W8" i="14"/>
  <c r="W47" i="14" s="1"/>
  <c r="V8" i="14"/>
  <c r="V47" i="14" s="1"/>
  <c r="W7" i="14"/>
  <c r="W46" i="14" s="1"/>
  <c r="V7" i="14"/>
  <c r="V46" i="14" s="1"/>
  <c r="N7" i="14"/>
  <c r="M7" i="14"/>
  <c r="L7" i="14"/>
  <c r="K7" i="14"/>
  <c r="J7" i="14"/>
  <c r="I7" i="14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P15" i="12"/>
  <c r="P14" i="12"/>
  <c r="P13" i="12"/>
  <c r="P12" i="12"/>
  <c r="P11" i="12"/>
  <c r="P10" i="12"/>
  <c r="P9" i="12"/>
  <c r="P8" i="12"/>
  <c r="P7" i="12"/>
  <c r="P6" i="12"/>
  <c r="W30" i="13"/>
  <c r="W29" i="13"/>
  <c r="W28" i="13"/>
  <c r="W27" i="13"/>
  <c r="W26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V27" i="13"/>
  <c r="V26" i="13"/>
  <c r="B31" i="13"/>
  <c r="B30" i="13"/>
  <c r="B29" i="13"/>
  <c r="W25" i="13"/>
  <c r="V25" i="13"/>
  <c r="W24" i="13"/>
  <c r="V24" i="13"/>
  <c r="W23" i="13"/>
  <c r="V23" i="13"/>
  <c r="W22" i="13"/>
  <c r="V22" i="13"/>
  <c r="W21" i="13"/>
  <c r="V21" i="13"/>
  <c r="W20" i="13"/>
  <c r="V20" i="13"/>
  <c r="V30" i="13"/>
  <c r="V29" i="13"/>
  <c r="V28" i="13"/>
  <c r="W19" i="13"/>
  <c r="V19" i="13"/>
  <c r="W18" i="13"/>
  <c r="V18" i="13"/>
  <c r="W17" i="13"/>
  <c r="V17" i="13"/>
  <c r="W16" i="13"/>
  <c r="V16" i="13"/>
  <c r="W15" i="13"/>
  <c r="V15" i="13"/>
  <c r="W14" i="13"/>
  <c r="V14" i="13"/>
  <c r="W13" i="13"/>
  <c r="V13" i="13"/>
  <c r="W12" i="13"/>
  <c r="V12" i="13"/>
  <c r="W11" i="13"/>
  <c r="V11" i="13"/>
  <c r="C11" i="13"/>
  <c r="W10" i="13"/>
  <c r="V10" i="13"/>
  <c r="W9" i="13"/>
  <c r="V9" i="13"/>
  <c r="W8" i="13"/>
  <c r="V8" i="13"/>
  <c r="W7" i="13"/>
  <c r="V7" i="13"/>
  <c r="N7" i="13"/>
  <c r="M7" i="13"/>
  <c r="L7" i="13"/>
  <c r="K7" i="13"/>
  <c r="J7" i="13"/>
  <c r="I7" i="13"/>
  <c r="B128" i="8"/>
  <c r="N125" i="8"/>
  <c r="M125" i="8"/>
  <c r="L125" i="8"/>
  <c r="K125" i="8"/>
  <c r="J125" i="8"/>
  <c r="I125" i="8"/>
  <c r="V46" i="8"/>
  <c r="U46" i="8"/>
  <c r="V45" i="8"/>
  <c r="U45" i="8"/>
  <c r="V44" i="8"/>
  <c r="U44" i="8"/>
  <c r="E126" i="8"/>
  <c r="B126" i="8"/>
  <c r="E128" i="8"/>
  <c r="E127" i="8"/>
  <c r="C128" i="8"/>
  <c r="B127" i="8"/>
  <c r="B28" i="8"/>
  <c r="B8" i="8"/>
  <c r="L7" i="8"/>
  <c r="D12" i="11"/>
  <c r="D13" i="11"/>
  <c r="H23" i="16"/>
  <c r="E18" i="11"/>
  <c r="E19" i="11"/>
  <c r="E23" i="11"/>
  <c r="J7" i="8"/>
  <c r="K7" i="8"/>
  <c r="M7" i="8"/>
  <c r="N7" i="8"/>
  <c r="O7" i="8"/>
  <c r="U7" i="8"/>
  <c r="U48" i="8"/>
  <c r="V7" i="8"/>
  <c r="V48" i="8"/>
  <c r="E8" i="8"/>
  <c r="B9" i="8"/>
  <c r="U8" i="8"/>
  <c r="U49" i="8" s="1"/>
  <c r="V8" i="8"/>
  <c r="V49" i="8"/>
  <c r="E9" i="8"/>
  <c r="B10" i="8"/>
  <c r="U9" i="8"/>
  <c r="U50" i="8" s="1"/>
  <c r="V9" i="8"/>
  <c r="V50" i="8" s="1"/>
  <c r="E10" i="8"/>
  <c r="B11" i="8"/>
  <c r="U10" i="8"/>
  <c r="U51" i="8"/>
  <c r="V10" i="8"/>
  <c r="V51" i="8" s="1"/>
  <c r="E11" i="8"/>
  <c r="B12" i="8"/>
  <c r="U11" i="8"/>
  <c r="U52" i="8"/>
  <c r="V11" i="8"/>
  <c r="V52" i="8"/>
  <c r="E12" i="8"/>
  <c r="B13" i="8"/>
  <c r="U12" i="8"/>
  <c r="U53" i="8" s="1"/>
  <c r="V12" i="8"/>
  <c r="V53" i="8"/>
  <c r="E13" i="8"/>
  <c r="B14" i="8"/>
  <c r="U13" i="8"/>
  <c r="U54" i="8" s="1"/>
  <c r="V13" i="8"/>
  <c r="V54" i="8" s="1"/>
  <c r="E14" i="8"/>
  <c r="B15" i="8"/>
  <c r="U14" i="8"/>
  <c r="U55" i="8"/>
  <c r="V14" i="8"/>
  <c r="V55" i="8" s="1"/>
  <c r="E15" i="8"/>
  <c r="B16" i="8"/>
  <c r="U15" i="8"/>
  <c r="U56" i="8"/>
  <c r="V15" i="8"/>
  <c r="V56" i="8"/>
  <c r="E16" i="8"/>
  <c r="B17" i="8"/>
  <c r="U16" i="8"/>
  <c r="U57" i="8" s="1"/>
  <c r="V16" i="8"/>
  <c r="V57" i="8"/>
  <c r="E17" i="8"/>
  <c r="B18" i="8"/>
  <c r="U17" i="8"/>
  <c r="U58" i="8" s="1"/>
  <c r="V17" i="8"/>
  <c r="V58" i="8" s="1"/>
  <c r="E18" i="8"/>
  <c r="B19" i="8"/>
  <c r="U18" i="8"/>
  <c r="U59" i="8"/>
  <c r="V18" i="8"/>
  <c r="V59" i="8" s="1"/>
  <c r="E19" i="8"/>
  <c r="U23" i="8"/>
  <c r="U64" i="8"/>
  <c r="V23" i="8"/>
  <c r="V64" i="8" s="1"/>
  <c r="E28" i="8"/>
  <c r="B29" i="8"/>
  <c r="U24" i="8"/>
  <c r="U65" i="8"/>
  <c r="V24" i="8"/>
  <c r="V65" i="8"/>
  <c r="E29" i="8"/>
  <c r="U25" i="8"/>
  <c r="U66" i="8" s="1"/>
  <c r="V25" i="8"/>
  <c r="V66" i="8"/>
  <c r="E30" i="8"/>
  <c r="B31" i="8"/>
  <c r="U26" i="8"/>
  <c r="U67" i="8" s="1"/>
  <c r="V26" i="8"/>
  <c r="V67" i="8" s="1"/>
  <c r="E31" i="8"/>
  <c r="B32" i="8"/>
  <c r="U27" i="8"/>
  <c r="U68" i="8"/>
  <c r="V27" i="8"/>
  <c r="V68" i="8" s="1"/>
  <c r="E32" i="8"/>
  <c r="B33" i="8"/>
  <c r="U28" i="8"/>
  <c r="U69" i="8"/>
  <c r="V28" i="8"/>
  <c r="V69" i="8"/>
  <c r="E33" i="8"/>
  <c r="B34" i="8"/>
  <c r="U29" i="8"/>
  <c r="U70" i="8" s="1"/>
  <c r="V29" i="8"/>
  <c r="V70" i="8"/>
  <c r="E34" i="8"/>
  <c r="B35" i="8"/>
  <c r="U30" i="8"/>
  <c r="U71" i="8" s="1"/>
  <c r="V30" i="8"/>
  <c r="V71" i="8" s="1"/>
  <c r="E35" i="8"/>
  <c r="B36" i="8"/>
  <c r="U31" i="8"/>
  <c r="U72" i="8"/>
  <c r="V31" i="8"/>
  <c r="V72" i="8" s="1"/>
  <c r="E36" i="8"/>
  <c r="B37" i="8"/>
  <c r="U32" i="8"/>
  <c r="U73" i="8"/>
  <c r="V32" i="8"/>
  <c r="V73" i="8"/>
  <c r="E37" i="8"/>
  <c r="S33" i="8"/>
  <c r="B39" i="8"/>
  <c r="U33" i="8"/>
  <c r="U74" i="8" s="1"/>
  <c r="V33" i="8"/>
  <c r="V74" i="8" s="1"/>
  <c r="E39" i="8"/>
  <c r="S34" i="8"/>
  <c r="B40" i="8" s="1"/>
  <c r="U34" i="8"/>
  <c r="U75" i="8" s="1"/>
  <c r="V34" i="8"/>
  <c r="V75" i="8"/>
  <c r="E40" i="8"/>
  <c r="S35" i="8"/>
  <c r="B41" i="8"/>
  <c r="U35" i="8"/>
  <c r="U76" i="8"/>
  <c r="V35" i="8"/>
  <c r="V76" i="8" s="1"/>
  <c r="E41" i="8"/>
  <c r="S36" i="8"/>
  <c r="B42" i="8"/>
  <c r="U36" i="8"/>
  <c r="U77" i="8" s="1"/>
  <c r="V36" i="8"/>
  <c r="V77" i="8" s="1"/>
  <c r="E42" i="8"/>
  <c r="S38" i="8"/>
  <c r="B43" i="8" s="1"/>
  <c r="U38" i="8"/>
  <c r="U78" i="8"/>
  <c r="V38" i="8"/>
  <c r="V78" i="8"/>
  <c r="E43" i="8"/>
  <c r="S39" i="8"/>
  <c r="B44" i="8"/>
  <c r="U39" i="8"/>
  <c r="U79" i="8"/>
  <c r="V39" i="8"/>
  <c r="V79" i="8" s="1"/>
  <c r="E44" i="8"/>
  <c r="S40" i="8"/>
  <c r="B45" i="8" s="1"/>
  <c r="U40" i="8"/>
  <c r="U80" i="8" s="1"/>
  <c r="V40" i="8"/>
  <c r="V80" i="8"/>
  <c r="E45" i="8"/>
  <c r="S41" i="8"/>
  <c r="B46" i="8" s="1"/>
  <c r="U41" i="8"/>
  <c r="U81" i="8"/>
  <c r="V41" i="8"/>
  <c r="V81" i="8"/>
  <c r="E46" i="8"/>
  <c r="S42" i="8"/>
  <c r="B47" i="8"/>
  <c r="U42" i="8"/>
  <c r="U82" i="8" s="1"/>
  <c r="V42" i="8"/>
  <c r="V82" i="8" s="1"/>
  <c r="E47" i="8"/>
  <c r="S43" i="8"/>
  <c r="B48" i="8" s="1"/>
  <c r="U43" i="8"/>
  <c r="U83" i="8" s="1"/>
  <c r="V43" i="8"/>
  <c r="V83" i="8"/>
  <c r="E48" i="8"/>
  <c r="K18" i="13"/>
  <c r="H7" i="13"/>
  <c r="I61" i="8"/>
  <c r="I7" i="8"/>
  <c r="I27" i="8"/>
  <c r="H65" i="8"/>
  <c r="I81" i="8"/>
  <c r="G74" i="8"/>
  <c r="G20" i="8"/>
  <c r="F20" i="8"/>
  <c r="F21" i="8" s="1"/>
  <c r="G70" i="8"/>
  <c r="F113" i="8"/>
  <c r="E113" i="8" s="1"/>
  <c r="F42" i="13"/>
  <c r="E42" i="13"/>
  <c r="F124" i="14"/>
  <c r="E124" i="14" s="1"/>
  <c r="K32" i="17"/>
  <c r="M31" i="17"/>
  <c r="M30" i="17"/>
  <c r="N32" i="17"/>
  <c r="L31" i="17"/>
  <c r="L30" i="17"/>
  <c r="M32" i="17"/>
  <c r="K31" i="17"/>
  <c r="M29" i="17"/>
  <c r="N31" i="17"/>
  <c r="N29" i="17"/>
  <c r="K29" i="17"/>
  <c r="K30" i="17"/>
  <c r="L29" i="17"/>
  <c r="L32" i="17"/>
  <c r="N30" i="17"/>
  <c r="H46" i="14"/>
  <c r="H101" i="14" s="1"/>
  <c r="K28" i="17"/>
  <c r="M27" i="17"/>
  <c r="M26" i="17"/>
  <c r="K26" i="17"/>
  <c r="N28" i="17"/>
  <c r="L28" i="17"/>
  <c r="L27" i="17"/>
  <c r="L25" i="17"/>
  <c r="H39" i="14"/>
  <c r="H94" i="14" s="1"/>
  <c r="K25" i="17"/>
  <c r="K27" i="17"/>
  <c r="M25" i="17"/>
  <c r="N27" i="17"/>
  <c r="N25" i="17"/>
  <c r="H41" i="14"/>
  <c r="H96" i="14" s="1"/>
  <c r="M28" i="17"/>
  <c r="N26" i="17"/>
  <c r="L26" i="17"/>
  <c r="H35" i="14"/>
  <c r="H90" i="14" s="1"/>
  <c r="K10" i="16"/>
  <c r="H24" i="13"/>
  <c r="H22" i="13"/>
  <c r="H14" i="13"/>
  <c r="K14" i="13"/>
  <c r="K15" i="13"/>
  <c r="H20" i="13"/>
  <c r="K11" i="13"/>
  <c r="H7" i="8"/>
  <c r="K22" i="13"/>
  <c r="H25" i="15"/>
  <c r="H7" i="14"/>
  <c r="H9" i="15"/>
  <c r="H11" i="13"/>
  <c r="H67" i="14"/>
  <c r="H88" i="14"/>
  <c r="H61" i="8"/>
  <c r="H125" i="8"/>
  <c r="H33" i="14"/>
  <c r="H7" i="16"/>
  <c r="K15" i="17"/>
  <c r="F25" i="13"/>
  <c r="G97" i="14"/>
  <c r="G72" i="14"/>
  <c r="G93" i="14"/>
  <c r="G89" i="14"/>
  <c r="G68" i="14"/>
  <c r="G66" i="8"/>
  <c r="G82" i="8"/>
  <c r="G62" i="8"/>
  <c r="F33" i="8"/>
  <c r="F87" i="8" s="1"/>
  <c r="G87" i="8" s="1"/>
  <c r="L10" i="17"/>
  <c r="M10" i="17"/>
  <c r="K10" i="17"/>
  <c r="N10" i="17"/>
  <c r="M16" i="17"/>
  <c r="M19" i="17"/>
  <c r="M17" i="17"/>
  <c r="H10" i="14"/>
  <c r="H70" i="14" s="1"/>
  <c r="L17" i="17"/>
  <c r="H9" i="14"/>
  <c r="H69" i="14" s="1"/>
  <c r="L9" i="17"/>
  <c r="H13" i="8"/>
  <c r="H67" i="8" s="1"/>
  <c r="M9" i="17"/>
  <c r="H14" i="8"/>
  <c r="H68" i="8" s="1"/>
  <c r="K9" i="17"/>
  <c r="H12" i="8"/>
  <c r="N9" i="17"/>
  <c r="H15" i="8"/>
  <c r="H69" i="8" s="1"/>
  <c r="L19" i="17"/>
  <c r="N19" i="17"/>
  <c r="K14" i="17"/>
  <c r="H33" i="8"/>
  <c r="H87" i="8"/>
  <c r="N13" i="17"/>
  <c r="H32" i="8"/>
  <c r="H86" i="8" s="1"/>
  <c r="M8" i="17"/>
  <c r="H18" i="8"/>
  <c r="H72" i="8" s="1"/>
  <c r="I78" i="8" s="1"/>
  <c r="L20" i="17"/>
  <c r="N14" i="17"/>
  <c r="H34" i="8"/>
  <c r="H88" i="8" s="1"/>
  <c r="M21" i="17"/>
  <c r="H8" i="14"/>
  <c r="H68" i="14" s="1"/>
  <c r="N16" i="17"/>
  <c r="L18" i="17"/>
  <c r="M33" i="17"/>
  <c r="H38" i="14"/>
  <c r="H93" i="14" s="1"/>
  <c r="K8" i="17"/>
  <c r="H16" i="8"/>
  <c r="M14" i="17"/>
  <c r="K21" i="17"/>
  <c r="N17" i="17"/>
  <c r="H11" i="14"/>
  <c r="H71" i="14" s="1"/>
  <c r="K33" i="17"/>
  <c r="L13" i="17"/>
  <c r="M34" i="17"/>
  <c r="H128" i="8"/>
  <c r="K16" i="17"/>
  <c r="K12" i="17"/>
  <c r="M22" i="17"/>
  <c r="L34" i="17"/>
  <c r="H127" i="8"/>
  <c r="H129" i="8" s="1"/>
  <c r="N15" i="17"/>
  <c r="N11" i="17"/>
  <c r="L22" i="17"/>
  <c r="K34" i="17"/>
  <c r="H126" i="8"/>
  <c r="L15" i="17"/>
  <c r="L11" i="17"/>
  <c r="H9" i="8"/>
  <c r="H63" i="8"/>
  <c r="I77" i="8"/>
  <c r="N21" i="17"/>
  <c r="M18" i="17"/>
  <c r="N33" i="17"/>
  <c r="H48" i="14"/>
  <c r="H103" i="14" s="1"/>
  <c r="K23" i="17"/>
  <c r="L8" i="17"/>
  <c r="H17" i="8"/>
  <c r="H71" i="8" s="1"/>
  <c r="I76" i="8" s="1"/>
  <c r="K13" i="17"/>
  <c r="H31" i="8"/>
  <c r="H85" i="8"/>
  <c r="K11" i="17"/>
  <c r="H8" i="8"/>
  <c r="N24" i="17"/>
  <c r="N22" i="17"/>
  <c r="N20" i="17"/>
  <c r="N18" i="17"/>
  <c r="N34" i="17"/>
  <c r="H37" i="14"/>
  <c r="H92" i="14" s="1"/>
  <c r="N12" i="17"/>
  <c r="M24" i="17"/>
  <c r="M20" i="17"/>
  <c r="H36" i="14"/>
  <c r="H91" i="14" s="1"/>
  <c r="M12" i="17"/>
  <c r="L24" i="17"/>
  <c r="L16" i="17"/>
  <c r="L14" i="17"/>
  <c r="K24" i="17"/>
  <c r="K22" i="17"/>
  <c r="K20" i="17"/>
  <c r="K18" i="17"/>
  <c r="H34" i="14"/>
  <c r="H89" i="14"/>
  <c r="H40" i="14"/>
  <c r="H43" i="14" s="1"/>
  <c r="H98" i="14" s="1"/>
  <c r="H95" i="14"/>
  <c r="N23" i="17"/>
  <c r="M23" i="17"/>
  <c r="N8" i="17"/>
  <c r="H19" i="8"/>
  <c r="M15" i="17"/>
  <c r="M13" i="17"/>
  <c r="L21" i="17"/>
  <c r="L33" i="17"/>
  <c r="G24" i="8"/>
  <c r="F24" i="8" s="1"/>
  <c r="F12" i="8"/>
  <c r="F66" i="8" s="1"/>
  <c r="G9" i="13"/>
  <c r="F9" i="13"/>
  <c r="F16" i="8"/>
  <c r="F70" i="8"/>
  <c r="F21" i="13"/>
  <c r="G28" i="8"/>
  <c r="F28" i="8"/>
  <c r="F82" i="8" s="1"/>
  <c r="F45" i="8"/>
  <c r="F98" i="8" s="1"/>
  <c r="G98" i="8" s="1"/>
  <c r="G31" i="8"/>
  <c r="F41" i="8"/>
  <c r="F94" i="8" s="1"/>
  <c r="G94" i="8" s="1"/>
  <c r="G126" i="8"/>
  <c r="F126" i="8" s="1"/>
  <c r="G16" i="13"/>
  <c r="F16" i="13"/>
  <c r="F26" i="13"/>
  <c r="F11" i="15"/>
  <c r="G8" i="16"/>
  <c r="F8" i="16"/>
  <c r="F28" i="16"/>
  <c r="F29" i="16" s="1"/>
  <c r="G26" i="8"/>
  <c r="F26" i="8" s="1"/>
  <c r="F27" i="8" s="1"/>
  <c r="F46" i="8"/>
  <c r="F99" i="8" s="1"/>
  <c r="F11" i="13"/>
  <c r="G29" i="13"/>
  <c r="F29" i="13"/>
  <c r="G34" i="14"/>
  <c r="F34" i="14"/>
  <c r="F89" i="14" s="1"/>
  <c r="F36" i="8"/>
  <c r="F90" i="8" s="1"/>
  <c r="F10" i="13"/>
  <c r="F22" i="13"/>
  <c r="F37" i="8"/>
  <c r="F91" i="8" s="1"/>
  <c r="F42" i="8"/>
  <c r="F95" i="8" s="1"/>
  <c r="G127" i="8"/>
  <c r="F127" i="8" s="1"/>
  <c r="G12" i="13"/>
  <c r="F12" i="13"/>
  <c r="F17" i="13"/>
  <c r="F23" i="13"/>
  <c r="F30" i="13"/>
  <c r="G14" i="14"/>
  <c r="F14" i="14"/>
  <c r="F72" i="14" s="1"/>
  <c r="G47" i="14"/>
  <c r="F47" i="14" s="1"/>
  <c r="F102" i="14" s="1"/>
  <c r="G102" i="14" s="1"/>
  <c r="F12" i="15"/>
  <c r="F9" i="16"/>
  <c r="F11" i="16"/>
  <c r="G24" i="16"/>
  <c r="F24" i="16"/>
  <c r="F25" i="16"/>
  <c r="F43" i="8"/>
  <c r="F96" i="8" s="1"/>
  <c r="G96" i="8" s="1"/>
  <c r="F47" i="8"/>
  <c r="F100" i="8" s="1"/>
  <c r="G13" i="13"/>
  <c r="F13" i="13"/>
  <c r="G19" i="13"/>
  <c r="F19" i="13"/>
  <c r="G8" i="14"/>
  <c r="F8" i="14" s="1"/>
  <c r="F68" i="14" s="1"/>
  <c r="G35" i="14"/>
  <c r="G42" i="14"/>
  <c r="F42" i="14" s="1"/>
  <c r="F97" i="14" s="1"/>
  <c r="F12" i="16"/>
  <c r="G8" i="8"/>
  <c r="F8" i="8"/>
  <c r="F62" i="8" s="1"/>
  <c r="F29" i="8"/>
  <c r="F83" i="8" s="1"/>
  <c r="G83" i="8" s="1"/>
  <c r="F39" i="8"/>
  <c r="F92" i="8" s="1"/>
  <c r="G92" i="8" s="1"/>
  <c r="G128" i="8"/>
  <c r="F128" i="8"/>
  <c r="F18" i="13"/>
  <c r="F24" i="13"/>
  <c r="G9" i="14"/>
  <c r="F9" i="14" s="1"/>
  <c r="F69" i="14" s="1"/>
  <c r="G69" i="14" s="1"/>
  <c r="G13" i="15"/>
  <c r="F13" i="15"/>
  <c r="F10" i="16"/>
  <c r="G22" i="8"/>
  <c r="F22" i="8"/>
  <c r="F23" i="8" s="1"/>
  <c r="F44" i="8"/>
  <c r="F97" i="8" s="1"/>
  <c r="F48" i="8"/>
  <c r="F101" i="8" s="1"/>
  <c r="F14" i="13"/>
  <c r="F14" i="15"/>
  <c r="F26" i="16"/>
  <c r="F27" i="16"/>
  <c r="G9" i="8"/>
  <c r="F30" i="8"/>
  <c r="F84" i="8" s="1"/>
  <c r="F35" i="8"/>
  <c r="F89" i="8" s="1"/>
  <c r="F40" i="8"/>
  <c r="F93" i="8" s="1"/>
  <c r="G8" i="13"/>
  <c r="F8" i="13"/>
  <c r="F15" i="13"/>
  <c r="F20" i="13"/>
  <c r="F38" i="14"/>
  <c r="F93" i="14" s="1"/>
  <c r="G45" i="14"/>
  <c r="F45" i="14" s="1"/>
  <c r="F100" i="14" s="1"/>
  <c r="G100" i="14" s="1"/>
  <c r="G10" i="15"/>
  <c r="F10" i="15"/>
  <c r="F15" i="15"/>
  <c r="I21" i="8"/>
  <c r="H62" i="8"/>
  <c r="I75" i="8" s="1"/>
  <c r="I24" i="8"/>
  <c r="I22" i="8"/>
  <c r="H70" i="8"/>
  <c r="I74" i="8" s="1"/>
  <c r="I20" i="8"/>
  <c r="I26" i="8"/>
  <c r="H73" i="8"/>
  <c r="I80" i="8"/>
  <c r="I23" i="8"/>
  <c r="H10" i="8"/>
  <c r="I25" i="8" s="1"/>
  <c r="H15" i="13"/>
  <c r="H45" i="14"/>
  <c r="H100" i="14" s="1"/>
  <c r="H47" i="14"/>
  <c r="H102" i="14" s="1"/>
  <c r="H42" i="14"/>
  <c r="H97" i="14" s="1"/>
  <c r="H44" i="8"/>
  <c r="H97" i="8" s="1"/>
  <c r="H15" i="14"/>
  <c r="H73" i="14" s="1"/>
  <c r="H28" i="8"/>
  <c r="H82" i="8" s="1"/>
  <c r="H16" i="14"/>
  <c r="H74" i="14" s="1"/>
  <c r="H18" i="14"/>
  <c r="H20" i="14" s="1"/>
  <c r="H78" i="14" s="1"/>
  <c r="H76" i="14"/>
  <c r="H66" i="8"/>
  <c r="H30" i="8"/>
  <c r="H84" i="8" s="1"/>
  <c r="H40" i="8"/>
  <c r="H93" i="8" s="1"/>
  <c r="H44" i="14"/>
  <c r="H99" i="14" s="1"/>
  <c r="H29" i="8"/>
  <c r="H83" i="8" s="1"/>
  <c r="F50" i="14"/>
  <c r="F105" i="14" s="1"/>
  <c r="F56" i="14"/>
  <c r="F111" i="14" s="1"/>
  <c r="G111" i="14" s="1"/>
  <c r="F21" i="14"/>
  <c r="F79" i="14" s="1"/>
  <c r="F48" i="14"/>
  <c r="F103" i="14" s="1"/>
  <c r="F20" i="14"/>
  <c r="F78" i="14" s="1"/>
  <c r="F55" i="14"/>
  <c r="F110" i="14" s="1"/>
  <c r="G110" i="14" s="1"/>
  <c r="F52" i="14"/>
  <c r="F107" i="14" s="1"/>
  <c r="F57" i="14"/>
  <c r="F112" i="14" s="1"/>
  <c r="F44" i="14"/>
  <c r="F99" i="14" s="1"/>
  <c r="F49" i="14"/>
  <c r="F104" i="14" s="1"/>
  <c r="G104" i="14" s="1"/>
  <c r="F36" i="14"/>
  <c r="F91" i="14" s="1"/>
  <c r="G91" i="14" s="1"/>
  <c r="F39" i="14"/>
  <c r="F94" i="14"/>
  <c r="G94" i="14" s="1"/>
  <c r="F11" i="14"/>
  <c r="F71" i="14" s="1"/>
  <c r="F22" i="14"/>
  <c r="F80" i="14" s="1"/>
  <c r="F17" i="14"/>
  <c r="F75" i="14" s="1"/>
  <c r="G75" i="14" s="1"/>
  <c r="F54" i="14"/>
  <c r="F109" i="14" s="1"/>
  <c r="F40" i="14"/>
  <c r="F95" i="14" s="1"/>
  <c r="G95" i="14" s="1"/>
  <c r="F46" i="14"/>
  <c r="F101" i="14" s="1"/>
  <c r="F15" i="14"/>
  <c r="F73" i="14" s="1"/>
  <c r="G73" i="14" s="1"/>
  <c r="F41" i="14"/>
  <c r="F96" i="14" s="1"/>
  <c r="F18" i="14"/>
  <c r="F76" i="14" s="1"/>
  <c r="F19" i="14"/>
  <c r="F77" i="14" s="1"/>
  <c r="G77" i="14" s="1"/>
  <c r="F10" i="14"/>
  <c r="F70" i="14" s="1"/>
  <c r="G70" i="14" s="1"/>
  <c r="F37" i="14"/>
  <c r="F92" i="14" s="1"/>
  <c r="F35" i="14"/>
  <c r="F90" i="14" s="1"/>
  <c r="G90" i="14" s="1"/>
  <c r="F43" i="14"/>
  <c r="F98" i="14" s="1"/>
  <c r="G98" i="14" s="1"/>
  <c r="F53" i="14"/>
  <c r="F108" i="14" s="1"/>
  <c r="F51" i="14"/>
  <c r="F106" i="14" s="1"/>
  <c r="G106" i="14" s="1"/>
  <c r="F16" i="14"/>
  <c r="F74" i="14" s="1"/>
  <c r="F9" i="8"/>
  <c r="F63" i="8" s="1"/>
  <c r="G63" i="8" s="1"/>
  <c r="F14" i="8"/>
  <c r="F68" i="8" s="1"/>
  <c r="G68" i="8" s="1"/>
  <c r="F18" i="8"/>
  <c r="F72" i="8" s="1"/>
  <c r="F17" i="8"/>
  <c r="F71" i="8" s="1"/>
  <c r="F34" i="8"/>
  <c r="F88" i="8" s="1"/>
  <c r="F32" i="8"/>
  <c r="F86" i="8" s="1"/>
  <c r="F19" i="8"/>
  <c r="F73" i="8" s="1"/>
  <c r="F15" i="8"/>
  <c r="F69" i="8" s="1"/>
  <c r="F31" i="8"/>
  <c r="F85" i="8" s="1"/>
  <c r="G85" i="8" s="1"/>
  <c r="F13" i="8"/>
  <c r="F67" i="8" s="1"/>
  <c r="G67" i="8" s="1"/>
  <c r="F11" i="8"/>
  <c r="F65" i="8"/>
  <c r="F10" i="8"/>
  <c r="F64" i="8"/>
  <c r="G64" i="8" s="1"/>
  <c r="F78" i="8" l="1"/>
  <c r="F79" i="8" s="1"/>
  <c r="F25" i="8"/>
  <c r="L45" i="8"/>
  <c r="L98" i="8" s="1"/>
  <c r="L96" i="8"/>
  <c r="H39" i="8"/>
  <c r="H92" i="8" s="1"/>
  <c r="H43" i="8"/>
  <c r="L41" i="8"/>
  <c r="L94" i="8" s="1"/>
  <c r="F74" i="8"/>
  <c r="F75" i="8" s="1"/>
  <c r="H46" i="8"/>
  <c r="H99" i="8" s="1"/>
  <c r="H42" i="8"/>
  <c r="H95" i="8" s="1"/>
  <c r="L68" i="8"/>
  <c r="N24" i="8"/>
  <c r="H64" i="8"/>
  <c r="I79" i="8" s="1"/>
  <c r="H41" i="8"/>
  <c r="H94" i="8" s="1"/>
  <c r="L42" i="8"/>
  <c r="L95" i="8" s="1"/>
  <c r="N22" i="8"/>
  <c r="F76" i="8"/>
  <c r="F77" i="8" s="1"/>
  <c r="H14" i="14"/>
  <c r="H72" i="14" s="1"/>
  <c r="K19" i="14"/>
  <c r="K77" i="14" s="1"/>
  <c r="H17" i="14"/>
  <c r="K109" i="14"/>
  <c r="K70" i="14"/>
  <c r="K53" i="14"/>
  <c r="K108" i="14" s="1"/>
  <c r="K51" i="14"/>
  <c r="K106" i="14" s="1"/>
  <c r="H49" i="14"/>
  <c r="H50" i="14"/>
  <c r="K80" i="14"/>
  <c r="G76" i="8"/>
  <c r="G71" i="8"/>
  <c r="G72" i="8"/>
  <c r="G78" i="8"/>
  <c r="F80" i="8"/>
  <c r="F81" i="8" s="1"/>
  <c r="H96" i="8" l="1"/>
  <c r="H45" i="8"/>
  <c r="H98" i="8" s="1"/>
  <c r="H75" i="14"/>
  <c r="H19" i="14"/>
  <c r="H77" i="14" s="1"/>
  <c r="H105" i="14"/>
  <c r="H52" i="14"/>
  <c r="H107" i="14" s="1"/>
  <c r="H51" i="14"/>
  <c r="H106" i="14" s="1"/>
  <c r="H10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Gary Goldstein</author>
    <author>Rocco De Miglio</author>
  </authors>
  <commentList>
    <comment ref="C5" authorId="0" shapeId="0" xr:uid="{00000000-0006-0000-01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W5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5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5" authorId="0" shapeId="0" xr:uid="{00000000-0006-0000-01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6" authorId="0" shapeId="0" xr:uid="{00000000-0006-0000-01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B6" authorId="2" shapeId="0" xr:uid="{00000000-0006-0000-01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F6" authorId="0" shapeId="0" xr:uid="{00000000-0006-0000-0100-000007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AG6" authorId="0" shapeId="0" xr:uid="{00000000-0006-0000-0100-000008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H6" authorId="0" shapeId="0" xr:uid="{00000000-0006-0000-0100-000009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I6" authorId="0" shapeId="0" xr:uid="{00000000-0006-0000-0100-00000A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L38" authorId="3" shapeId="0" xr:uid="{A5B6218D-6769-4B3E-B37A-621911C67710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learning rate</t>
        </r>
      </text>
    </comment>
    <comment ref="C59" authorId="0" shapeId="0" xr:uid="{00000000-0006-0000-0100-00000C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R92" authorId="2" shapeId="0" xr:uid="{00000000-0006-0000-0100-00000D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V92" authorId="0" shapeId="0" xr:uid="{00000000-0006-0000-0100-00000E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W92" authorId="0" shapeId="0" xr:uid="{00000000-0006-0000-0100-00000F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92" authorId="0" shapeId="0" xr:uid="{00000000-0006-0000-0100-000010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Y92" authorId="0" shapeId="0" xr:uid="{00000000-0006-0000-0100-000011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C123" authorId="0" shapeId="0" xr:uid="{00000000-0006-0000-0100-00000B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I139" authorId="3" shapeId="0" xr:uid="{3E3F0E99-2950-4055-899C-FBD01EA84ECE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4000 USD / 40 kx (per each charging point)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Rocco De Miglio</author>
    <author>Gary Goldstein</author>
  </authors>
  <commentList>
    <comment ref="C5" authorId="0" shapeId="0" xr:uid="{00000000-0006-0000-02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5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6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32" authorId="2" shapeId="0" xr:uid="{D08D97C1-739C-47D1-ACA8-50EEBFD1CAD9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learning rate</t>
        </r>
      </text>
    </comment>
    <comment ref="S38" authorId="3" shapeId="0" xr:uid="{00000000-0006-0000-02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W38" authorId="0" shapeId="0" xr:uid="{00000000-0006-0000-0200-000007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X38" authorId="0" shapeId="0" xr:uid="{00000000-0006-0000-0200-000008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38" authorId="0" shapeId="0" xr:uid="{00000000-0006-0000-0200-000009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Z38" authorId="0" shapeId="0" xr:uid="{00000000-0006-0000-0200-00000A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Gary Goldstein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0" shapeId="0" xr:uid="{00000000-0006-0000-03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5" authorId="1" shapeId="0" xr:uid="{00000000-0006-0000-03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5" authorId="0" shapeId="0" xr:uid="{00000000-0006-0000-03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6" authorId="0" shapeId="0" xr:uid="{00000000-0006-0000-03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31" authorId="0" shapeId="0" xr:uid="{00000000-0006-0000-03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65" authorId="0" shapeId="0" xr:uid="{00000000-0006-0000-03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6" authorId="0" shapeId="0" xr:uid="{00000000-0006-0000-03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S89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W89" authorId="0" shapeId="0" xr:uid="{00000000-0006-0000-0300-00000A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X89" authorId="0" shapeId="0" xr:uid="{00000000-0006-0000-0300-00000B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89" authorId="0" shapeId="0" xr:uid="{00000000-0006-0000-0300-00000C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Z89" authorId="0" shapeId="0" xr:uid="{00000000-0006-0000-0300-00000D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Y5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5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5" authorId="0" shapeId="0" xr:uid="{00000000-0006-0000-04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6" authorId="0" shapeId="0" xr:uid="{00000000-0006-0000-04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7" authorId="0" shapeId="0" xr:uid="{00000000-0006-0000-0400-000005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3" authorId="0" shapeId="0" xr:uid="{00000000-0006-0000-04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Gary Goldstein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Y5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5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5" authorId="0" shapeId="0" xr:uid="{00000000-0006-0000-05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C5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G5" authorId="0" shapeId="0" xr:uid="{00000000-0006-0000-0500-000006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AH5" authorId="0" shapeId="0" xr:uid="{00000000-0006-0000-0500-000007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I5" authorId="0" shapeId="0" xr:uid="{00000000-0006-0000-0500-000008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J5" authorId="0" shapeId="0" xr:uid="{00000000-0006-0000-0500-000009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6" authorId="0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21" authorId="0" shapeId="0" xr:uid="{00000000-0006-0000-0500-00000B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4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" authorId="1" shapeId="0" xr:uid="{00000000-0006-0000-06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4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L4" authorId="0" shapeId="0" xr:uid="{00000000-0006-0000-06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4" authorId="1" shapeId="0" xr:uid="{00000000-0006-0000-06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4" authorId="2" shapeId="0" xr:uid="{00000000-0006-0000-06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4" authorId="2" shapeId="0" xr:uid="{00000000-0006-0000-06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4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W4" authorId="0" shapeId="0" xr:uid="{00000000-0006-0000-06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B4" authorId="1" shapeId="0" xr:uid="{00000000-0006-0000-0600-00000C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C4" authorId="2" shapeId="0" xr:uid="{00000000-0006-0000-06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4" authorId="2" shapeId="0" xr:uid="{00000000-0006-0000-06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E4" authorId="2" shapeId="0" xr:uid="{00000000-0006-0000-06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<sst xmlns="http://schemas.openxmlformats.org/spreadsheetml/2006/main" count="2433" uniqueCount="1211">
  <si>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</si>
  <si>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</si>
  <si>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</si>
  <si>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</si>
  <si>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</si>
  <si>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</si>
  <si>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</si>
  <si>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</si>
  <si>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</si>
  <si>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</si>
  <si>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</si>
  <si>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</si>
  <si>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</si>
  <si>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</si>
  <si>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</si>
  <si>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</si>
  <si>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</si>
  <si>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</si>
  <si>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</si>
  <si>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</si>
  <si>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</si>
  <si>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</si>
  <si>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</si>
  <si>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</si>
  <si>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</si>
  <si>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</si>
  <si>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</si>
  <si>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</si>
  <si>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</si>
  <si>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</si>
  <si>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</si>
  <si>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</si>
  <si>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</si>
  <si>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</si>
  <si>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</si>
  <si>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</si>
  <si>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</si>
  <si>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</si>
  <si>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</si>
  <si>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</si>
  <si>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</si>
  <si>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</si>
  <si>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</si>
  <si>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</si>
  <si>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</si>
  <si>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</si>
  <si>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</si>
  <si>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Years</t>
  </si>
  <si>
    <t>DAYNITE</t>
  </si>
  <si>
    <t>NCAP_TLIFE</t>
  </si>
  <si>
    <t>PRC_CAPACT</t>
  </si>
  <si>
    <t>PRC_RESID</t>
  </si>
  <si>
    <t>Default Units</t>
  </si>
  <si>
    <t>BASE_YEAR</t>
  </si>
  <si>
    <t>Energy</t>
  </si>
  <si>
    <t>PJ</t>
  </si>
  <si>
    <t>END_YEAR</t>
  </si>
  <si>
    <t>Capacity</t>
  </si>
  <si>
    <t>PJ/a</t>
  </si>
  <si>
    <t>Currency Unit</t>
  </si>
  <si>
    <t>Emissions</t>
  </si>
  <si>
    <t>Gg</t>
  </si>
  <si>
    <t>GW</t>
  </si>
  <si>
    <t>Units by Attribute and Sector</t>
  </si>
  <si>
    <t>Attribute</t>
  </si>
  <si>
    <t>Meaning</t>
  </si>
  <si>
    <t>Sector</t>
  </si>
  <si>
    <t>Units</t>
  </si>
  <si>
    <t>Equivalent</t>
  </si>
  <si>
    <t>Existing Capacity</t>
  </si>
  <si>
    <t>Transport</t>
  </si>
  <si>
    <t>Aviation</t>
  </si>
  <si>
    <t>Utilisation Factor</t>
  </si>
  <si>
    <t>km/year</t>
  </si>
  <si>
    <t>ACTFLO~DEMO</t>
  </si>
  <si>
    <t>Activity to Flow</t>
  </si>
  <si>
    <t>Passenger Transport</t>
  </si>
  <si>
    <t>Freight Transport</t>
  </si>
  <si>
    <t>tons/vehicle</t>
  </si>
  <si>
    <t>Technical Lifetime</t>
  </si>
  <si>
    <t>GJ/kW</t>
  </si>
  <si>
    <t>Demand</t>
  </si>
  <si>
    <t xml:space="preserve">Passenger Transport </t>
  </si>
  <si>
    <t>Mpgkm</t>
  </si>
  <si>
    <t>Mtnkm</t>
  </si>
  <si>
    <t>000spas/year</t>
  </si>
  <si>
    <t>MVkms</t>
  </si>
  <si>
    <t>COMEMI</t>
  </si>
  <si>
    <t>Emission Coefficient</t>
  </si>
  <si>
    <t>All</t>
  </si>
  <si>
    <t>kg/GJ</t>
  </si>
  <si>
    <t>Energy Commodities</t>
  </si>
  <si>
    <t>Demands</t>
  </si>
  <si>
    <t>Region</t>
  </si>
  <si>
    <t>*Commodity Set Membership</t>
  </si>
  <si>
    <t>Region Name</t>
  </si>
  <si>
    <t>Sense of the Balance EQN.</t>
  </si>
  <si>
    <t>Timeslice Level</t>
  </si>
  <si>
    <t>NRG</t>
  </si>
  <si>
    <t>DEM</t>
  </si>
  <si>
    <t>TRARPPC</t>
  </si>
  <si>
    <t>Road Private Car</t>
  </si>
  <si>
    <t>ENV</t>
  </si>
  <si>
    <t>TOTCO2</t>
  </si>
  <si>
    <t>CO2</t>
  </si>
  <si>
    <t>Coking coal</t>
  </si>
  <si>
    <t>TOTCH4</t>
  </si>
  <si>
    <t>CH4</t>
  </si>
  <si>
    <t>COABIC</t>
  </si>
  <si>
    <t>Other bituminous coal</t>
  </si>
  <si>
    <t>TRARPMO</t>
  </si>
  <si>
    <t>Road Moto</t>
  </si>
  <si>
    <t>TOTN2O</t>
  </si>
  <si>
    <t>N2O</t>
  </si>
  <si>
    <t>TRARPBU</t>
  </si>
  <si>
    <t>Road Busses Urban</t>
  </si>
  <si>
    <t>SUPCO2</t>
  </si>
  <si>
    <t>CO2 (SUP)</t>
  </si>
  <si>
    <t>COACOC</t>
  </si>
  <si>
    <t>Coke oven coke</t>
  </si>
  <si>
    <t>SUPCH4</t>
  </si>
  <si>
    <t>CH4 (SUP)</t>
  </si>
  <si>
    <t>COACTA</t>
  </si>
  <si>
    <t>Coal tar</t>
  </si>
  <si>
    <t>TRARHDV</t>
  </si>
  <si>
    <t>Road Freight HDV</t>
  </si>
  <si>
    <t>SUPN2O</t>
  </si>
  <si>
    <t>N2O (SUP)</t>
  </si>
  <si>
    <t>COABKB</t>
  </si>
  <si>
    <t>BKB (brown coal briquettes)</t>
  </si>
  <si>
    <t>TRARLDV</t>
  </si>
  <si>
    <t>Road Freight LDV</t>
  </si>
  <si>
    <t>INDCO2</t>
  </si>
  <si>
    <t>CO2 (IND)</t>
  </si>
  <si>
    <t>OILCRD</t>
  </si>
  <si>
    <t>Crude Oil</t>
  </si>
  <si>
    <t>INDCH4</t>
  </si>
  <si>
    <t>CH4 (IND)</t>
  </si>
  <si>
    <t>OILNGL</t>
  </si>
  <si>
    <t>Natural gas liquids</t>
  </si>
  <si>
    <t>TRARAILP</t>
  </si>
  <si>
    <t>Rail passenger</t>
  </si>
  <si>
    <t>INDN2O</t>
  </si>
  <si>
    <t>N2O (IND)</t>
  </si>
  <si>
    <t>OILFDS</t>
  </si>
  <si>
    <t>Feedstocks</t>
  </si>
  <si>
    <t>TRARAILF</t>
  </si>
  <si>
    <t>Rail freight</t>
  </si>
  <si>
    <t>RSDCO2</t>
  </si>
  <si>
    <t>CO2 (RSD)</t>
  </si>
  <si>
    <t>OILRFG</t>
  </si>
  <si>
    <t>Refinery gas</t>
  </si>
  <si>
    <t>TRANAVP</t>
  </si>
  <si>
    <t>RSDCH4</t>
  </si>
  <si>
    <t>CH4 (RSD)</t>
  </si>
  <si>
    <t>OILDSL</t>
  </si>
  <si>
    <t>Diesel</t>
  </si>
  <si>
    <t>RSDN2O</t>
  </si>
  <si>
    <t>N2O (RSD)</t>
  </si>
  <si>
    <t>OILGSL</t>
  </si>
  <si>
    <t>Gasoline</t>
  </si>
  <si>
    <t>International Aviation</t>
  </si>
  <si>
    <t>COMCO2</t>
  </si>
  <si>
    <t>CO2 (COM)</t>
  </si>
  <si>
    <t>OILGSA</t>
  </si>
  <si>
    <t>Aviation Gasoline</t>
  </si>
  <si>
    <t>COMCH4</t>
  </si>
  <si>
    <t>CH4 (COM)</t>
  </si>
  <si>
    <t>OILLPG</t>
  </si>
  <si>
    <t>Liquified petroleum gas</t>
  </si>
  <si>
    <t>TRANELUB</t>
  </si>
  <si>
    <t>Lubricants</t>
  </si>
  <si>
    <t>COMN2O</t>
  </si>
  <si>
    <t>N2O (COM)</t>
  </si>
  <si>
    <t>AGRCO2</t>
  </si>
  <si>
    <t>CO2 (AGR)</t>
  </si>
  <si>
    <t>AGRCH4</t>
  </si>
  <si>
    <t>CH4 (AGR)</t>
  </si>
  <si>
    <t>OILKER</t>
  </si>
  <si>
    <t>Kerosene</t>
  </si>
  <si>
    <t>AGRN2O</t>
  </si>
  <si>
    <t>N2O (AGR)</t>
  </si>
  <si>
    <t>OILNAP</t>
  </si>
  <si>
    <t>Naphtha</t>
  </si>
  <si>
    <t>TRACO2</t>
  </si>
  <si>
    <t>CO2 (TRA)</t>
  </si>
  <si>
    <t>OILPCK</t>
  </si>
  <si>
    <t>Petroleum Coke</t>
  </si>
  <si>
    <t>TRACH4</t>
  </si>
  <si>
    <t>CH4 (TRA)</t>
  </si>
  <si>
    <t>OILBIT</t>
  </si>
  <si>
    <t>Bitumen</t>
  </si>
  <si>
    <t>TRAN2O</t>
  </si>
  <si>
    <t>N2O (TRA)</t>
  </si>
  <si>
    <t>OILLUB</t>
  </si>
  <si>
    <t>ELECO2</t>
  </si>
  <si>
    <t>CO2 (ELE)</t>
  </si>
  <si>
    <t>OILOTH</t>
  </si>
  <si>
    <t>Other petroleum products</t>
  </si>
  <si>
    <t>ELECH4</t>
  </si>
  <si>
    <t>CH4 (ELE)</t>
  </si>
  <si>
    <t>OILOIS</t>
  </si>
  <si>
    <t>Oil Shale</t>
  </si>
  <si>
    <t>ELEN2O</t>
  </si>
  <si>
    <t>N2O (ELE)</t>
  </si>
  <si>
    <t>OILSHO</t>
  </si>
  <si>
    <t>Shale Oil</t>
  </si>
  <si>
    <t>HETCO2</t>
  </si>
  <si>
    <t>CO2 (HET)</t>
  </si>
  <si>
    <t>GASNAT</t>
  </si>
  <si>
    <t>Natural Gas</t>
  </si>
  <si>
    <t>HETCH4</t>
  </si>
  <si>
    <t>CH4 (HET)</t>
  </si>
  <si>
    <t>GASBFG</t>
  </si>
  <si>
    <t>Blast Furnace Gas</t>
  </si>
  <si>
    <t>HETN2O</t>
  </si>
  <si>
    <t>N2O (HET)</t>
  </si>
  <si>
    <t>BIOLOG</t>
  </si>
  <si>
    <t>Wood</t>
  </si>
  <si>
    <t>BIOLOGA</t>
  </si>
  <si>
    <t>Agricultural residues</t>
  </si>
  <si>
    <t>BIOLOGF</t>
  </si>
  <si>
    <t>Forrest residues</t>
  </si>
  <si>
    <t>BIOWMU</t>
  </si>
  <si>
    <t>Municipal waste</t>
  </si>
  <si>
    <t>BIOWID</t>
  </si>
  <si>
    <t>Industrial Waste</t>
  </si>
  <si>
    <t>BIOWAN</t>
  </si>
  <si>
    <t>Animal waste</t>
  </si>
  <si>
    <t>BIOWCO</t>
  </si>
  <si>
    <t>Waste cooking oils</t>
  </si>
  <si>
    <t>BIOBST</t>
  </si>
  <si>
    <t>Starch Crops</t>
  </si>
  <si>
    <t>BIOBGC</t>
  </si>
  <si>
    <t>Grass Crops (millet and Jerusalem artichoke)</t>
  </si>
  <si>
    <t>BIOBOS</t>
  </si>
  <si>
    <t>Oilseed Crops</t>
  </si>
  <si>
    <t>BIOETH</t>
  </si>
  <si>
    <t>Pure Bioethanol</t>
  </si>
  <si>
    <t>BIORME</t>
  </si>
  <si>
    <t>RME</t>
  </si>
  <si>
    <t>BIOHVO</t>
  </si>
  <si>
    <t>HVO</t>
  </si>
  <si>
    <t>BIODME</t>
  </si>
  <si>
    <t>DME</t>
  </si>
  <si>
    <t>BIODSL</t>
  </si>
  <si>
    <t>Biodiesel</t>
  </si>
  <si>
    <t>Bioethanol</t>
  </si>
  <si>
    <t>BIOBGS</t>
  </si>
  <si>
    <t>Biogas</t>
  </si>
  <si>
    <t>BIOPLT</t>
  </si>
  <si>
    <t>Pellet</t>
  </si>
  <si>
    <t>BIOCHR</t>
  </si>
  <si>
    <t>Charcoal</t>
  </si>
  <si>
    <t>BIORPS</t>
  </si>
  <si>
    <t>Rape seed oil</t>
  </si>
  <si>
    <t>RESHYD</t>
  </si>
  <si>
    <t>Hydro Energy</t>
  </si>
  <si>
    <t>RESSOL</t>
  </si>
  <si>
    <t>Solar Energy</t>
  </si>
  <si>
    <t>RESWIN</t>
  </si>
  <si>
    <t>Wind Energy</t>
  </si>
  <si>
    <t>RESGEO</t>
  </si>
  <si>
    <t>Geothermal Energy</t>
  </si>
  <si>
    <t>NUCLFL</t>
  </si>
  <si>
    <t>Nuclear Fuel</t>
  </si>
  <si>
    <t>RSVCOABIC</t>
  </si>
  <si>
    <t>Other bituminous coal (RSV)</t>
  </si>
  <si>
    <t>Lignite/Brown Coal (RSV)</t>
  </si>
  <si>
    <t>PIPOILCRD</t>
  </si>
  <si>
    <t>Crude oil in Pipeline  (PIP)</t>
  </si>
  <si>
    <t>RSVOILCRD</t>
  </si>
  <si>
    <t>Crude oil reserves (RSV)</t>
  </si>
  <si>
    <t>PITGASNAT</t>
  </si>
  <si>
    <t>N. Gas Tansportation (PIT)</t>
  </si>
  <si>
    <t>PIDGASNAT</t>
  </si>
  <si>
    <t>N. Gas Distribution (PID)</t>
  </si>
  <si>
    <t>RSVGASNAT</t>
  </si>
  <si>
    <t>N. Gas (RSV)</t>
  </si>
  <si>
    <t>Lignite/Brown Coal (STG)</t>
  </si>
  <si>
    <t>STGOILCRD</t>
  </si>
  <si>
    <t>Crude Oil (STG)</t>
  </si>
  <si>
    <t>STGGASNAT</t>
  </si>
  <si>
    <t>N. Gas (STG)</t>
  </si>
  <si>
    <t>SUPCOACCL</t>
  </si>
  <si>
    <t>Coking coal (SUP)</t>
  </si>
  <si>
    <t>SUPCOABIC</t>
  </si>
  <si>
    <t>Other bituminous coal (SUP)</t>
  </si>
  <si>
    <t>Lignite/Brown Coal  (SUP)</t>
  </si>
  <si>
    <t>SUPCOACOC</t>
  </si>
  <si>
    <t>Coke oven coke (SUP)</t>
  </si>
  <si>
    <t>SUPCOACTA</t>
  </si>
  <si>
    <t>Coal tar (SUP)</t>
  </si>
  <si>
    <t>SUPCOABKB</t>
  </si>
  <si>
    <t>BKB (brown coal briquettes) (SUP)</t>
  </si>
  <si>
    <t>SUPOILCRD</t>
  </si>
  <si>
    <t>Crude Oil (SUP)</t>
  </si>
  <si>
    <t>SUPOILNGL</t>
  </si>
  <si>
    <t>Natural gas liquids (SUP)</t>
  </si>
  <si>
    <t>SUPOILFDS</t>
  </si>
  <si>
    <t>Feedstocks (SUP)</t>
  </si>
  <si>
    <t>SUPOILRFG</t>
  </si>
  <si>
    <t>Refinery gas (SUP)</t>
  </si>
  <si>
    <t>SUPOILDSL</t>
  </si>
  <si>
    <t>Diesel (SUP)</t>
  </si>
  <si>
    <t>SUPOILGSL</t>
  </si>
  <si>
    <t>Gasoline (SUP)</t>
  </si>
  <si>
    <t>SUPOILLPG</t>
  </si>
  <si>
    <t>Liquified petroleum gas (SUP)</t>
  </si>
  <si>
    <t>SUPOILHFO1</t>
  </si>
  <si>
    <t>Low Sulphur Fuel Oil (SUP)</t>
  </si>
  <si>
    <t>SUPOILHFO2</t>
  </si>
  <si>
    <t>High Sulphur Fuel Oil (SUP)</t>
  </si>
  <si>
    <t>SUPOILKER</t>
  </si>
  <si>
    <t>Kerosene (SUP)</t>
  </si>
  <si>
    <t>SUPOILNAP</t>
  </si>
  <si>
    <t>Naphtha (SUP)</t>
  </si>
  <si>
    <t>SUPOILPCK</t>
  </si>
  <si>
    <t>Petroleum Coke (SUP)</t>
  </si>
  <si>
    <t>SUPOILOTH</t>
  </si>
  <si>
    <t>Other petroleum products (SUP)</t>
  </si>
  <si>
    <t>SUPOILOIS</t>
  </si>
  <si>
    <t>Oil Shale (SUP)</t>
  </si>
  <si>
    <t>SUPOILSHO</t>
  </si>
  <si>
    <t>Shale Oil (SUP)</t>
  </si>
  <si>
    <t>SUPGASNAT</t>
  </si>
  <si>
    <t>Natural Gas (SUP)</t>
  </si>
  <si>
    <t>SUPGASBFG</t>
  </si>
  <si>
    <t>Blast Furnace Gas (SUP)</t>
  </si>
  <si>
    <t>SUPBIOLOG</t>
  </si>
  <si>
    <t>Wood (SUP)</t>
  </si>
  <si>
    <t>SUPBIOLOGA</t>
  </si>
  <si>
    <t>Agricultural residues (SUP)</t>
  </si>
  <si>
    <t>SUPBIOLOGF</t>
  </si>
  <si>
    <t>Forrest residues (SUP)</t>
  </si>
  <si>
    <t>SUPBIOWMU</t>
  </si>
  <si>
    <t>Municipal waste (SUP)</t>
  </si>
  <si>
    <t>SUPBIOWID</t>
  </si>
  <si>
    <t>Industrial Waste (SUP)</t>
  </si>
  <si>
    <t>SUPBIOWAN</t>
  </si>
  <si>
    <t>Animal waste (SUP)</t>
  </si>
  <si>
    <t>SUPBIOWCO</t>
  </si>
  <si>
    <t>Waste cooking oils (SUP)</t>
  </si>
  <si>
    <t>SUPBIOETH</t>
  </si>
  <si>
    <t>Pure Bioethanol (SUP)</t>
  </si>
  <si>
    <t>SUPBIORME</t>
  </si>
  <si>
    <t>RME (SUP)</t>
  </si>
  <si>
    <t>SUPBIOHVO</t>
  </si>
  <si>
    <t>HVO (SUP)</t>
  </si>
  <si>
    <t>SUPBIODME</t>
  </si>
  <si>
    <t>DME (SUP)</t>
  </si>
  <si>
    <t>SUPBIODSL</t>
  </si>
  <si>
    <t>Biodiesel (SUP)</t>
  </si>
  <si>
    <t>Bioethanol (SUP)</t>
  </si>
  <si>
    <t>SUPBIOBGS</t>
  </si>
  <si>
    <t>Biogas (SUP)</t>
  </si>
  <si>
    <t>SUPBIOPLT</t>
  </si>
  <si>
    <t>Pellet (SUP)</t>
  </si>
  <si>
    <t>SUPBIOCHR</t>
  </si>
  <si>
    <t>Charcoal (SUP)</t>
  </si>
  <si>
    <t>SUPBIORPS</t>
  </si>
  <si>
    <t>Rape seed oil (SUP)</t>
  </si>
  <si>
    <t>SUPRESHYD</t>
  </si>
  <si>
    <t>Hydro Energy (SUP)</t>
  </si>
  <si>
    <t>SUPRESSOL</t>
  </si>
  <si>
    <t>Solar Energy (SUP)</t>
  </si>
  <si>
    <t>SUPRESWIN</t>
  </si>
  <si>
    <t>Wind Energy (SUP)</t>
  </si>
  <si>
    <t>SUPRESGEO</t>
  </si>
  <si>
    <t>Geothermal Energy (SUP)</t>
  </si>
  <si>
    <t>INDCOACCL</t>
  </si>
  <si>
    <t>Coking coal (IND)</t>
  </si>
  <si>
    <t>INDCOABIC</t>
  </si>
  <si>
    <t>Other bituminous coal (IND)</t>
  </si>
  <si>
    <t>Lignite/Brown Coal  (IND)</t>
  </si>
  <si>
    <t>INDCOACOC</t>
  </si>
  <si>
    <t>Coke oven coke (IND)</t>
  </si>
  <si>
    <t>INDCOACTA</t>
  </si>
  <si>
    <t>Coal tar (IND)</t>
  </si>
  <si>
    <t>INDCOABKB</t>
  </si>
  <si>
    <t>BKB (brown coal briquettes) (IND)</t>
  </si>
  <si>
    <t>INDOILRFG</t>
  </si>
  <si>
    <t>Refinery gas (IND)</t>
  </si>
  <si>
    <t>INDOILDSL</t>
  </si>
  <si>
    <t>Diesel (IND)</t>
  </si>
  <si>
    <t>INDOILGSL</t>
  </si>
  <si>
    <t>Gasoline (IND)</t>
  </si>
  <si>
    <t>INDOILLPG</t>
  </si>
  <si>
    <t>Liquified petroleum gas (IND)</t>
  </si>
  <si>
    <t>INDOILHFO1</t>
  </si>
  <si>
    <t>Low Sulphur Fuel Oil (IND)</t>
  </si>
  <si>
    <t>INDOILHFO2</t>
  </si>
  <si>
    <t>High Sulphur Fuel Oil (IND)</t>
  </si>
  <si>
    <t>INDOILKER</t>
  </si>
  <si>
    <t>Kerosene (IND)</t>
  </si>
  <si>
    <t>INDOILNAP</t>
  </si>
  <si>
    <t>Naphtha (IND)</t>
  </si>
  <si>
    <t>INDOILPCK</t>
  </si>
  <si>
    <t>Petroleum Coke (IND)</t>
  </si>
  <si>
    <t>INDOILOTH</t>
  </si>
  <si>
    <t>Other petroleum products (IND)</t>
  </si>
  <si>
    <t>INDGASNAT</t>
  </si>
  <si>
    <t>Natural Gas (IND)</t>
  </si>
  <si>
    <t>INDGASBFG</t>
  </si>
  <si>
    <t>Blast Furnace Gas (IND)</t>
  </si>
  <si>
    <t>INDBIOLOG</t>
  </si>
  <si>
    <t>Wood (IND)</t>
  </si>
  <si>
    <t>INDBIOLOGA</t>
  </si>
  <si>
    <t>Agricultural residues (IND)</t>
  </si>
  <si>
    <t>INDBIOLOGF</t>
  </si>
  <si>
    <t>Forrest residues (IND)</t>
  </si>
  <si>
    <t>INDBIOWMU</t>
  </si>
  <si>
    <t>Municipal waste (IND)</t>
  </si>
  <si>
    <t>INDBIOWID</t>
  </si>
  <si>
    <t>Industrial Waste (IND)</t>
  </si>
  <si>
    <t>INDBIOWAN</t>
  </si>
  <si>
    <t>Animal waste (IND)</t>
  </si>
  <si>
    <t>INDBIOWCO</t>
  </si>
  <si>
    <t>Waste cooking oils (IND)</t>
  </si>
  <si>
    <t>INDBIOETH</t>
  </si>
  <si>
    <t>Pure Bioethanol (IND)</t>
  </si>
  <si>
    <t>INDBIODSL</t>
  </si>
  <si>
    <t>Biodiesel (IND)</t>
  </si>
  <si>
    <t>Bioethanol (IND)</t>
  </si>
  <si>
    <t>INDBIOBGS</t>
  </si>
  <si>
    <t>Biogas (IND)</t>
  </si>
  <si>
    <t>INDBIOPLT</t>
  </si>
  <si>
    <t>Pellet (IND)</t>
  </si>
  <si>
    <t>INDBIOCHR</t>
  </si>
  <si>
    <t>Charcoal (IND)</t>
  </si>
  <si>
    <t>INDRESHYD</t>
  </si>
  <si>
    <t>Hydro Energy (IND)</t>
  </si>
  <si>
    <t>INDRESSOL</t>
  </si>
  <si>
    <t>Solar Energy (IND)</t>
  </si>
  <si>
    <t>INDRESWIN</t>
  </si>
  <si>
    <t>Wind Energy (IND)</t>
  </si>
  <si>
    <t>INDRESGEO</t>
  </si>
  <si>
    <t>Geothermal Energy (IND)</t>
  </si>
  <si>
    <t>RSDCOACCL</t>
  </si>
  <si>
    <t>Coking coal (RSD)</t>
  </si>
  <si>
    <t>RSDCOABIC</t>
  </si>
  <si>
    <t>Other bituminous coal (RSD)</t>
  </si>
  <si>
    <t>Lignite/Brown Coal  (RSD)</t>
  </si>
  <si>
    <t>RSDCOACOC</t>
  </si>
  <si>
    <t>Coke oven coke (RSD)</t>
  </si>
  <si>
    <t>RSDCOACTA</t>
  </si>
  <si>
    <t>Coal tar (RSD)</t>
  </si>
  <si>
    <t>RSDCOABKB</t>
  </si>
  <si>
    <t>BKB (brown coal briquettes) (RSD)</t>
  </si>
  <si>
    <t>RSDOILRFG</t>
  </si>
  <si>
    <t>Refinery gas (RSD)</t>
  </si>
  <si>
    <t>RSDOILDSL</t>
  </si>
  <si>
    <t>Diesel (RSD)</t>
  </si>
  <si>
    <t>RSDOILGSL</t>
  </si>
  <si>
    <t>Gasoline (RSD)</t>
  </si>
  <si>
    <t>RSDOILLPG</t>
  </si>
  <si>
    <t>Liquified petroleum gas (RSD)</t>
  </si>
  <si>
    <t>RSDOILHFO1</t>
  </si>
  <si>
    <t>Low Sulphur Fuel Oil (RSD)</t>
  </si>
  <si>
    <t>RSDOILHFO2</t>
  </si>
  <si>
    <t>High Sulphur Fuel Oil (RSD)</t>
  </si>
  <si>
    <t>RSDOILKER</t>
  </si>
  <si>
    <t>Kerosene (RSD)</t>
  </si>
  <si>
    <t>RSDOILOTH</t>
  </si>
  <si>
    <t>Other petroleum products (RSD)</t>
  </si>
  <si>
    <t>RSDGASNAT</t>
  </si>
  <si>
    <t>Natural Gas (RSD)</t>
  </si>
  <si>
    <t>RSDBIOLOG</t>
  </si>
  <si>
    <t>Wood (RSD)</t>
  </si>
  <si>
    <t>RSDBIOLOGA</t>
  </si>
  <si>
    <t>Agricultural residues (RSD)</t>
  </si>
  <si>
    <t>RSDBIOLOGF</t>
  </si>
  <si>
    <t>Forrest residues (RSD)</t>
  </si>
  <si>
    <t>RSDBIOWMU</t>
  </si>
  <si>
    <t>Municipal waste (RSD)</t>
  </si>
  <si>
    <t>RSDBIOWAN</t>
  </si>
  <si>
    <t>Animal waste (RSD)</t>
  </si>
  <si>
    <t>RSDBIOWCO</t>
  </si>
  <si>
    <t>Waste cooking oils (RSD)</t>
  </si>
  <si>
    <t>RSDBIOETH</t>
  </si>
  <si>
    <t>Pure Bioethanol (RSD)</t>
  </si>
  <si>
    <t>RSDBIODSL</t>
  </si>
  <si>
    <t>Biodiesel (RSD)</t>
  </si>
  <si>
    <t>Bioethanol (RSD)</t>
  </si>
  <si>
    <t>RSDBIOBGS</t>
  </si>
  <si>
    <t>Biogas (RSD)</t>
  </si>
  <si>
    <t>RSDBIOPLT</t>
  </si>
  <si>
    <t>Pellet (RSD)</t>
  </si>
  <si>
    <t>RSDBIOCHR</t>
  </si>
  <si>
    <t>Charcoal (RSD)</t>
  </si>
  <si>
    <t>RSDRESHYD</t>
  </si>
  <si>
    <t>Hydro Energy (RSD)</t>
  </si>
  <si>
    <t>RSDRESSOL</t>
  </si>
  <si>
    <t>Solar Energy (RSD)</t>
  </si>
  <si>
    <t>RSDRESWIN</t>
  </si>
  <si>
    <t>Wind Energy (RSD)</t>
  </si>
  <si>
    <t>RSDRESGEO</t>
  </si>
  <si>
    <t>Geothermal Energy (RSD)</t>
  </si>
  <si>
    <t>COMCOACCL</t>
  </si>
  <si>
    <t>Coking coal (COM)</t>
  </si>
  <si>
    <t>COMCOABIC</t>
  </si>
  <si>
    <t>Other bituminous coal (COM)</t>
  </si>
  <si>
    <t>Lignite/Brown Coal  (COM)</t>
  </si>
  <si>
    <t>COMCOACOC</t>
  </si>
  <si>
    <t>Coke oven coke (COM)</t>
  </si>
  <si>
    <t>COMCOACTA</t>
  </si>
  <si>
    <t>Coal tar (COM)</t>
  </si>
  <si>
    <t>COMCOABKB</t>
  </si>
  <si>
    <t>BKB (brown coal briquettes) (COM)</t>
  </si>
  <si>
    <t>COMOILRFG</t>
  </si>
  <si>
    <t>Refinery gas (COM)</t>
  </si>
  <si>
    <t>COMOILDSL</t>
  </si>
  <si>
    <t>Diesel (COM)</t>
  </si>
  <si>
    <t>COMOILGSL</t>
  </si>
  <si>
    <t>Gasoline (COM)</t>
  </si>
  <si>
    <t>COMOILLPG</t>
  </si>
  <si>
    <t>Liquified petroleum gas (COM)</t>
  </si>
  <si>
    <t>COMOILHFO1</t>
  </si>
  <si>
    <t>Low Sulphur Fuel Oil (COM)</t>
  </si>
  <si>
    <t>COMOILHFO2</t>
  </si>
  <si>
    <t>High Sulphur Fuel Oil (COM)</t>
  </si>
  <si>
    <t>COMOILKER</t>
  </si>
  <si>
    <t>Kerosene (COM)</t>
  </si>
  <si>
    <t>COMOILOTH</t>
  </si>
  <si>
    <t>Other petroleum products (COM)</t>
  </si>
  <si>
    <t>COMGASNAT</t>
  </si>
  <si>
    <t>Natural Gas (COM)</t>
  </si>
  <si>
    <t>COMBIOLOG</t>
  </si>
  <si>
    <t>Wood (COM)</t>
  </si>
  <si>
    <t>COMBIOLOGA</t>
  </si>
  <si>
    <t>Agricultural residues (COM)</t>
  </si>
  <si>
    <t>COMBIOLOGF</t>
  </si>
  <si>
    <t>Forrest residues (COM)</t>
  </si>
  <si>
    <t>COMBIOWMU</t>
  </si>
  <si>
    <t>Municipal waste (COM)</t>
  </si>
  <si>
    <t>COMBIOWAN</t>
  </si>
  <si>
    <t>Animal waste (COM)</t>
  </si>
  <si>
    <t>COMBIOWCO</t>
  </si>
  <si>
    <t>Waste cooking oils (COM)</t>
  </si>
  <si>
    <t>COMBIOETH</t>
  </si>
  <si>
    <t>Pure Bioethanol (COM)</t>
  </si>
  <si>
    <t>COMBIODSL</t>
  </si>
  <si>
    <t>Biodiesel (COM)</t>
  </si>
  <si>
    <t>Bioethanol (COM)</t>
  </si>
  <si>
    <t>COMBIOBGS</t>
  </si>
  <si>
    <t>Biogas (COM)</t>
  </si>
  <si>
    <t>COMBIOPLT</t>
  </si>
  <si>
    <t>Pellet (COM)</t>
  </si>
  <si>
    <t>COMBIOCHR</t>
  </si>
  <si>
    <t>Charcoal (COM)</t>
  </si>
  <si>
    <t>COMRESHYD</t>
  </si>
  <si>
    <t>Hydro Energy (COM)</t>
  </si>
  <si>
    <t>COMRESSOL</t>
  </si>
  <si>
    <t>Solar Energy (COM)</t>
  </si>
  <si>
    <t>COMRESWIN</t>
  </si>
  <si>
    <t>Wind Energy (COM)</t>
  </si>
  <si>
    <t>COMRESGEO</t>
  </si>
  <si>
    <t>Geothermal Energy (COM)</t>
  </si>
  <si>
    <t>AGRCOACCL</t>
  </si>
  <si>
    <t>Coking coal (AGR)</t>
  </si>
  <si>
    <t>AGRCOABIC</t>
  </si>
  <si>
    <t>Other bituminous coal (AGR)</t>
  </si>
  <si>
    <t>Lignite/Brown Coal  (AGR)</t>
  </si>
  <si>
    <t>AGRCOACOC</t>
  </si>
  <si>
    <t>Coke oven coke (AGR)</t>
  </si>
  <si>
    <t>AGRCOACTA</t>
  </si>
  <si>
    <t>Coal tar (AGR)</t>
  </si>
  <si>
    <t>AGRCOABKB</t>
  </si>
  <si>
    <t>BKB (brown coal briquettes) (AGR)</t>
  </si>
  <si>
    <t>AGROILRFG</t>
  </si>
  <si>
    <t>Refinery gas (AGR)</t>
  </si>
  <si>
    <t>AGROILDSL</t>
  </si>
  <si>
    <t>Diesel (AGR)</t>
  </si>
  <si>
    <t>AGROILGSL</t>
  </si>
  <si>
    <t>Gasoline (AGR)</t>
  </si>
  <si>
    <t>AGROILLPG</t>
  </si>
  <si>
    <t>Liquified petroleum gas (AGR)</t>
  </si>
  <si>
    <t>AGROILHFO1</t>
  </si>
  <si>
    <t>Low Sulphur Fuel Oil (AGR)</t>
  </si>
  <si>
    <t>AGROILHFO2</t>
  </si>
  <si>
    <t>High Sulphur Fuel Oil (AGR)</t>
  </si>
  <si>
    <t>AGROILKER</t>
  </si>
  <si>
    <t>Kerosene (AGR)</t>
  </si>
  <si>
    <t>AGROILOTH</t>
  </si>
  <si>
    <t>Other petroleum products (AGR)</t>
  </si>
  <si>
    <t>AGRGASNAT</t>
  </si>
  <si>
    <t>Natural Gas (AGR)</t>
  </si>
  <si>
    <t>AGRBIOLOG</t>
  </si>
  <si>
    <t>Wood (AGR)</t>
  </si>
  <si>
    <t>AGRBIOLOGA</t>
  </si>
  <si>
    <t>Agricultural residues (AGR)</t>
  </si>
  <si>
    <t>AGRBIOLOGF</t>
  </si>
  <si>
    <t>Forrest residues (AGR)</t>
  </si>
  <si>
    <t>AGRBIOWMU</t>
  </si>
  <si>
    <t>Municipal waste (AGR)</t>
  </si>
  <si>
    <t>AGRBIOWAN</t>
  </si>
  <si>
    <t>Animal waste (AGR)</t>
  </si>
  <si>
    <t>AGRBIOWCO</t>
  </si>
  <si>
    <t>Waste cooking oils (AGR)</t>
  </si>
  <si>
    <t>AGRBIOETH</t>
  </si>
  <si>
    <t>Pure Bioethanol (AGR)</t>
  </si>
  <si>
    <t>AGRBIODSL</t>
  </si>
  <si>
    <t>Biodiesel (AGR)</t>
  </si>
  <si>
    <t>Bioethanol (AGR)</t>
  </si>
  <si>
    <t>AGRBIOBGS</t>
  </si>
  <si>
    <t>Biogas (AGR)</t>
  </si>
  <si>
    <t>AGRBIOPLT</t>
  </si>
  <si>
    <t>Pellet (AGR)</t>
  </si>
  <si>
    <t>AGRBIOCHR</t>
  </si>
  <si>
    <t>Charcoal (AGR)</t>
  </si>
  <si>
    <t>AGRRESHYD</t>
  </si>
  <si>
    <t>Hydro Energy (AGR)</t>
  </si>
  <si>
    <t>AGRRESSOL</t>
  </si>
  <si>
    <t>Solar Energy (AGR)</t>
  </si>
  <si>
    <t>AGRRESWIN</t>
  </si>
  <si>
    <t>Wind Energy (AGR)</t>
  </si>
  <si>
    <t>AGRRESGEO</t>
  </si>
  <si>
    <t>Geothermal Energy (AGR)</t>
  </si>
  <si>
    <t>TRAOILDSL</t>
  </si>
  <si>
    <t>Diesel (TRA)</t>
  </si>
  <si>
    <t>TRAOILGSL</t>
  </si>
  <si>
    <t>Gasoline (TRA)</t>
  </si>
  <si>
    <t>TRAOILGSA</t>
  </si>
  <si>
    <t>Aviation Gasoline (TRA)</t>
  </si>
  <si>
    <t>TRAOILLPG</t>
  </si>
  <si>
    <t>Liquified petroleum gas (TRA)</t>
  </si>
  <si>
    <t>TRAOILHFO1</t>
  </si>
  <si>
    <t>Low Sulphur Fuel Oil (TRA)</t>
  </si>
  <si>
    <t>TRAOILHFO2</t>
  </si>
  <si>
    <t>High Sulphur Fuel Oil (TRA)</t>
  </si>
  <si>
    <t>TRAOILKER</t>
  </si>
  <si>
    <t>Kerosene (TRA)</t>
  </si>
  <si>
    <t>TRAOILNAP</t>
  </si>
  <si>
    <t>Naphtha (TRA)</t>
  </si>
  <si>
    <t>TRAOILOTH</t>
  </si>
  <si>
    <t>Other petroleum products (TRA)</t>
  </si>
  <si>
    <t>TRAGASNAT</t>
  </si>
  <si>
    <t>Natural Gas (TRA)</t>
  </si>
  <si>
    <t>TRABIOETH</t>
  </si>
  <si>
    <t>Pure Bioethanol (TRA)</t>
  </si>
  <si>
    <t>TRABIODSL</t>
  </si>
  <si>
    <t>Biodiesel (TRA)</t>
  </si>
  <si>
    <t>Bioethanol (TRA)</t>
  </si>
  <si>
    <t>TRABIOBGS</t>
  </si>
  <si>
    <t>Biogas (TRA)</t>
  </si>
  <si>
    <t>ELECOACCL</t>
  </si>
  <si>
    <t>Coking coal (ELE)</t>
  </si>
  <si>
    <t>ELECOABIC</t>
  </si>
  <si>
    <t>Other bituminous coal (ELE)</t>
  </si>
  <si>
    <t>Lignite/Brown Coal  (ELE)</t>
  </si>
  <si>
    <t>ELECOACOC</t>
  </si>
  <si>
    <t>Coke oven coke (ELE)</t>
  </si>
  <si>
    <t>ELECOACTA</t>
  </si>
  <si>
    <t>Coal tar (ELE)</t>
  </si>
  <si>
    <t>ELECOABKB</t>
  </si>
  <si>
    <t>BKB (brown coal briquettes) (ELE)</t>
  </si>
  <si>
    <t>ELEOILRFG</t>
  </si>
  <si>
    <t>Refinery gas (ELE)</t>
  </si>
  <si>
    <t>ELEOILDSL</t>
  </si>
  <si>
    <t>Diesel (ELE)</t>
  </si>
  <si>
    <t>ELEOILGSL</t>
  </si>
  <si>
    <t>Gasoline (ELE)</t>
  </si>
  <si>
    <t>ELEOILLPG</t>
  </si>
  <si>
    <t>Liquified petroleum gas (ELE)</t>
  </si>
  <si>
    <t>ELEOILHFO1</t>
  </si>
  <si>
    <t>Low Sulphur Fuel Oil (ELE)</t>
  </si>
  <si>
    <t>ELEOILHFO2</t>
  </si>
  <si>
    <t>High Sulphur Fuel Oil (ELE)</t>
  </si>
  <si>
    <t>ELEOILKER</t>
  </si>
  <si>
    <t>Kerosene (ELE)</t>
  </si>
  <si>
    <t>ELEOILNAP</t>
  </si>
  <si>
    <t>Naphtha (ELE)</t>
  </si>
  <si>
    <t>ELEOILPCK</t>
  </si>
  <si>
    <t>Petroleum Coke (ELE)</t>
  </si>
  <si>
    <t>ELEOILOTH</t>
  </si>
  <si>
    <t>Other petroleum products (ELE)</t>
  </si>
  <si>
    <t>ELEOILSHO</t>
  </si>
  <si>
    <t>Shale Oil (ELE)</t>
  </si>
  <si>
    <t>ELEGASNAT</t>
  </si>
  <si>
    <t>Natural Gas (ELE)</t>
  </si>
  <si>
    <t>ELEGASBFG</t>
  </si>
  <si>
    <t>Blast Furnace Gas (ELE)</t>
  </si>
  <si>
    <t>ELEBIOLOG</t>
  </si>
  <si>
    <t>Wood (ELE)</t>
  </si>
  <si>
    <t>ELEBIOLOGA</t>
  </si>
  <si>
    <t>Agricultural residues (ELE)</t>
  </si>
  <si>
    <t>ELEBIOLOGF</t>
  </si>
  <si>
    <t>Forrest residues (ELE)</t>
  </si>
  <si>
    <t>ELEBIOWMU</t>
  </si>
  <si>
    <t>Municipal waste (ELE)</t>
  </si>
  <si>
    <t>ELEBIOWID</t>
  </si>
  <si>
    <t>Industrial Waste (ELE)</t>
  </si>
  <si>
    <t>ELEBIOWAN</t>
  </si>
  <si>
    <t>Animal waste (ELE)</t>
  </si>
  <si>
    <t>ELEBIOWCO</t>
  </si>
  <si>
    <t>Waste cooking oils (ELE)</t>
  </si>
  <si>
    <t>ELEBIOETH</t>
  </si>
  <si>
    <t>Pure Bioethanol (ELE)</t>
  </si>
  <si>
    <t>ELEBIODSL</t>
  </si>
  <si>
    <t>Biodiesel (ELE)</t>
  </si>
  <si>
    <t>Bioethanol (ELE)</t>
  </si>
  <si>
    <t>ELEBIOBGS</t>
  </si>
  <si>
    <t>Biogas (ELE)</t>
  </si>
  <si>
    <t>ELEBIOPLT</t>
  </si>
  <si>
    <t>Pellet (ELE)</t>
  </si>
  <si>
    <t>ELERESHYD</t>
  </si>
  <si>
    <t>Hydro Energy (ELE)</t>
  </si>
  <si>
    <t>ELERESSOL</t>
  </si>
  <si>
    <t>Solar Energy (ELE)</t>
  </si>
  <si>
    <t>ELERESWIN</t>
  </si>
  <si>
    <t>Wind Energy (ELE)</t>
  </si>
  <si>
    <t>ELERESGEO</t>
  </si>
  <si>
    <t>Geothermal Energy (ELE)</t>
  </si>
  <si>
    <t>ELENUCLFL</t>
  </si>
  <si>
    <t>Nuclear Fuel (ELE)</t>
  </si>
  <si>
    <t>HETCOACCL</t>
  </si>
  <si>
    <t>Coking coal (HET)</t>
  </si>
  <si>
    <t>HETCOABIC</t>
  </si>
  <si>
    <t>Other bituminous coal (HET)</t>
  </si>
  <si>
    <t>Lignite/Brown Coal  (HET)</t>
  </si>
  <si>
    <t>HETCOACOC</t>
  </si>
  <si>
    <t>Coke oven coke (HET)</t>
  </si>
  <si>
    <t>HETCOACTA</t>
  </si>
  <si>
    <t>Coal tar (HET)</t>
  </si>
  <si>
    <t>HETCOABKB</t>
  </si>
  <si>
    <t>BKB (brown coal briquettes) (HET)</t>
  </si>
  <si>
    <t>HETOILRFG</t>
  </si>
  <si>
    <t>Refinery gas (HET)</t>
  </si>
  <si>
    <t>HETOILDSL</t>
  </si>
  <si>
    <t>Diesel (HET)</t>
  </si>
  <si>
    <t>HETOILGSL</t>
  </si>
  <si>
    <t>Gasoline (HET)</t>
  </si>
  <si>
    <t>HETOILLPG</t>
  </si>
  <si>
    <t>Liquified petroleum gas (HET)</t>
  </si>
  <si>
    <t>HETOILHFO1</t>
  </si>
  <si>
    <t>Low Sulphur Fuel Oil (HET)</t>
  </si>
  <si>
    <t>HETOILHFO2</t>
  </si>
  <si>
    <t>High Sulphur Fuel Oil (HET)</t>
  </si>
  <si>
    <t>HETOILKER</t>
  </si>
  <si>
    <t>Kerosene (HET)</t>
  </si>
  <si>
    <t>HETOILNAP</t>
  </si>
  <si>
    <t>Naphtha (HET)</t>
  </si>
  <si>
    <t>HETOILPCK</t>
  </si>
  <si>
    <t>Petroleum Coke (HET)</t>
  </si>
  <si>
    <t>HETOILOTH</t>
  </si>
  <si>
    <t>Other petroleum products (HET)</t>
  </si>
  <si>
    <t>HETOILSHO</t>
  </si>
  <si>
    <t>Shale Oil (HET)</t>
  </si>
  <si>
    <t>HETGASNAT</t>
  </si>
  <si>
    <t>Natural Gas (HET)</t>
  </si>
  <si>
    <t>HETGASBFG</t>
  </si>
  <si>
    <t>Blast Furnace Gas (HET)</t>
  </si>
  <si>
    <t>HETBIOLOG</t>
  </si>
  <si>
    <t>Wood (HET)</t>
  </si>
  <si>
    <t>HETBIOLOGA</t>
  </si>
  <si>
    <t>Agricultural residues (HET)</t>
  </si>
  <si>
    <t>HETBIOLOGF</t>
  </si>
  <si>
    <t>Forrest residues (HET)</t>
  </si>
  <si>
    <t>HETBIOWMU</t>
  </si>
  <si>
    <t>Municipal waste (HET)</t>
  </si>
  <si>
    <t>HETBIOWID</t>
  </si>
  <si>
    <t>Industrial Waste (HET)</t>
  </si>
  <si>
    <t>HETBIOWAN</t>
  </si>
  <si>
    <t>Animal waste (HET)</t>
  </si>
  <si>
    <t>HETBIOWCO</t>
  </si>
  <si>
    <t>Waste cooking oils (HET)</t>
  </si>
  <si>
    <t>HETBIOETH</t>
  </si>
  <si>
    <t>Pure Bioethanol (HET)</t>
  </si>
  <si>
    <t>HETBIODSL</t>
  </si>
  <si>
    <t>Biodiesel (HET)</t>
  </si>
  <si>
    <t>Bioethanol (HET)</t>
  </si>
  <si>
    <t>HETBIOBGS</t>
  </si>
  <si>
    <t>Biogas (HET)</t>
  </si>
  <si>
    <t>HETBIOPLT</t>
  </si>
  <si>
    <t>Pellet (HET)</t>
  </si>
  <si>
    <t>HETBIOCHR</t>
  </si>
  <si>
    <t>Charcoal (HET)</t>
  </si>
  <si>
    <t>HETRESHYD</t>
  </si>
  <si>
    <t>Hydro Energy (HET)</t>
  </si>
  <si>
    <t>HETRESSOL</t>
  </si>
  <si>
    <t>Solar Energy (HET)</t>
  </si>
  <si>
    <t>HETRESGEO</t>
  </si>
  <si>
    <t>Geothermal Energy (HET)</t>
  </si>
  <si>
    <t>ELCHIG</t>
  </si>
  <si>
    <t>High Voltage electricity after losses</t>
  </si>
  <si>
    <t>ELCHIGG</t>
  </si>
  <si>
    <t>High Voltage electricity before Losses</t>
  </si>
  <si>
    <t>ELCMED</t>
  </si>
  <si>
    <t>Medium Voltage electricity</t>
  </si>
  <si>
    <t>ELCLOW</t>
  </si>
  <si>
    <t>Low Voltage electricity</t>
  </si>
  <si>
    <t>SUPELC</t>
  </si>
  <si>
    <t>Electricity (SUP)</t>
  </si>
  <si>
    <t>INDELC</t>
  </si>
  <si>
    <t>Electricity (IND)</t>
  </si>
  <si>
    <t>RSDELC</t>
  </si>
  <si>
    <t>Electricity (RSD)</t>
  </si>
  <si>
    <t>Electricity (COM)</t>
  </si>
  <si>
    <t>AGRELC</t>
  </si>
  <si>
    <t>Electricity (AGR)</t>
  </si>
  <si>
    <t>TRAELC</t>
  </si>
  <si>
    <t>Electricity (TRA)</t>
  </si>
  <si>
    <t>HETELC</t>
  </si>
  <si>
    <t>Electricity (HET)</t>
  </si>
  <si>
    <t>ELCMLO</t>
  </si>
  <si>
    <t>Medium-Low Voltage electricity</t>
  </si>
  <si>
    <t>Road Transport - Passenger</t>
  </si>
  <si>
    <t>* Definition of the Processes used in this worksheet</t>
  </si>
  <si>
    <t>Processes</t>
  </si>
  <si>
    <t>*TechDesc</t>
  </si>
  <si>
    <t>*Process Set Membership</t>
  </si>
  <si>
    <t>TimeSlice level of Process Activity</t>
  </si>
  <si>
    <t>Primary Commodity Group</t>
  </si>
  <si>
    <t>*Units</t>
  </si>
  <si>
    <t>DMD</t>
  </si>
  <si>
    <t>DEMO</t>
  </si>
  <si>
    <t>YEAR</t>
  </si>
  <si>
    <t>TRAH2G</t>
  </si>
  <si>
    <t>New Private Cars</t>
  </si>
  <si>
    <t>N</t>
  </si>
  <si>
    <t>New Motorcycles</t>
  </si>
  <si>
    <t>TRABIOB20</t>
  </si>
  <si>
    <t>TRABIOE85</t>
  </si>
  <si>
    <t>Investment costs</t>
  </si>
  <si>
    <t>* Technology Name</t>
  </si>
  <si>
    <t>Road Transport - Freight</t>
  </si>
  <si>
    <t>Heavy Duty Vehicles (HDV)</t>
  </si>
  <si>
    <t>Light Duty Vehicles (LDV)</t>
  </si>
  <si>
    <t>Rail Transport</t>
  </si>
  <si>
    <t>Passenger Trains</t>
  </si>
  <si>
    <t>Freight Trains</t>
  </si>
  <si>
    <t>Inland Waterways</t>
  </si>
  <si>
    <t>TRABIOKER</t>
  </si>
  <si>
    <t>Share of Input</t>
  </si>
  <si>
    <t>[0 - 1]</t>
  </si>
  <si>
    <t>passenger/vehicle</t>
  </si>
  <si>
    <t>TRANSPORT</t>
  </si>
  <si>
    <t>Technology</t>
  </si>
  <si>
    <t>Ordinary</t>
  </si>
  <si>
    <t xml:space="preserve">Improved </t>
  </si>
  <si>
    <t xml:space="preserve">Advanced </t>
  </si>
  <si>
    <t>Best Case</t>
  </si>
  <si>
    <t>Purchasing cost in EUR'13/vehicle</t>
  </si>
  <si>
    <t>ICE medium size gasoline car</t>
  </si>
  <si>
    <t>ICE medium size diesel car</t>
  </si>
  <si>
    <t>ICE medium size CNG car</t>
  </si>
  <si>
    <t>ICE medium size LPG car</t>
  </si>
  <si>
    <t>ICE medium size E85 flex-fuel car</t>
  </si>
  <si>
    <t>ICE medium size hybrid gasoline car</t>
  </si>
  <si>
    <t>ICE medium size hybrid diesel car</t>
  </si>
  <si>
    <t>ICE medium size plug-in hybrid gasoline car</t>
  </si>
  <si>
    <t>ICE medium size plug-in hybrid diesel car</t>
  </si>
  <si>
    <t>3.5-7.5t diesel truck</t>
  </si>
  <si>
    <t>3.5-7.5t diesel hybrid truck</t>
  </si>
  <si>
    <t>3.5-7.5t CNG truck</t>
  </si>
  <si>
    <t>3.5-7.5t LPG truck</t>
  </si>
  <si>
    <t>16-32t diesel truck</t>
  </si>
  <si>
    <t>16-32t diesel hybrid truck</t>
  </si>
  <si>
    <t>16-32t LNG truck</t>
  </si>
  <si>
    <t>16-32t LPG truck</t>
  </si>
  <si>
    <t>ICE gasoline LCV</t>
  </si>
  <si>
    <t>ICE diesel LCV</t>
  </si>
  <si>
    <t>ICE CNG LCV</t>
  </si>
  <si>
    <t>ICE LPG LCV</t>
  </si>
  <si>
    <t>ICE hybrid gasoline LCV</t>
  </si>
  <si>
    <t>ICE hybrid diesel LCV</t>
  </si>
  <si>
    <t>ICE plug-in hybrid gasoline LCV</t>
  </si>
  <si>
    <t>ICE plug-in hybrid diesel LCV</t>
  </si>
  <si>
    <t>4-stroke MC 50-250 cc motorcycle</t>
  </si>
  <si>
    <t>4-stroke MC 250-750 cc motorcycle</t>
  </si>
  <si>
    <t>Range in km</t>
  </si>
  <si>
    <t>Medium size battery electric car</t>
  </si>
  <si>
    <t>3.5-7.5t  battery electric truck</t>
  </si>
  <si>
    <t>16-32t battery electric truck</t>
  </si>
  <si>
    <t>Battery electric LCV</t>
  </si>
  <si>
    <t>Battery electric motorcycle (equivalent to 50-250 cc motorcycle</t>
  </si>
  <si>
    <t>Hydrogen fuel cell car</t>
  </si>
  <si>
    <t>Purchasing cost in million EUR'13/vehicle</t>
  </si>
  <si>
    <t>Efficiency ratio (toe/Mpkm)</t>
  </si>
  <si>
    <t>RAIL</t>
  </si>
  <si>
    <t>Efficiency ratio (toe/Mvkm)</t>
  </si>
  <si>
    <t>diesel passenger rail</t>
  </si>
  <si>
    <t>electric passenger rail</t>
  </si>
  <si>
    <t>high speed passenger rail</t>
  </si>
  <si>
    <t>diesel freight rail</t>
  </si>
  <si>
    <t>electric freight rail</t>
  </si>
  <si>
    <t>Efficiency ratio (MVkm/PJ)</t>
  </si>
  <si>
    <t>CNG</t>
  </si>
  <si>
    <t>LPG</t>
  </si>
  <si>
    <t>kJ/lt</t>
  </si>
  <si>
    <t>FUEL CHARACTERISTICS</t>
  </si>
  <si>
    <t>NCV</t>
  </si>
  <si>
    <t>Density</t>
  </si>
  <si>
    <t>(MJ/kg)</t>
  </si>
  <si>
    <t>(kg/m3)</t>
  </si>
  <si>
    <t>LNG</t>
  </si>
  <si>
    <t>* Defined Commodities</t>
  </si>
  <si>
    <t>000s_Units</t>
  </si>
  <si>
    <t>(milion_vkm)/(thousand_vkm)</t>
  </si>
  <si>
    <t>(milion_tnkm)/(thousand_tnkm)</t>
  </si>
  <si>
    <t>000s_km_flown</t>
  </si>
  <si>
    <t>S</t>
  </si>
  <si>
    <t>Second Hand Private Cars</t>
  </si>
  <si>
    <t>Second hand Vehicles</t>
  </si>
  <si>
    <t>BY Diesel</t>
  </si>
  <si>
    <t>Biodiesel B20</t>
  </si>
  <si>
    <t>Bioethanol E85</t>
  </si>
  <si>
    <t>Private Car NEW Euro 4&amp;5 LPG</t>
  </si>
  <si>
    <t>Private Car NEW Euro 6 LPG</t>
  </si>
  <si>
    <t>Private Car NEW Post Euro 6 LPG</t>
  </si>
  <si>
    <t>Private Car NEW Advanced LPG</t>
  </si>
  <si>
    <t>Private Car NEW Euro 4&amp;5 DSL</t>
  </si>
  <si>
    <t>Private Car NEW Euro 6 DSL</t>
  </si>
  <si>
    <t>Private Car NEW Post Euro 6 DSL</t>
  </si>
  <si>
    <t>Private Car NEW Advanced DSL</t>
  </si>
  <si>
    <t>Private Car NEW Euro 4&amp;5 GSL</t>
  </si>
  <si>
    <t>Private Car NEW Euro 6 GSL</t>
  </si>
  <si>
    <t>Private Car NEW Post Euro 6 GSL</t>
  </si>
  <si>
    <t>Private Car NEW Advanced GSL</t>
  </si>
  <si>
    <t>Private Car NEW Euro 6 GAS</t>
  </si>
  <si>
    <t>Private Car NEW Post Euro 6 GAS</t>
  </si>
  <si>
    <t>Private Car NEW Advanced GAS</t>
  </si>
  <si>
    <t>Private Car NEW Hybrid GSL</t>
  </si>
  <si>
    <t>Private Car NEW Advanced Hybrid GSL</t>
  </si>
  <si>
    <t>Private Car NEW Hybrid DSL</t>
  </si>
  <si>
    <t>Private Car NEW Advanced Hybrid DSL</t>
  </si>
  <si>
    <t>Private Car NEW Electric ELC</t>
  </si>
  <si>
    <t>Private Car NEW Electric Improved ELC</t>
  </si>
  <si>
    <t>Private Car NEW Electric Advanced ELC</t>
  </si>
  <si>
    <t xml:space="preserve">Private Car NEW Hydrogen Imp </t>
  </si>
  <si>
    <t xml:space="preserve">Private Car NEW Hydrogen Adv. </t>
  </si>
  <si>
    <t xml:space="preserve">Motorcycles NEW Standard GSL  </t>
  </si>
  <si>
    <t xml:space="preserve">Motorcycles NEW Improved GSL  </t>
  </si>
  <si>
    <t xml:space="preserve">Motorcycles NEW Advanced GSL  </t>
  </si>
  <si>
    <t>Private Car Second Hand Euro 4&amp;5 LPG</t>
  </si>
  <si>
    <t>Private Car Second Hand Euro 6 LPG</t>
  </si>
  <si>
    <t>Private Car Second Hand Post Euro 6 LPG</t>
  </si>
  <si>
    <t>Private Car Second Hand Advanced LPG</t>
  </si>
  <si>
    <t>Private Car Second Hand Euro 4&amp;5 DSL</t>
  </si>
  <si>
    <t>Private Car Second Hand Euro 6 DSL</t>
  </si>
  <si>
    <t>Private Car Second Hand Post Euro 6 DSL</t>
  </si>
  <si>
    <t>Private Car Second Hand Advanced DSL</t>
  </si>
  <si>
    <t>Private Car Second Hand Euro 4&amp;5 GSL</t>
  </si>
  <si>
    <t>Private Car Second Hand Euro 6 GSL</t>
  </si>
  <si>
    <t>Private Car Second Hand Post Euro 6 GSL</t>
  </si>
  <si>
    <t>Private Car Second Hand Advanced GSL</t>
  </si>
  <si>
    <t>Private Car Second Hand Euro 6 GAS</t>
  </si>
  <si>
    <t>Private Car Second Hand Post Euro 6 GAS</t>
  </si>
  <si>
    <t>Private Car Second Hand Advanced GAS</t>
  </si>
  <si>
    <t>Private Car Second Hand Hybrid GSL</t>
  </si>
  <si>
    <t>Private Car Second Hand Advanced Hybrid GSL</t>
  </si>
  <si>
    <t>Private Car Second Hand Hybrid DSL</t>
  </si>
  <si>
    <t>Private Car Second Hand Advanced Hybrid DSL</t>
  </si>
  <si>
    <t>Private Car Second Hand Electric ELC</t>
  </si>
  <si>
    <t>Private Car Second Hand Electric Improved ELC</t>
  </si>
  <si>
    <t>Private Car Second Hand Electric Advanced ELC</t>
  </si>
  <si>
    <t xml:space="preserve">Private Car Second Hand Hydrogen Imp </t>
  </si>
  <si>
    <t xml:space="preserve">Private Car Second Hand Hydrogen Adv. </t>
  </si>
  <si>
    <t>Private Car NEW E85 Imp</t>
  </si>
  <si>
    <t>Private Car NEW E85 Adv</t>
  </si>
  <si>
    <t>Private Car NEW E100 Imp</t>
  </si>
  <si>
    <t>Private Car NEW E100 Adv</t>
  </si>
  <si>
    <t>Private Car NEW B20 Imp</t>
  </si>
  <si>
    <t>Private Car NEW B20 Adv</t>
  </si>
  <si>
    <t>Private Car NEW B100 Imp</t>
  </si>
  <si>
    <t>Private Car NEW B100 Adv</t>
  </si>
  <si>
    <t>Private Car Second Hand E85 Imp</t>
  </si>
  <si>
    <t>Private Car Second Hand E85 Adv</t>
  </si>
  <si>
    <t>Private Car Second Hand E100 Imp</t>
  </si>
  <si>
    <t>Private Car Second Hand E100 Adv</t>
  </si>
  <si>
    <t>Private Car Second Hand B20 Imp</t>
  </si>
  <si>
    <t>Private Car Second Hand B20 Adv</t>
  </si>
  <si>
    <t>Private Car Second Hand B100 Imp</t>
  </si>
  <si>
    <t>Private Car Second Hand B100 Adv</t>
  </si>
  <si>
    <t>Trolley NEW Electric ELC</t>
  </si>
  <si>
    <t>Trolley NEW Electric Improved ELC</t>
  </si>
  <si>
    <t>Trolley NEW Electric Advanced ELC</t>
  </si>
  <si>
    <t>HDV NEW Euro 4&amp;5 DSL</t>
  </si>
  <si>
    <t>HDV NEW Euro 6 DSL</t>
  </si>
  <si>
    <t>HDV NEW Post Euro 6 DSL</t>
  </si>
  <si>
    <t>HDV NEW Advanced DSL</t>
  </si>
  <si>
    <t>HDV NEW Euro 6 GAS</t>
  </si>
  <si>
    <t>HDV NEW Post Euro 6 GAS</t>
  </si>
  <si>
    <t>HDV NEW Advanced GAS</t>
  </si>
  <si>
    <t xml:space="preserve">HDV NEW Hydrogen Imp </t>
  </si>
  <si>
    <t xml:space="preserve">HDV NEW Hydrogen Adv. </t>
  </si>
  <si>
    <t>LDV NEW Euro 4&amp;5 DSL</t>
  </si>
  <si>
    <t>LDV NEW Euro 6 DSL</t>
  </si>
  <si>
    <t>LDV NEW Post Euro 6 DSL</t>
  </si>
  <si>
    <t>LDV NEW Advanced DSL</t>
  </si>
  <si>
    <t>LDV NEW Euro 4&amp;5 GSL</t>
  </si>
  <si>
    <t>LDV NEW Euro 6 GSL</t>
  </si>
  <si>
    <t>LDV NEW Post Euro 6 GSL</t>
  </si>
  <si>
    <t>LDV NEW Advanced GSL</t>
  </si>
  <si>
    <t>LDV NEW Euro 6 GAS</t>
  </si>
  <si>
    <t>LDV NEW Post Euro 6 GAS</t>
  </si>
  <si>
    <t>LDV NEW Advanced GAS</t>
  </si>
  <si>
    <t>LDV NEW Hybrid DSL</t>
  </si>
  <si>
    <t>LDV NEW Advanced Hybrid DSL</t>
  </si>
  <si>
    <t>LDV NEW Hybrid GSL</t>
  </si>
  <si>
    <t>LDV NEW Advanced Hybrid GSL</t>
  </si>
  <si>
    <t xml:space="preserve">LDV NEW Hydrogen Imp </t>
  </si>
  <si>
    <t xml:space="preserve">LDV NEW Hydrogen Adv. </t>
  </si>
  <si>
    <t>LDV NEW Electric ELC</t>
  </si>
  <si>
    <t>LDV NEW Electric Improved ELC</t>
  </si>
  <si>
    <t>LDV NEW Electric Advanced ELC</t>
  </si>
  <si>
    <t>HDV Second Hand Euro 4&amp;5 DSL</t>
  </si>
  <si>
    <t>HDV Second Hand Euro 6 DSL</t>
  </si>
  <si>
    <t>HDV Second Hand Post Euro 6 DSL</t>
  </si>
  <si>
    <t>HDV Second Hand Advanced DSL</t>
  </si>
  <si>
    <t>HDV Second Hand Euro 6 GAS</t>
  </si>
  <si>
    <t>HDV Second Hand Post Euro 6 GAS</t>
  </si>
  <si>
    <t>HDV Second Hand Advanced GAS</t>
  </si>
  <si>
    <t xml:space="preserve">HDV Second Hand Hydrogen Imp </t>
  </si>
  <si>
    <t xml:space="preserve">HDV Second Hand Hydrogen Adv. </t>
  </si>
  <si>
    <t>LDV Second Hand Euro 4&amp;5 DSL</t>
  </si>
  <si>
    <t>LDV Second Hand Euro 6 DSL</t>
  </si>
  <si>
    <t>LDV Second Hand Post Euro 6 DSL</t>
  </si>
  <si>
    <t>LDV Second Hand Advanced DSL</t>
  </si>
  <si>
    <t>LDV Second Hand Euro 4&amp;5 GSL</t>
  </si>
  <si>
    <t>LDV Second Hand Euro 6 GSL</t>
  </si>
  <si>
    <t>LDV Second Hand Post Euro 6 GSL</t>
  </si>
  <si>
    <t>LDV Second Hand Advanced GSL</t>
  </si>
  <si>
    <t>LDV Second Hand Euro 6 GAS</t>
  </si>
  <si>
    <t>LDV Second Hand Post Euro 6 GAS</t>
  </si>
  <si>
    <t>LDV Second Hand Advanced GAS</t>
  </si>
  <si>
    <t>LDV Second Hand Hybrid DSL</t>
  </si>
  <si>
    <t>LDV Second Hand Advanced Hybrid DSL</t>
  </si>
  <si>
    <t>LDV Second Hand Hybrid GSL</t>
  </si>
  <si>
    <t>LDV Second Hand Advanced Hybrid GSL</t>
  </si>
  <si>
    <t xml:space="preserve">LDV Second Hand Hydrogen Imp </t>
  </si>
  <si>
    <t xml:space="preserve">LDV Second Hand Hydrogen Adv. </t>
  </si>
  <si>
    <t>LDV Second Hand Electric ELC</t>
  </si>
  <si>
    <t>LDV Second Hand Electric Improved ELC</t>
  </si>
  <si>
    <t>LDV Second Hand Electric Advanced ELC</t>
  </si>
  <si>
    <t>HDV NEW B20 Imp</t>
  </si>
  <si>
    <t>HDV NEW B20 Adv</t>
  </si>
  <si>
    <t>HDV NEW B100 Imp</t>
  </si>
  <si>
    <t>HDV NEW B100 Adv</t>
  </si>
  <si>
    <t>LDV NEW B20 Imp</t>
  </si>
  <si>
    <t>LDV NEW B20 Adv</t>
  </si>
  <si>
    <t>LDV NEW B100 Imp</t>
  </si>
  <si>
    <t>LDV NEW B100 Adv</t>
  </si>
  <si>
    <t>HDV Second Hand B20 Imp</t>
  </si>
  <si>
    <t>HDV Second Hand B20 Adv</t>
  </si>
  <si>
    <t>HDV Second Hand B100 Imp</t>
  </si>
  <si>
    <t>HDV Second Hand B100 Adv</t>
  </si>
  <si>
    <t>LDV Second Hand B20 Imp</t>
  </si>
  <si>
    <t>LDV Second Hand B20 Adv</t>
  </si>
  <si>
    <t>LDV Second Hand B100 Imp</t>
  </si>
  <si>
    <t>LDV Second Hand B100 Adv</t>
  </si>
  <si>
    <t>Passenger Train NEW Standard ELC</t>
  </si>
  <si>
    <t>Passenger Train NEW Improved ELC</t>
  </si>
  <si>
    <t>Passenger Train NEW Advanced ELC</t>
  </si>
  <si>
    <t>Passenger Train NEW Standard DSL</t>
  </si>
  <si>
    <t>Passenger Train NEW Improved DSL</t>
  </si>
  <si>
    <t>Passenger Train NEW Advanced DSL</t>
  </si>
  <si>
    <t>Freight Train NEW Standard ELC</t>
  </si>
  <si>
    <t>Freight Train NEW Improved ELC</t>
  </si>
  <si>
    <t>Freight Train NEW Advanced ELC</t>
  </si>
  <si>
    <t>Freight Train NEW Standard DSL</t>
  </si>
  <si>
    <t>Freight Train NEW Improved DSL</t>
  </si>
  <si>
    <t>Freight Train NEW Advanced DSL</t>
  </si>
  <si>
    <t>Bio-Jet Fuel</t>
  </si>
  <si>
    <t>Vessels NEW Standard DSL</t>
  </si>
  <si>
    <t>Vessels NEW Improved DSL</t>
  </si>
  <si>
    <t>Vessels  NEW Advanced DSL</t>
  </si>
  <si>
    <t>Vessels NEW Improved GAS</t>
  </si>
  <si>
    <t>Vessels  NEW Advanced GAS</t>
  </si>
  <si>
    <t>Waterways</t>
  </si>
  <si>
    <t>Hydrogen for Transport (Gas)</t>
  </si>
  <si>
    <t>Bus NEW Euro 4&amp;5 LPG</t>
  </si>
  <si>
    <t>Bus NEW Euro 6 LPG</t>
  </si>
  <si>
    <t>Bus NEW Post Euro 6 LPG</t>
  </si>
  <si>
    <t>Bus NEW Advanced LPG</t>
  </si>
  <si>
    <t>Bus NEW Euro 4&amp;5 DSL</t>
  </si>
  <si>
    <t>Bus NEW Euro 6 DSL</t>
  </si>
  <si>
    <t>Bus NEW Post Euro 6 DSL</t>
  </si>
  <si>
    <t>Bus NEW Advanced DSL</t>
  </si>
  <si>
    <t>Bus NEW Euro 6 GAS</t>
  </si>
  <si>
    <t>Bus NEW Post Euro 6 GAS</t>
  </si>
  <si>
    <t>Bus NEW Advanced GAS</t>
  </si>
  <si>
    <t>Bus NEW Hybrid DSL</t>
  </si>
  <si>
    <t>Bus NEW Advanced Hybrid DSL</t>
  </si>
  <si>
    <t>Bus NEW B20 Imp</t>
  </si>
  <si>
    <t>Bus NEW B20 Adv</t>
  </si>
  <si>
    <t>Bus NEW B100 Imp</t>
  </si>
  <si>
    <t>Bus NEW B100 Adv</t>
  </si>
  <si>
    <t xml:space="preserve">Bus NEW Hydrogen Imp </t>
  </si>
  <si>
    <t xml:space="preserve">Bus NEW Hydrogen Adv. </t>
  </si>
  <si>
    <t>Bus Electric NEW Improved ELC</t>
  </si>
  <si>
    <t>Bus Electric NEW Advanced ELC</t>
  </si>
  <si>
    <t>Batteries for EVs</t>
  </si>
  <si>
    <t>STG_EFF</t>
  </si>
  <si>
    <t>LIFE</t>
  </si>
  <si>
    <t>*Technology Name</t>
  </si>
  <si>
    <t>Remaining Lifetime</t>
  </si>
  <si>
    <t>MVkm/PJ</t>
  </si>
  <si>
    <t>STG</t>
  </si>
  <si>
    <t>GWh</t>
  </si>
  <si>
    <t>Bus electric battery</t>
  </si>
  <si>
    <t>Car- Electric battery</t>
  </si>
  <si>
    <t>TRABATRPP</t>
  </si>
  <si>
    <t>Battery output for EV Bus</t>
  </si>
  <si>
    <t>Battery output for EV Car</t>
  </si>
  <si>
    <t>All Vehicles</t>
  </si>
  <si>
    <t>Life Reduction of Used cars (years)</t>
  </si>
  <si>
    <t>Efficiency of Used cars w.r.t new cars</t>
  </si>
  <si>
    <t>Cost Reduction of Used cars w.r.t. new</t>
  </si>
  <si>
    <t>TRABATRPBU</t>
  </si>
  <si>
    <t>Transport: Busses and Trolleys</t>
  </si>
  <si>
    <t>LDV- Electric battery</t>
  </si>
  <si>
    <t>TRABATLDV</t>
  </si>
  <si>
    <t>Battery output for EV LDV</t>
  </si>
  <si>
    <t>Efficiency of Used vehicles w.r.t new vehicles</t>
  </si>
  <si>
    <t>BAT_TRARPPC_N01</t>
  </si>
  <si>
    <t>BAT_TRARPBU_N01</t>
  </si>
  <si>
    <t>BAT_TRARLDV_N01</t>
  </si>
  <si>
    <t>Private Car NEW Euro 4&amp;5 Dual GSL-LPG</t>
  </si>
  <si>
    <t>Private Car NEW Euro 6 Dual GSL-LPG</t>
  </si>
  <si>
    <t>Private Car NEW Post Euro 6 Dual GSL-LPG</t>
  </si>
  <si>
    <t>Private Car NEW Advanced Dual GSL-LPG</t>
  </si>
  <si>
    <t>CEFF-I</t>
  </si>
  <si>
    <t>Private Car Second Hand Euro 4&amp;5 Dual GSL-LPG</t>
  </si>
  <si>
    <t>Private Car Second Hand Euro 6 Dual GSL-LPG</t>
  </si>
  <si>
    <t>Private Car Second Hand Post Euro 6 Dual GSL-LPG</t>
  </si>
  <si>
    <t>Private Car Second Hand Advanced Dual GSL-LPG</t>
  </si>
  <si>
    <t>Efficiency ratio (lt/100vkm) (litres Gasoline Eq.)</t>
  </si>
  <si>
    <t>SHARE-I~UP</t>
  </si>
  <si>
    <t>Vessels NEW Improved H2</t>
  </si>
  <si>
    <t>Motorcycles NEW Advanced Electric</t>
  </si>
  <si>
    <t>BAT_TRARPMO_N01</t>
  </si>
  <si>
    <t>Moto-Electric battery</t>
  </si>
  <si>
    <t>TRABATRPM</t>
  </si>
  <si>
    <t>Battery output for EV Moto</t>
  </si>
  <si>
    <t>M$</t>
  </si>
  <si>
    <t>k$/Unit</t>
  </si>
  <si>
    <t>$/GJ/a</t>
  </si>
  <si>
    <t>$/GJ</t>
  </si>
  <si>
    <t>000USD/unit</t>
  </si>
  <si>
    <t>Airplanes - Domestic NEW Standard</t>
  </si>
  <si>
    <t>Airplanes - Domestic NEW Improved</t>
  </si>
  <si>
    <t>Airplanes - Domestic NEW Advanced</t>
  </si>
  <si>
    <t>TRAAVDOM</t>
  </si>
  <si>
    <t>Domestic Aviation</t>
  </si>
  <si>
    <t>COASUB</t>
  </si>
  <si>
    <t>COABCO</t>
  </si>
  <si>
    <t>Sub-bituminous</t>
  </si>
  <si>
    <t>COACCL</t>
  </si>
  <si>
    <t xml:space="preserve">Lignite/Brown Coal </t>
  </si>
  <si>
    <t>OILHFO1</t>
  </si>
  <si>
    <t>Low Sulphur Fuel Oil</t>
  </si>
  <si>
    <t>OILHFO2</t>
  </si>
  <si>
    <t>High Sulphur Fuel Oil</t>
  </si>
  <si>
    <t>RSVCOASUB</t>
  </si>
  <si>
    <t>Sub-bituminous (RSV)</t>
  </si>
  <si>
    <t>RSVCOABCO</t>
  </si>
  <si>
    <t>STGCOABCO</t>
  </si>
  <si>
    <t>SUPCOASUB</t>
  </si>
  <si>
    <t>Sub-bituminous (SUP)</t>
  </si>
  <si>
    <t>SUPCOABCO</t>
  </si>
  <si>
    <t>INDCOASUB</t>
  </si>
  <si>
    <t>Sub-bituminous (IND)</t>
  </si>
  <si>
    <t>INDCOABCO</t>
  </si>
  <si>
    <t>RSDCOASUB</t>
  </si>
  <si>
    <t>Sub-bituminous (RSD)</t>
  </si>
  <si>
    <t>RSDCOABCO</t>
  </si>
  <si>
    <t>COMCOASUB</t>
  </si>
  <si>
    <t>Sub-bituminous (COM)</t>
  </si>
  <si>
    <t>COMCOABCO</t>
  </si>
  <si>
    <t>AGRCOASUB</t>
  </si>
  <si>
    <t>Sub-bituminous (AGR)</t>
  </si>
  <si>
    <t>AGRCOABCO</t>
  </si>
  <si>
    <t>ELECOASUB</t>
  </si>
  <si>
    <t>Sub-bituminous (ELE)</t>
  </si>
  <si>
    <t>ELECOABCO</t>
  </si>
  <si>
    <t>HETCOASUB</t>
  </si>
  <si>
    <t>Sub-bituminous (HET)</t>
  </si>
  <si>
    <t>HETCOABCO</t>
  </si>
  <si>
    <t>RSDLTH</t>
  </si>
  <si>
    <t xml:space="preserve">Heat </t>
  </si>
  <si>
    <t>HETHTH</t>
  </si>
  <si>
    <t>SUPLTH</t>
  </si>
  <si>
    <t>Supply Heat (SUP)</t>
  </si>
  <si>
    <t xml:space="preserve">Biodiesel B20 </t>
  </si>
  <si>
    <t xml:space="preserve">Bioethanol E85 </t>
  </si>
  <si>
    <t>TERELC</t>
  </si>
  <si>
    <t>CNG, Gasoline and Electric Veh.</t>
  </si>
  <si>
    <t>HDV NEW Hybrid DSL</t>
  </si>
  <si>
    <t>HDV NEW Advanced Hybrid DSL</t>
  </si>
  <si>
    <t>Sea/River Ship Technologies</t>
  </si>
  <si>
    <t>Charging Points for EVs</t>
  </si>
  <si>
    <t>Input</t>
  </si>
  <si>
    <t>Output</t>
  </si>
  <si>
    <t>[0-1]</t>
  </si>
  <si>
    <t>Euro/kW</t>
  </si>
  <si>
    <t>CHAR_TRAROAD_N01</t>
  </si>
  <si>
    <t>TRAELCBAT</t>
  </si>
  <si>
    <t>Ratio cars/chg points</t>
  </si>
  <si>
    <t>Charging points for Evs</t>
  </si>
  <si>
    <t>PRE</t>
  </si>
  <si>
    <t>Electricity for Evs batteries</t>
  </si>
  <si>
    <t>Dum_Modal_Shift</t>
  </si>
  <si>
    <t>Dummy for modal shifting to cycling/walking</t>
  </si>
  <si>
    <t>Mpkm</t>
  </si>
  <si>
    <t>Dummy for cycling and mode switching infrastructure</t>
  </si>
  <si>
    <t>Euro/000Units</t>
  </si>
  <si>
    <t>RDM: to be controlled via Scen file (when needed)</t>
  </si>
  <si>
    <t>RDM: to keep track of the charging points (extra costs, limitations, etc. Scen files can control the min/max number of charging points</t>
  </si>
  <si>
    <t>Airplanes - Domestic NEW Advanced H2</t>
  </si>
  <si>
    <t>TRAH2L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</si>
</sst>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\Te\x\t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1"/>
      <color indexed="8"/>
      <name val="Calibri"/>
      <family val="2"/>
      <charset val="161"/>
    </font>
    <font>
      <sz val="11"/>
      <color indexed="8"/>
      <name val="Calibri"/>
      <family val="2"/>
      <charset val="161"/>
    </font>
    <font>
      <sz val="10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0" fillId="2" borderId="0" applyNumberFormat="0" applyBorder="0" applyAlignment="0" applyProtection="0"/>
    <xf numFmtId="0" fontId="12" fillId="3" borderId="0" applyNumberFormat="0" applyBorder="0" applyAlignment="0" applyProtection="0"/>
    <xf numFmtId="0" fontId="10" fillId="7" borderId="0" applyNumberFormat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9" fontId="2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Alignment="1">
      <alignment horizontal="center"/>
    </xf>
    <xf numFmtId="0" fontId="11" fillId="4" borderId="0" xfId="1" applyFont="1" applyFill="1" applyAlignment="1">
      <alignment wrapText="1"/>
    </xf>
    <xf numFmtId="0" fontId="10" fillId="4" borderId="0" xfId="1" applyFill="1" applyAlignment="1">
      <alignment wrapText="1"/>
    </xf>
    <xf numFmtId="0" fontId="10" fillId="4" borderId="0" xfId="1" applyFont="1" applyFill="1" applyAlignment="1">
      <alignment wrapText="1"/>
    </xf>
    <xf numFmtId="0" fontId="14" fillId="5" borderId="0" xfId="1" applyFont="1" applyFill="1" applyAlignment="1">
      <alignment wrapText="1"/>
    </xf>
    <xf numFmtId="0" fontId="14" fillId="5" borderId="0" xfId="1" applyFont="1" applyFill="1" applyAlignment="1">
      <alignment horizontal="right" wrapText="1"/>
    </xf>
    <xf numFmtId="0" fontId="15" fillId="5" borderId="0" xfId="2" applyFont="1" applyFill="1" applyAlignment="1">
      <alignment horizontal="center"/>
    </xf>
    <xf numFmtId="0" fontId="16" fillId="5" borderId="0" xfId="2" applyFont="1" applyFill="1" applyAlignment="1">
      <alignment horizontal="center"/>
    </xf>
    <xf numFmtId="0" fontId="17" fillId="5" borderId="0" xfId="1" applyFont="1" applyFill="1" applyAlignment="1">
      <alignment wrapText="1"/>
    </xf>
    <xf numFmtId="0" fontId="14" fillId="5" borderId="0" xfId="1" applyFont="1" applyFill="1" applyAlignment="1">
      <alignment horizontal="left" wrapText="1"/>
    </xf>
    <xf numFmtId="0" fontId="14" fillId="5" borderId="0" xfId="1" applyFont="1" applyFill="1" applyAlignment="1">
      <alignment horizontal="left"/>
    </xf>
    <xf numFmtId="0" fontId="0" fillId="0" borderId="0" xfId="0" applyBorder="1"/>
    <xf numFmtId="0" fontId="13" fillId="0" borderId="0" xfId="0" applyFont="1"/>
    <xf numFmtId="0" fontId="0" fillId="0" borderId="24" xfId="0" applyBorder="1"/>
    <xf numFmtId="0" fontId="0" fillId="0" borderId="2" xfId="0" applyBorder="1"/>
    <xf numFmtId="1" fontId="0" fillId="0" borderId="2" xfId="0" applyNumberFormat="1" applyBorder="1"/>
    <xf numFmtId="164" fontId="0" fillId="0" borderId="2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1" fontId="0" fillId="0" borderId="0" xfId="0" applyNumberFormat="1" applyFont="1" applyBorder="1"/>
    <xf numFmtId="0" fontId="0" fillId="0" borderId="20" xfId="0" applyBorder="1"/>
    <xf numFmtId="164" fontId="0" fillId="0" borderId="20" xfId="0" applyNumberFormat="1" applyBorder="1"/>
    <xf numFmtId="1" fontId="0" fillId="0" borderId="20" xfId="0" applyNumberFormat="1" applyBorder="1"/>
    <xf numFmtId="1" fontId="0" fillId="0" borderId="0" xfId="0" applyNumberFormat="1" applyFont="1"/>
    <xf numFmtId="164" fontId="0" fillId="0" borderId="0" xfId="0" applyNumberFormat="1"/>
    <xf numFmtId="1" fontId="0" fillId="0" borderId="0" xfId="0" applyNumberFormat="1"/>
    <xf numFmtId="1" fontId="0" fillId="0" borderId="13" xfId="0" applyNumberFormat="1" applyBorder="1"/>
    <xf numFmtId="164" fontId="0" fillId="0" borderId="13" xfId="0" applyNumberForma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/>
    <xf numFmtId="1" fontId="0" fillId="0" borderId="0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64" fontId="0" fillId="0" borderId="28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29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28" xfId="0" applyNumberFormat="1" applyBorder="1"/>
    <xf numFmtId="1" fontId="0" fillId="0" borderId="30" xfId="0" applyNumberFormat="1" applyBorder="1"/>
    <xf numFmtId="1" fontId="0" fillId="0" borderId="6" xfId="0" applyNumberFormat="1" applyFont="1" applyBorder="1"/>
    <xf numFmtId="1" fontId="0" fillId="0" borderId="7" xfId="0" applyNumberFormat="1" applyFont="1" applyBorder="1"/>
    <xf numFmtId="1" fontId="0" fillId="0" borderId="8" xfId="0" applyNumberFormat="1" applyFont="1" applyBorder="1"/>
    <xf numFmtId="1" fontId="0" fillId="0" borderId="9" xfId="0" applyNumberFormat="1" applyFont="1" applyBorder="1"/>
    <xf numFmtId="1" fontId="0" fillId="0" borderId="10" xfId="0" applyNumberFormat="1" applyFont="1" applyBorder="1"/>
    <xf numFmtId="1" fontId="0" fillId="0" borderId="3" xfId="0" applyNumberFormat="1" applyFont="1" applyBorder="1"/>
    <xf numFmtId="1" fontId="0" fillId="0" borderId="4" xfId="0" applyNumberFormat="1" applyFont="1" applyBorder="1"/>
    <xf numFmtId="1" fontId="0" fillId="0" borderId="5" xfId="0" applyNumberFormat="1" applyFon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5" fillId="0" borderId="0" xfId="0" applyFont="1"/>
    <xf numFmtId="2" fontId="0" fillId="0" borderId="0" xfId="0" applyNumberFormat="1" applyAlignment="1">
      <alignment horizontal="center"/>
    </xf>
    <xf numFmtId="2" fontId="6" fillId="0" borderId="0" xfId="0" applyNumberFormat="1" applyFont="1"/>
    <xf numFmtId="1" fontId="0" fillId="0" borderId="34" xfId="0" applyNumberFormat="1" applyBorder="1"/>
    <xf numFmtId="1" fontId="0" fillId="0" borderId="35" xfId="0" applyNumberFormat="1" applyBorder="1"/>
    <xf numFmtId="0" fontId="0" fillId="0" borderId="0" xfId="0"/>
    <xf numFmtId="9" fontId="0" fillId="0" borderId="0" xfId="4" applyFont="1" applyFill="1" applyBorder="1"/>
    <xf numFmtId="9" fontId="0" fillId="0" borderId="0" xfId="4" applyFont="1"/>
    <xf numFmtId="1" fontId="14" fillId="0" borderId="3" xfId="0" applyNumberFormat="1" applyFont="1" applyBorder="1"/>
    <xf numFmtId="1" fontId="14" fillId="0" borderId="0" xfId="0" applyNumberFormat="1" applyFont="1"/>
    <xf numFmtId="2" fontId="0" fillId="0" borderId="0" xfId="0" applyNumberFormat="1" applyFill="1" applyBorder="1"/>
    <xf numFmtId="0" fontId="22" fillId="0" borderId="0" xfId="0" applyFont="1" applyFill="1"/>
    <xf numFmtId="0" fontId="23" fillId="0" borderId="0" xfId="0" applyFont="1" applyFill="1"/>
    <xf numFmtId="0" fontId="22" fillId="0" borderId="0" xfId="0" applyFont="1" applyFill="1" applyBorder="1"/>
    <xf numFmtId="0" fontId="22" fillId="0" borderId="0" xfId="0" applyFont="1" applyFill="1" applyBorder="1" applyAlignment="1">
      <alignment horizontal="left" wrapText="1"/>
    </xf>
    <xf numFmtId="0" fontId="24" fillId="0" borderId="0" xfId="0" applyFont="1" applyFill="1" applyBorder="1"/>
    <xf numFmtId="0" fontId="22" fillId="0" borderId="0" xfId="0" applyFont="1" applyFill="1" applyBorder="1" applyAlignment="1">
      <alignment horizontal="left"/>
    </xf>
    <xf numFmtId="0" fontId="22" fillId="0" borderId="0" xfId="0" applyFont="1" applyFill="1" applyAlignment="1">
      <alignment horizontal="right"/>
    </xf>
    <xf numFmtId="166" fontId="22" fillId="0" borderId="0" xfId="0" applyNumberFormat="1" applyFont="1" applyFill="1"/>
    <xf numFmtId="166" fontId="22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left"/>
    </xf>
    <xf numFmtId="0" fontId="25" fillId="0" borderId="0" xfId="0" applyFont="1" applyFill="1" applyAlignment="1"/>
    <xf numFmtId="166" fontId="24" fillId="0" borderId="0" xfId="0" applyNumberFormat="1" applyFont="1" applyFill="1"/>
    <xf numFmtId="0" fontId="21" fillId="0" borderId="0" xfId="0" applyFont="1" applyFill="1" applyBorder="1"/>
    <xf numFmtId="0" fontId="24" fillId="0" borderId="2" xfId="0" applyFont="1" applyFill="1" applyBorder="1" applyAlignment="1">
      <alignment vertical="center"/>
    </xf>
    <xf numFmtId="0" fontId="24" fillId="0" borderId="15" xfId="0" applyFont="1" applyFill="1" applyBorder="1" applyAlignment="1">
      <alignment vertical="center"/>
    </xf>
    <xf numFmtId="0" fontId="25" fillId="0" borderId="2" xfId="0" applyFont="1" applyFill="1" applyBorder="1" applyAlignment="1">
      <alignment vertical="center"/>
    </xf>
    <xf numFmtId="0" fontId="24" fillId="0" borderId="2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166" fontId="24" fillId="0" borderId="13" xfId="0" applyNumberFormat="1" applyFont="1" applyFill="1" applyBorder="1"/>
    <xf numFmtId="166" fontId="25" fillId="0" borderId="0" xfId="0" applyNumberFormat="1" applyFont="1" applyFill="1" applyAlignment="1"/>
    <xf numFmtId="166" fontId="21" fillId="0" borderId="0" xfId="0" applyNumberFormat="1" applyFont="1" applyFill="1" applyAlignment="1"/>
    <xf numFmtId="166" fontId="21" fillId="0" borderId="0" xfId="0" applyNumberFormat="1" applyFont="1" applyFill="1" applyAlignment="1">
      <alignment horizontal="center"/>
    </xf>
    <xf numFmtId="0" fontId="21" fillId="0" borderId="0" xfId="0" applyFont="1" applyFill="1" applyAlignment="1"/>
    <xf numFmtId="0" fontId="25" fillId="0" borderId="0" xfId="0" applyFont="1" applyFill="1" applyBorder="1" applyAlignment="1"/>
    <xf numFmtId="0" fontId="22" fillId="0" borderId="14" xfId="0" applyFont="1" applyFill="1" applyBorder="1" applyAlignment="1">
      <alignment horizontal="center" wrapText="1"/>
    </xf>
    <xf numFmtId="0" fontId="22" fillId="0" borderId="16" xfId="0" applyFont="1" applyFill="1" applyBorder="1" applyAlignment="1">
      <alignment horizontal="center" wrapText="1"/>
    </xf>
    <xf numFmtId="0" fontId="21" fillId="0" borderId="14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wrapText="1"/>
    </xf>
    <xf numFmtId="166" fontId="22" fillId="0" borderId="9" xfId="0" applyNumberFormat="1" applyFont="1" applyFill="1" applyBorder="1" applyAlignment="1">
      <alignment horizontal="center" wrapText="1"/>
    </xf>
    <xf numFmtId="0" fontId="22" fillId="0" borderId="0" xfId="0" applyFont="1" applyFill="1" applyAlignment="1">
      <alignment horizontal="center"/>
    </xf>
    <xf numFmtId="166" fontId="25" fillId="0" borderId="2" xfId="0" applyNumberFormat="1" applyFont="1" applyFill="1" applyBorder="1" applyAlignment="1"/>
    <xf numFmtId="166" fontId="25" fillId="0" borderId="2" xfId="0" applyNumberFormat="1" applyFont="1" applyFill="1" applyBorder="1" applyAlignment="1">
      <alignment horizontal="center"/>
    </xf>
    <xf numFmtId="166" fontId="25" fillId="0" borderId="2" xfId="0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left" wrapText="1"/>
    </xf>
    <xf numFmtId="0" fontId="22" fillId="0" borderId="17" xfId="0" applyFont="1" applyFill="1" applyBorder="1" applyAlignment="1">
      <alignment horizontal="center" wrapText="1"/>
    </xf>
    <xf numFmtId="0" fontId="22" fillId="0" borderId="18" xfId="0" applyFont="1" applyFill="1" applyBorder="1" applyAlignment="1">
      <alignment horizontal="center" wrapText="1"/>
    </xf>
    <xf numFmtId="166" fontId="21" fillId="0" borderId="14" xfId="0" applyNumberFormat="1" applyFont="1" applyFill="1" applyBorder="1" applyAlignment="1">
      <alignment horizontal="left"/>
    </xf>
    <xf numFmtId="166" fontId="21" fillId="0" borderId="14" xfId="0" applyNumberFormat="1" applyFont="1" applyFill="1" applyBorder="1" applyAlignment="1">
      <alignment horizontal="center"/>
    </xf>
    <xf numFmtId="0" fontId="21" fillId="0" borderId="0" xfId="0" applyFont="1" applyFill="1" applyBorder="1" applyAlignment="1"/>
    <xf numFmtId="0" fontId="22" fillId="0" borderId="15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64" fontId="22" fillId="0" borderId="0" xfId="0" applyNumberFormat="1" applyFont="1" applyFill="1" applyAlignment="1">
      <alignment horizontal="center"/>
    </xf>
    <xf numFmtId="2" fontId="22" fillId="0" borderId="0" xfId="0" applyNumberFormat="1" applyFont="1" applyFill="1" applyAlignment="1">
      <alignment horizontal="center"/>
    </xf>
    <xf numFmtId="165" fontId="22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19" xfId="0" applyFont="1" applyFill="1" applyBorder="1" applyAlignment="1">
      <alignment horizontal="center"/>
    </xf>
    <xf numFmtId="0" fontId="22" fillId="0" borderId="20" xfId="0" applyFont="1" applyFill="1" applyBorder="1"/>
    <xf numFmtId="0" fontId="22" fillId="0" borderId="20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164" fontId="22" fillId="0" borderId="20" xfId="0" applyNumberFormat="1" applyFont="1" applyFill="1" applyBorder="1" applyAlignment="1">
      <alignment horizontal="center"/>
    </xf>
    <xf numFmtId="2" fontId="22" fillId="0" borderId="20" xfId="0" applyNumberFormat="1" applyFont="1" applyFill="1" applyBorder="1" applyAlignment="1">
      <alignment horizontal="center"/>
    </xf>
    <xf numFmtId="165" fontId="22" fillId="0" borderId="20" xfId="0" applyNumberFormat="1" applyFont="1" applyFill="1" applyBorder="1" applyAlignment="1">
      <alignment horizontal="center"/>
    </xf>
    <xf numFmtId="165" fontId="22" fillId="0" borderId="0" xfId="0" applyNumberFormat="1" applyFont="1" applyFill="1" applyBorder="1" applyAlignment="1">
      <alignment horizontal="center"/>
    </xf>
    <xf numFmtId="0" fontId="22" fillId="0" borderId="2" xfId="0" applyFont="1" applyFill="1" applyBorder="1"/>
    <xf numFmtId="0" fontId="22" fillId="0" borderId="2" xfId="0" applyFont="1" applyFill="1" applyBorder="1" applyAlignment="1">
      <alignment horizontal="center"/>
    </xf>
    <xf numFmtId="164" fontId="22" fillId="0" borderId="2" xfId="0" applyNumberFormat="1" applyFont="1" applyFill="1" applyBorder="1" applyAlignment="1">
      <alignment horizontal="center"/>
    </xf>
    <xf numFmtId="2" fontId="22" fillId="0" borderId="2" xfId="0" applyNumberFormat="1" applyFont="1" applyFill="1" applyBorder="1" applyAlignment="1">
      <alignment horizontal="center"/>
    </xf>
    <xf numFmtId="165" fontId="22" fillId="0" borderId="2" xfId="0" applyNumberFormat="1" applyFont="1" applyFill="1" applyBorder="1" applyAlignment="1">
      <alignment horizontal="center"/>
    </xf>
    <xf numFmtId="0" fontId="21" fillId="0" borderId="0" xfId="0" applyFont="1" applyFill="1"/>
    <xf numFmtId="164" fontId="22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0" xfId="0" applyFont="1" applyFill="1"/>
    <xf numFmtId="0" fontId="1" fillId="0" borderId="0" xfId="3" applyFont="1" applyFill="1" applyAlignment="1">
      <alignment horizontal="center"/>
    </xf>
    <xf numFmtId="0" fontId="24" fillId="0" borderId="0" xfId="0" applyFont="1" applyFill="1" applyAlignment="1">
      <alignment horizontal="right"/>
    </xf>
    <xf numFmtId="0" fontId="22" fillId="0" borderId="15" xfId="0" applyFont="1" applyFill="1" applyBorder="1"/>
    <xf numFmtId="0" fontId="22" fillId="0" borderId="0" xfId="0" applyFont="1" applyFill="1" applyBorder="1" applyAlignment="1"/>
    <xf numFmtId="1" fontId="22" fillId="0" borderId="0" xfId="0" applyNumberFormat="1" applyFont="1" applyFill="1" applyAlignment="1">
      <alignment horizontal="center"/>
    </xf>
    <xf numFmtId="0" fontId="22" fillId="0" borderId="19" xfId="0" applyFont="1" applyFill="1" applyBorder="1"/>
    <xf numFmtId="0" fontId="22" fillId="0" borderId="21" xfId="0" applyFont="1" applyFill="1" applyBorder="1"/>
    <xf numFmtId="0" fontId="22" fillId="0" borderId="20" xfId="0" applyFont="1" applyFill="1" applyBorder="1" applyAlignment="1"/>
    <xf numFmtId="1" fontId="22" fillId="0" borderId="20" xfId="0" applyNumberFormat="1" applyFont="1" applyFill="1" applyBorder="1" applyAlignment="1">
      <alignment horizontal="center"/>
    </xf>
    <xf numFmtId="0" fontId="22" fillId="0" borderId="2" xfId="0" applyFont="1" applyFill="1" applyBorder="1" applyAlignment="1"/>
    <xf numFmtId="0" fontId="22" fillId="0" borderId="0" xfId="0" applyFont="1" applyFill="1" applyBorder="1" applyAlignment="1">
      <alignment horizontal="right"/>
    </xf>
    <xf numFmtId="0" fontId="22" fillId="0" borderId="13" xfId="0" applyFont="1" applyFill="1" applyBorder="1"/>
    <xf numFmtId="0" fontId="22" fillId="0" borderId="13" xfId="0" applyFont="1" applyFill="1" applyBorder="1" applyAlignment="1">
      <alignment horizontal="center"/>
    </xf>
    <xf numFmtId="0" fontId="22" fillId="0" borderId="20" xfId="0" applyFont="1" applyFill="1" applyBorder="1" applyAlignment="1">
      <alignment horizontal="right"/>
    </xf>
    <xf numFmtId="166" fontId="25" fillId="0" borderId="0" xfId="0" applyNumberFormat="1" applyFont="1" applyFill="1"/>
    <xf numFmtId="166" fontId="21" fillId="0" borderId="0" xfId="0" applyNumberFormat="1" applyFont="1" applyFill="1"/>
    <xf numFmtId="2" fontId="21" fillId="0" borderId="0" xfId="0" applyNumberFormat="1" applyFont="1" applyFill="1"/>
    <xf numFmtId="0" fontId="25" fillId="0" borderId="0" xfId="0" applyFont="1" applyFill="1" applyAlignment="1">
      <alignment horizontal="right"/>
    </xf>
    <xf numFmtId="0" fontId="25" fillId="0" borderId="0" xfId="0" applyFont="1" applyFill="1" applyAlignment="1">
      <alignment horizontal="left"/>
    </xf>
    <xf numFmtId="0" fontId="22" fillId="0" borderId="18" xfId="0" applyFont="1" applyFill="1" applyBorder="1" applyAlignment="1">
      <alignment horizontal="left" wrapText="1"/>
    </xf>
    <xf numFmtId="2" fontId="21" fillId="0" borderId="0" xfId="0" applyNumberFormat="1" applyFont="1" applyFill="1" applyBorder="1"/>
    <xf numFmtId="0" fontId="21" fillId="0" borderId="19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 vertical="center"/>
    </xf>
    <xf numFmtId="0" fontId="22" fillId="0" borderId="23" xfId="0" applyFont="1" applyFill="1" applyBorder="1"/>
    <xf numFmtId="0" fontId="24" fillId="0" borderId="2" xfId="0" applyFont="1" applyFill="1" applyBorder="1" applyAlignment="1">
      <alignment horizontal="center" vertical="center"/>
    </xf>
    <xf numFmtId="0" fontId="22" fillId="0" borderId="36" xfId="0" applyFont="1" applyFill="1" applyBorder="1" applyAlignment="1">
      <alignment horizontal="left" wrapText="1"/>
    </xf>
    <xf numFmtId="0" fontId="22" fillId="0" borderId="37" xfId="0" applyFont="1" applyFill="1" applyBorder="1" applyAlignment="1">
      <alignment horizontal="left" wrapText="1"/>
    </xf>
    <xf numFmtId="0" fontId="22" fillId="0" borderId="36" xfId="0" applyFont="1" applyFill="1" applyBorder="1" applyAlignment="1">
      <alignment horizontal="center" wrapText="1"/>
    </xf>
    <xf numFmtId="0" fontId="21" fillId="0" borderId="36" xfId="0" applyFont="1" applyFill="1" applyBorder="1" applyAlignment="1">
      <alignment horizontal="center" wrapText="1"/>
    </xf>
    <xf numFmtId="2" fontId="22" fillId="0" borderId="0" xfId="0" applyNumberFormat="1" applyFont="1" applyFill="1"/>
    <xf numFmtId="0" fontId="24" fillId="0" borderId="0" xfId="0" applyFont="1" applyFill="1" applyAlignment="1">
      <alignment horizontal="center"/>
    </xf>
    <xf numFmtId="2" fontId="22" fillId="0" borderId="0" xfId="0" applyNumberFormat="1" applyFont="1" applyFill="1" applyBorder="1"/>
    <xf numFmtId="0" fontId="22" fillId="0" borderId="4" xfId="0" applyFont="1" applyFill="1" applyBorder="1" applyAlignment="1">
      <alignment horizontal="left" wrapText="1"/>
    </xf>
    <xf numFmtId="0" fontId="22" fillId="0" borderId="4" xfId="0" applyFont="1" applyFill="1" applyBorder="1" applyAlignment="1">
      <alignment horizontal="center" wrapText="1"/>
    </xf>
    <xf numFmtId="0" fontId="22" fillId="0" borderId="22" xfId="0" applyFont="1" applyFill="1" applyBorder="1" applyAlignment="1">
      <alignment horizontal="center" wrapText="1"/>
    </xf>
    <xf numFmtId="0" fontId="23" fillId="0" borderId="0" xfId="0" applyFont="1" applyFill="1" applyAlignment="1"/>
    <xf numFmtId="1" fontId="22" fillId="0" borderId="0" xfId="0" applyNumberFormat="1" applyFont="1" applyFill="1"/>
    <xf numFmtId="0" fontId="24" fillId="0" borderId="15" xfId="0" applyFont="1" applyFill="1" applyBorder="1" applyAlignment="1">
      <alignment horizontal="center" vertical="center"/>
    </xf>
    <xf numFmtId="164" fontId="22" fillId="0" borderId="0" xfId="0" applyNumberFormat="1" applyFont="1" applyFill="1"/>
    <xf numFmtId="0" fontId="22" fillId="0" borderId="23" xfId="0" applyFont="1" applyFill="1" applyBorder="1" applyAlignment="1">
      <alignment horizontal="center"/>
    </xf>
    <xf numFmtId="166" fontId="22" fillId="0" borderId="0" xfId="0" applyNumberFormat="1" applyFont="1" applyFill="1" applyBorder="1"/>
    <xf numFmtId="0" fontId="26" fillId="0" borderId="0" xfId="0" applyFont="1" applyFill="1"/>
    <xf numFmtId="0" fontId="27" fillId="0" borderId="0" xfId="0" applyFont="1" applyFill="1"/>
    <xf numFmtId="166" fontId="24" fillId="0" borderId="2" xfId="0" applyNumberFormat="1" applyFont="1" applyFill="1" applyBorder="1"/>
    <xf numFmtId="166" fontId="24" fillId="0" borderId="2" xfId="0" applyNumberFormat="1" applyFont="1" applyFill="1" applyBorder="1" applyAlignment="1">
      <alignment horizontal="left"/>
    </xf>
    <xf numFmtId="166" fontId="24" fillId="0" borderId="0" xfId="0" applyNumberFormat="1" applyFont="1" applyFill="1" applyBorder="1"/>
    <xf numFmtId="166" fontId="22" fillId="0" borderId="14" xfId="0" applyNumberFormat="1" applyFont="1" applyFill="1" applyBorder="1" applyAlignment="1">
      <alignment horizontal="left" wrapText="1"/>
    </xf>
    <xf numFmtId="0" fontId="22" fillId="0" borderId="0" xfId="0" applyFont="1" applyFill="1" applyAlignment="1">
      <alignment wrapText="1"/>
    </xf>
    <xf numFmtId="166" fontId="22" fillId="0" borderId="0" xfId="0" applyNumberFormat="1" applyFont="1" applyFill="1" applyBorder="1" applyAlignment="1">
      <alignment horizontal="left" wrapText="1"/>
    </xf>
    <xf numFmtId="166" fontId="22" fillId="0" borderId="9" xfId="0" applyNumberFormat="1" applyFont="1" applyFill="1" applyBorder="1" applyAlignment="1">
      <alignment horizontal="left" wrapText="1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17" fillId="5" borderId="0" xfId="1" applyFont="1" applyFill="1" applyAlignment="1">
      <alignment horizontal="left" wrapText="1"/>
    </xf>
  </cellXfs>
  <cellStyles count="7">
    <cellStyle name="Accent2" xfId="1" builtinId="33"/>
    <cellStyle name="Accent6" xfId="3" builtinId="49"/>
    <cellStyle name="Good" xfId="2" builtinId="26"/>
    <cellStyle name="Normal" xfId="0" builtinId="0"/>
    <cellStyle name="Normal 2" xfId="5" xr:uid="{EB53423B-754F-412A-9859-A4CA05758305}"/>
    <cellStyle name="Percent" xfId="4" builtinId="5"/>
    <cellStyle name="Percent 2" xfId="6" xr:uid="{56265D2F-153D-4BB9-BDFB-C1A16BE19EF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150"/>
  <sheetViews>
    <sheetView topLeftCell="F1" zoomScale="70" zoomScaleNormal="70" workbookViewId="0">
      <selection activeCell="H13" sqref="H13"/>
    </sheetView>
  </sheetViews>
  <sheetFormatPr defaultRowHeight="13.2" x14ac:dyDescent="0.25"/>
  <cols>
    <col min="1" max="1" width="5.44140625" style="137" customWidth="1"/>
    <col min="2" max="2" width="40.6640625" style="137" customWidth="1"/>
    <col min="3" max="3" width="44.6640625" style="137" customWidth="1"/>
    <col min="4" max="4" width="20.6640625" style="137" bestFit="1" customWidth="1"/>
    <col min="5" max="8" width="15.88671875" style="137" customWidth="1"/>
    <col min="9" max="9" width="18.33203125" style="137" bestFit="1" customWidth="1"/>
    <col min="10" max="10" width="21.44140625" style="137" bestFit="1" customWidth="1"/>
    <col min="11" max="11" width="21.44140625" style="137" customWidth="1"/>
    <col min="12" max="12" width="17.88671875" style="137" bestFit="1" customWidth="1"/>
    <col min="13" max="13" width="18.33203125" style="137" bestFit="1" customWidth="1"/>
    <col min="14" max="14" width="29" style="137" bestFit="1" customWidth="1"/>
    <col min="15" max="15" width="13.109375" style="89" customWidth="1"/>
    <col min="16" max="16" width="8" style="89" customWidth="1"/>
    <col min="17" max="17" width="18.5546875" style="137" customWidth="1"/>
    <col min="18" max="18" width="14.6640625" style="137" customWidth="1"/>
    <col min="19" max="19" width="39.6640625" style="137" customWidth="1"/>
    <col min="20" max="20" width="106" style="137" bestFit="1" customWidth="1"/>
    <col min="21" max="21" width="13.44140625" style="137" bestFit="1" customWidth="1"/>
    <col min="22" max="22" width="14.6640625" style="137" bestFit="1" customWidth="1"/>
    <col min="23" max="23" width="35" style="137" bestFit="1" customWidth="1"/>
    <col min="24" max="24" width="27.6640625" style="137" bestFit="1" customWidth="1"/>
    <col min="25" max="25" width="17.88671875" style="137" bestFit="1" customWidth="1"/>
    <col min="26" max="28" width="8.88671875" style="137"/>
    <col min="29" max="29" width="16.5546875" style="137" bestFit="1" customWidth="1"/>
    <col min="30" max="30" width="51.44140625" style="137" bestFit="1" customWidth="1"/>
    <col min="31" max="31" width="6.88671875" style="137" bestFit="1" customWidth="1"/>
    <col min="32" max="34" width="8.88671875" style="137"/>
    <col min="35" max="35" width="18.88671875" style="137" bestFit="1" customWidth="1"/>
    <col min="36" max="16384" width="8.88671875" style="137"/>
  </cols>
  <sheetData>
    <row r="1" spans="1:39" s="77" customFormat="1" ht="17.399999999999999" x14ac:dyDescent="0.3">
      <c r="B1" s="78" t="s">
        <v>806</v>
      </c>
      <c r="C1" s="78"/>
      <c r="O1" s="79"/>
      <c r="P1" s="79"/>
      <c r="R1" s="77" t="s">
        <v>807</v>
      </c>
    </row>
    <row r="2" spans="1:39" s="77" customFormat="1" ht="17.399999999999999" x14ac:dyDescent="0.3">
      <c r="B2" s="78" t="s">
        <v>818</v>
      </c>
      <c r="O2" s="79"/>
      <c r="P2" s="79"/>
    </row>
    <row r="3" spans="1:39" s="77" customFormat="1" ht="13.8" x14ac:dyDescent="0.25">
      <c r="B3" s="80"/>
      <c r="D3" s="81"/>
      <c r="E3" s="81"/>
      <c r="F3" s="81"/>
      <c r="G3" s="81"/>
      <c r="I3" s="82"/>
      <c r="J3" s="82"/>
      <c r="K3" s="82"/>
      <c r="L3" s="82"/>
      <c r="M3" s="83"/>
      <c r="O3" s="79"/>
      <c r="P3" s="79"/>
      <c r="R3" s="84" t="s">
        <v>808</v>
      </c>
      <c r="S3" s="84" t="s">
        <v>819</v>
      </c>
      <c r="T3" s="85" t="s">
        <v>901</v>
      </c>
      <c r="U3" s="84"/>
      <c r="V3" s="84"/>
      <c r="W3" s="84"/>
      <c r="X3" s="84"/>
      <c r="Y3" s="84"/>
      <c r="AK3" s="79"/>
      <c r="AL3" s="79"/>
      <c r="AM3" s="79"/>
    </row>
    <row r="4" spans="1:39" s="77" customFormat="1" ht="13.8" x14ac:dyDescent="0.25">
      <c r="E4" s="86"/>
      <c r="F4" s="87" t="s">
        <v>0</v>
      </c>
      <c r="G4" s="87"/>
      <c r="H4" s="82"/>
      <c r="O4" s="79"/>
      <c r="P4" s="79"/>
      <c r="R4" s="88" t="s">
        <v>18</v>
      </c>
      <c r="S4" s="84"/>
      <c r="T4" s="84"/>
      <c r="U4" s="84"/>
      <c r="V4" s="84"/>
      <c r="W4" s="84"/>
      <c r="X4" s="84"/>
      <c r="Y4" s="84"/>
      <c r="AK4" s="89"/>
      <c r="AL4" s="79"/>
      <c r="AM4" s="79"/>
    </row>
    <row r="5" spans="1:39" s="77" customFormat="1" ht="27.6" x14ac:dyDescent="0.25">
      <c r="B5" s="90" t="s">
        <v>1</v>
      </c>
      <c r="C5" s="90" t="s">
        <v>809</v>
      </c>
      <c r="D5" s="90" t="s">
        <v>3</v>
      </c>
      <c r="E5" s="90" t="s">
        <v>4</v>
      </c>
      <c r="F5" s="91" t="s">
        <v>816</v>
      </c>
      <c r="G5" s="92" t="s">
        <v>15</v>
      </c>
      <c r="H5" s="93" t="s">
        <v>17</v>
      </c>
      <c r="I5" s="93" t="s">
        <v>1122</v>
      </c>
      <c r="J5" s="93" t="s">
        <v>38</v>
      </c>
      <c r="K5" s="93" t="s">
        <v>74</v>
      </c>
      <c r="L5" s="94" t="s">
        <v>43</v>
      </c>
      <c r="M5" s="93" t="s">
        <v>5</v>
      </c>
      <c r="N5" s="93" t="s">
        <v>49</v>
      </c>
      <c r="O5" s="93" t="s">
        <v>50</v>
      </c>
      <c r="P5" s="95"/>
      <c r="R5" s="96" t="s">
        <v>16</v>
      </c>
      <c r="S5" s="96" t="s">
        <v>1</v>
      </c>
      <c r="T5" s="96" t="s">
        <v>2</v>
      </c>
      <c r="U5" s="96" t="s">
        <v>19</v>
      </c>
      <c r="V5" s="96" t="s">
        <v>20</v>
      </c>
      <c r="W5" s="96" t="s">
        <v>21</v>
      </c>
      <c r="X5" s="96" t="s">
        <v>22</v>
      </c>
      <c r="Y5" s="96" t="s">
        <v>23</v>
      </c>
      <c r="AB5" s="97" t="s">
        <v>7</v>
      </c>
      <c r="AC5" s="98"/>
      <c r="AD5" s="98"/>
      <c r="AE5" s="99"/>
      <c r="AF5" s="99"/>
      <c r="AG5" s="98"/>
      <c r="AH5" s="98"/>
      <c r="AI5" s="98"/>
      <c r="AJ5" s="100"/>
      <c r="AK5" s="101"/>
      <c r="AL5" s="79"/>
      <c r="AM5" s="79"/>
    </row>
    <row r="6" spans="1:39" s="77" customFormat="1" ht="22.5" customHeight="1" thickBot="1" x14ac:dyDescent="0.3">
      <c r="B6" s="102" t="s">
        <v>824</v>
      </c>
      <c r="C6" s="102" t="s">
        <v>32</v>
      </c>
      <c r="D6" s="102" t="s">
        <v>36</v>
      </c>
      <c r="E6" s="102" t="s">
        <v>37</v>
      </c>
      <c r="F6" s="103"/>
      <c r="G6" s="104" t="s">
        <v>42</v>
      </c>
      <c r="H6" s="102" t="s">
        <v>40</v>
      </c>
      <c r="I6" s="102" t="s">
        <v>40</v>
      </c>
      <c r="J6" s="102" t="s">
        <v>72</v>
      </c>
      <c r="K6" s="102" t="s">
        <v>75</v>
      </c>
      <c r="L6" s="104" t="s">
        <v>44</v>
      </c>
      <c r="M6" s="102" t="s">
        <v>45</v>
      </c>
      <c r="N6" s="102" t="s">
        <v>79</v>
      </c>
      <c r="O6" s="102" t="s">
        <v>41</v>
      </c>
      <c r="P6" s="105"/>
      <c r="R6" s="106" t="s">
        <v>810</v>
      </c>
      <c r="S6" s="106" t="s">
        <v>31</v>
      </c>
      <c r="T6" s="106" t="s">
        <v>32</v>
      </c>
      <c r="U6" s="106" t="s">
        <v>33</v>
      </c>
      <c r="V6" s="106" t="s">
        <v>34</v>
      </c>
      <c r="W6" s="106" t="s">
        <v>811</v>
      </c>
      <c r="X6" s="106" t="s">
        <v>812</v>
      </c>
      <c r="Y6" s="106" t="s">
        <v>35</v>
      </c>
      <c r="Z6" s="107"/>
      <c r="AB6" s="108" t="s">
        <v>8</v>
      </c>
      <c r="AC6" s="108" t="s">
        <v>6</v>
      </c>
      <c r="AD6" s="108" t="s">
        <v>9</v>
      </c>
      <c r="AE6" s="109" t="s">
        <v>10</v>
      </c>
      <c r="AF6" s="109" t="s">
        <v>11</v>
      </c>
      <c r="AG6" s="110" t="s">
        <v>12</v>
      </c>
      <c r="AH6" s="110" t="s">
        <v>13</v>
      </c>
      <c r="AI6" s="110" t="s">
        <v>14</v>
      </c>
      <c r="AJ6" s="100"/>
      <c r="AK6" s="111"/>
      <c r="AL6" s="79"/>
      <c r="AM6" s="79"/>
    </row>
    <row r="7" spans="1:39" s="77" customFormat="1" ht="17.25" customHeight="1" thickBot="1" x14ac:dyDescent="0.3">
      <c r="B7" s="112"/>
      <c r="C7" s="113"/>
      <c r="D7" s="113"/>
      <c r="E7" s="113" t="s">
        <v>813</v>
      </c>
      <c r="F7" s="114"/>
      <c r="G7" s="113"/>
      <c r="H7" s="113" t="str">
        <f>General!$D$12</f>
        <v>MVkms/PJ</v>
      </c>
      <c r="I7" s="113" t="str">
        <f>General!$D$12</f>
        <v>MVkms/PJ</v>
      </c>
      <c r="J7" s="113" t="str">
        <f>General!$D$14</f>
        <v>km/year</v>
      </c>
      <c r="K7" s="113" t="str">
        <f>General!$D$15</f>
        <v>passenger/vehicle</v>
      </c>
      <c r="L7" s="113" t="str">
        <f>General!$D$30</f>
        <v>000USD/unit</v>
      </c>
      <c r="M7" s="113" t="str">
        <f>General!$D$17</f>
        <v>k$/Unit</v>
      </c>
      <c r="N7" s="113" t="str">
        <f>General!$D$20</f>
        <v>Years</v>
      </c>
      <c r="O7" s="113" t="str">
        <f>General!$D$21</f>
        <v>(milion_vkm)/(thousand_vkm)</v>
      </c>
      <c r="P7" s="105"/>
      <c r="Q7" s="79"/>
      <c r="R7" s="79" t="s">
        <v>814</v>
      </c>
      <c r="S7" s="77" t="str">
        <f>Commodities!$N$6&amp;"_"&amp;RIGHT(Commodities!$C$249,3)&amp;"_"&amp;$S$3&amp;"03"</f>
        <v>TRARPPC_LPG_N03</v>
      </c>
      <c r="T7" s="77" t="s">
        <v>907</v>
      </c>
      <c r="U7" s="107" t="str">
        <f>General!$D$28</f>
        <v>MVkms</v>
      </c>
      <c r="V7" s="107" t="str">
        <f>General!$D$11</f>
        <v>000s_Units</v>
      </c>
      <c r="X7" s="107" t="s">
        <v>815</v>
      </c>
      <c r="AB7" s="115" t="s">
        <v>24</v>
      </c>
      <c r="AC7" s="115" t="s">
        <v>25</v>
      </c>
      <c r="AD7" s="115" t="s">
        <v>26</v>
      </c>
      <c r="AE7" s="116" t="s">
        <v>10</v>
      </c>
      <c r="AF7" s="116" t="s">
        <v>27</v>
      </c>
      <c r="AG7" s="115" t="s">
        <v>28</v>
      </c>
      <c r="AH7" s="115" t="s">
        <v>29</v>
      </c>
      <c r="AI7" s="115" t="s">
        <v>30</v>
      </c>
      <c r="AJ7" s="100"/>
      <c r="AK7" s="117"/>
      <c r="AL7" s="79"/>
      <c r="AM7" s="79"/>
    </row>
    <row r="8" spans="1:39" s="77" customFormat="1" ht="13.8" x14ac:dyDescent="0.25">
      <c r="B8" s="77" t="str">
        <f>S7</f>
        <v>TRARPPC_LPG_N03</v>
      </c>
      <c r="C8" s="77" t="str">
        <f>T7</f>
        <v>Private Car NEW Euro 4&amp;5 LPG</v>
      </c>
      <c r="D8" s="77" t="str">
        <f>Commodities!$C$249</f>
        <v>TRAOILLPG</v>
      </c>
      <c r="E8" s="77" t="str">
        <f>Commodities!$N$6</f>
        <v>TRARPPC</v>
      </c>
      <c r="F8" s="118">
        <f t="shared" ref="F8:F48" si="0">G8</f>
        <v>2018</v>
      </c>
      <c r="G8" s="119">
        <f>BASE_YEAR+1</f>
        <v>2018</v>
      </c>
      <c r="H8" s="120">
        <f>'Reference Data'!K11</f>
        <v>326.06708485944137</v>
      </c>
      <c r="I8" s="120"/>
      <c r="L8" s="121">
        <f>'Reference Data'!C11/1000</f>
        <v>22.701743999999998</v>
      </c>
      <c r="M8" s="107">
        <v>0.25</v>
      </c>
      <c r="N8" s="107">
        <v>20</v>
      </c>
      <c r="O8" s="122">
        <v>1E-3</v>
      </c>
      <c r="P8" s="122"/>
      <c r="S8" s="77" t="str">
        <f>Commodities!$N$6&amp;"_"&amp;RIGHT(Commodities!$C$249,3)&amp;"_"&amp;$S$3&amp;"04"</f>
        <v>TRARPPC_LPG_N04</v>
      </c>
      <c r="T8" s="77" t="s">
        <v>908</v>
      </c>
      <c r="U8" s="107" t="str">
        <f>General!$D$28</f>
        <v>MVkms</v>
      </c>
      <c r="V8" s="107" t="str">
        <f>General!$D$11</f>
        <v>000s_Units</v>
      </c>
      <c r="X8" s="107" t="s">
        <v>815</v>
      </c>
      <c r="AB8" s="98" t="s">
        <v>98</v>
      </c>
      <c r="AC8" s="98" t="s">
        <v>821</v>
      </c>
      <c r="AD8" s="98" t="s">
        <v>905</v>
      </c>
      <c r="AE8" s="99" t="str">
        <f>General!$B$2</f>
        <v>PJ</v>
      </c>
      <c r="AF8" s="123"/>
      <c r="AJ8" s="100"/>
      <c r="AK8" s="117"/>
      <c r="AL8" s="79"/>
      <c r="AM8" s="79"/>
    </row>
    <row r="9" spans="1:39" s="77" customFormat="1" ht="13.8" x14ac:dyDescent="0.25">
      <c r="B9" s="77" t="str">
        <f t="shared" ref="B9:B19" si="1">S8</f>
        <v>TRARPPC_LPG_N04</v>
      </c>
      <c r="C9" s="77" t="str">
        <f t="shared" ref="C9:C19" si="2">T8</f>
        <v>Private Car NEW Euro 6 LPG</v>
      </c>
      <c r="D9" s="77" t="str">
        <f>Commodities!$C$249</f>
        <v>TRAOILLPG</v>
      </c>
      <c r="E9" s="77" t="str">
        <f>Commodities!$N$6</f>
        <v>TRARPPC</v>
      </c>
      <c r="F9" s="124">
        <f t="shared" si="0"/>
        <v>2020</v>
      </c>
      <c r="G9" s="119">
        <f>BASE_YEAR+3</f>
        <v>2020</v>
      </c>
      <c r="H9" s="120">
        <f>'Reference Data'!L11</f>
        <v>407.58385607430171</v>
      </c>
      <c r="I9" s="120"/>
      <c r="L9" s="121">
        <f>'Reference Data'!D11/1000</f>
        <v>23.240632888888889</v>
      </c>
      <c r="M9" s="107">
        <v>0.25</v>
      </c>
      <c r="N9" s="107">
        <v>20</v>
      </c>
      <c r="O9" s="122">
        <v>1E-3</v>
      </c>
      <c r="P9" s="122"/>
      <c r="S9" s="77" t="str">
        <f>Commodities!$N$6&amp;"_"&amp;RIGHT(Commodities!$C$249,3)&amp;"_"&amp;$S$3&amp;"05"</f>
        <v>TRARPPC_LPG_N05</v>
      </c>
      <c r="T9" s="77" t="s">
        <v>909</v>
      </c>
      <c r="U9" s="107" t="str">
        <f>General!$D$28</f>
        <v>MVkms</v>
      </c>
      <c r="V9" s="107" t="str">
        <f>General!$D$11</f>
        <v>000s_Units</v>
      </c>
      <c r="X9" s="107" t="s">
        <v>815</v>
      </c>
      <c r="AC9" s="98" t="s">
        <v>822</v>
      </c>
      <c r="AD9" s="98" t="s">
        <v>906</v>
      </c>
      <c r="AE9" s="99" t="str">
        <f>General!$B$2</f>
        <v>PJ</v>
      </c>
      <c r="AF9" s="123"/>
      <c r="AK9" s="117"/>
      <c r="AL9" s="79"/>
      <c r="AM9" s="79"/>
    </row>
    <row r="10" spans="1:39" s="77" customFormat="1" ht="13.8" x14ac:dyDescent="0.25">
      <c r="B10" s="77" t="str">
        <f t="shared" si="1"/>
        <v>TRARPPC_LPG_N05</v>
      </c>
      <c r="C10" s="77" t="str">
        <f t="shared" si="2"/>
        <v>Private Car NEW Post Euro 6 LPG</v>
      </c>
      <c r="D10" s="77" t="str">
        <f>Commodities!$C$249</f>
        <v>TRAOILLPG</v>
      </c>
      <c r="E10" s="77" t="str">
        <f>Commodities!$N$6</f>
        <v>TRARPPC</v>
      </c>
      <c r="F10" s="124">
        <f t="shared" si="0"/>
        <v>2025</v>
      </c>
      <c r="G10" s="119">
        <f>BASE_YEAR+8</f>
        <v>2025</v>
      </c>
      <c r="H10" s="120">
        <f>H9*1.1</f>
        <v>448.34224168173193</v>
      </c>
      <c r="I10" s="120"/>
      <c r="L10" s="121">
        <f>'Reference Data'!E11/1000</f>
        <v>24.286188444444445</v>
      </c>
      <c r="M10" s="107">
        <v>0.25</v>
      </c>
      <c r="N10" s="107">
        <v>20</v>
      </c>
      <c r="O10" s="122">
        <v>1E-3</v>
      </c>
      <c r="P10" s="122"/>
      <c r="R10" s="125"/>
      <c r="S10" s="125" t="str">
        <f>Commodities!$N$6&amp;"_"&amp;RIGHT(Commodities!$C$249,3)&amp;"_"&amp;$S$3&amp;"_AD"</f>
        <v>TRARPPC_LPG_N_AD</v>
      </c>
      <c r="T10" s="125" t="s">
        <v>910</v>
      </c>
      <c r="U10" s="126" t="str">
        <f>General!$D$28</f>
        <v>MVkms</v>
      </c>
      <c r="V10" s="126" t="str">
        <f>General!$D$11</f>
        <v>000s_Units</v>
      </c>
      <c r="W10" s="125"/>
      <c r="X10" s="126" t="s">
        <v>815</v>
      </c>
      <c r="Y10" s="125"/>
      <c r="AC10" s="98" t="s">
        <v>817</v>
      </c>
      <c r="AD10" s="98" t="s">
        <v>1070</v>
      </c>
      <c r="AE10" s="99" t="str">
        <f>General!$B$2</f>
        <v>PJ</v>
      </c>
      <c r="AK10" s="100"/>
    </row>
    <row r="11" spans="1:39" s="77" customFormat="1" ht="13.8" x14ac:dyDescent="0.25">
      <c r="A11" s="79"/>
      <c r="B11" s="125" t="str">
        <f t="shared" si="1"/>
        <v>TRARPPC_LPG_N_AD</v>
      </c>
      <c r="C11" s="125" t="str">
        <f t="shared" si="2"/>
        <v>Private Car NEW Advanced LPG</v>
      </c>
      <c r="D11" s="125" t="str">
        <f>Commodities!$C$249</f>
        <v>TRAOILLPG</v>
      </c>
      <c r="E11" s="125" t="str">
        <f>Commodities!$N$6</f>
        <v>TRARPPC</v>
      </c>
      <c r="F11" s="127">
        <f t="shared" si="0"/>
        <v>2030</v>
      </c>
      <c r="G11" s="126">
        <f>BASE_YEAR+13</f>
        <v>2030</v>
      </c>
      <c r="H11" s="128">
        <f>'Reference Data'!M11</f>
        <v>543.44514143240235</v>
      </c>
      <c r="I11" s="128"/>
      <c r="J11" s="125"/>
      <c r="K11" s="125"/>
      <c r="L11" s="129">
        <f>'Reference Data'!F11/1000</f>
        <v>26.085077333333334</v>
      </c>
      <c r="M11" s="126">
        <v>0.25</v>
      </c>
      <c r="N11" s="126">
        <v>20</v>
      </c>
      <c r="O11" s="130">
        <v>1E-3</v>
      </c>
      <c r="P11" s="131"/>
      <c r="S11" s="77" t="str">
        <f>Commodities!$N$6&amp;"_"&amp;RIGHT(Commodities!$C$246,3)&amp;"_"&amp;$S$3&amp;"03"</f>
        <v>TRARPPC_DSL_N03</v>
      </c>
      <c r="T11" s="77" t="s">
        <v>911</v>
      </c>
      <c r="U11" s="107" t="str">
        <f>General!$D$28</f>
        <v>MVkms</v>
      </c>
      <c r="V11" s="107" t="str">
        <f>General!$D$11</f>
        <v>000s_Units</v>
      </c>
      <c r="X11" s="107" t="s">
        <v>815</v>
      </c>
      <c r="AK11" s="100"/>
    </row>
    <row r="12" spans="1:39" s="77" customFormat="1" ht="13.8" x14ac:dyDescent="0.25">
      <c r="A12" s="79"/>
      <c r="B12" s="77" t="str">
        <f t="shared" si="1"/>
        <v>TRARPPC_DSL_N03</v>
      </c>
      <c r="C12" s="77" t="str">
        <f t="shared" si="2"/>
        <v>Private Car NEW Euro 4&amp;5 DSL</v>
      </c>
      <c r="D12" s="77" t="str">
        <f>Commodities!$C$246</f>
        <v>TRAOILDSL</v>
      </c>
      <c r="E12" s="77" t="str">
        <f>Commodities!$N$6</f>
        <v>TRARPPC</v>
      </c>
      <c r="F12" s="118">
        <f t="shared" si="0"/>
        <v>2018</v>
      </c>
      <c r="G12" s="119">
        <f>BASE_YEAR+1</f>
        <v>2018</v>
      </c>
      <c r="H12" s="120">
        <f>'Reference Data'!K9</f>
        <v>513.97015071064493</v>
      </c>
      <c r="I12" s="120"/>
      <c r="L12" s="121">
        <f>'Reference Data'!C9/1000</f>
        <v>24.57381333333333</v>
      </c>
      <c r="M12" s="121">
        <v>0.25</v>
      </c>
      <c r="N12" s="107">
        <v>20</v>
      </c>
      <c r="O12" s="122">
        <v>1E-3</v>
      </c>
      <c r="P12" s="122"/>
      <c r="R12" s="79"/>
      <c r="S12" s="77" t="str">
        <f>Commodities!$N$6&amp;"_"&amp;RIGHT(Commodities!$C$246,3)&amp;"_"&amp;$S$3&amp;"04"</f>
        <v>TRARPPC_DSL_N04</v>
      </c>
      <c r="T12" s="77" t="s">
        <v>912</v>
      </c>
      <c r="U12" s="107" t="str">
        <f>General!$D$28</f>
        <v>MVkms</v>
      </c>
      <c r="V12" s="107" t="str">
        <f>General!$D$11</f>
        <v>000s_Units</v>
      </c>
      <c r="W12" s="79"/>
      <c r="X12" s="119" t="s">
        <v>815</v>
      </c>
      <c r="Y12" s="79"/>
    </row>
    <row r="13" spans="1:39" s="77" customFormat="1" ht="13.8" x14ac:dyDescent="0.25">
      <c r="A13" s="79"/>
      <c r="B13" s="77" t="str">
        <f t="shared" si="1"/>
        <v>TRARPPC_DSL_N04</v>
      </c>
      <c r="C13" s="77" t="str">
        <f t="shared" si="2"/>
        <v>Private Car NEW Euro 6 DSL</v>
      </c>
      <c r="D13" s="77" t="str">
        <f>Commodities!$C$246</f>
        <v>TRAOILDSL</v>
      </c>
      <c r="E13" s="77" t="str">
        <f>Commodities!$N$6</f>
        <v>TRARPPC</v>
      </c>
      <c r="F13" s="124">
        <f t="shared" si="0"/>
        <v>2020</v>
      </c>
      <c r="G13" s="119">
        <f>BASE_YEAR+3</f>
        <v>2020</v>
      </c>
      <c r="H13" s="120">
        <f>'Reference Data'!L9</f>
        <v>642.46268838830611</v>
      </c>
      <c r="I13" s="120"/>
      <c r="L13" s="121">
        <f>'Reference Data'!D9/1000</f>
        <v>25.328257777777775</v>
      </c>
      <c r="M13" s="121">
        <v>0.25</v>
      </c>
      <c r="N13" s="107">
        <v>20</v>
      </c>
      <c r="O13" s="122">
        <v>1E-3</v>
      </c>
      <c r="P13" s="122"/>
      <c r="R13" s="79"/>
      <c r="S13" s="77" t="str">
        <f>Commodities!$N$6&amp;"_"&amp;RIGHT(Commodities!$C$246,3)&amp;"_"&amp;$S$3&amp;"05"</f>
        <v>TRARPPC_DSL_N05</v>
      </c>
      <c r="T13" s="77" t="s">
        <v>913</v>
      </c>
      <c r="U13" s="107" t="str">
        <f>General!$D$28</f>
        <v>MVkms</v>
      </c>
      <c r="V13" s="107" t="str">
        <f>General!$D$11</f>
        <v>000s_Units</v>
      </c>
      <c r="W13" s="79"/>
      <c r="X13" s="119" t="s">
        <v>815</v>
      </c>
      <c r="Y13" s="79"/>
    </row>
    <row r="14" spans="1:39" s="77" customFormat="1" ht="13.8" x14ac:dyDescent="0.25">
      <c r="A14" s="79"/>
      <c r="B14" s="77" t="str">
        <f t="shared" si="1"/>
        <v>TRARPPC_DSL_N05</v>
      </c>
      <c r="C14" s="77" t="str">
        <f t="shared" si="2"/>
        <v>Private Car NEW Post Euro 6 DSL</v>
      </c>
      <c r="D14" s="77" t="str">
        <f>Commodities!$C$246</f>
        <v>TRAOILDSL</v>
      </c>
      <c r="E14" s="77" t="str">
        <f>Commodities!$N$6</f>
        <v>TRARPPC</v>
      </c>
      <c r="F14" s="124">
        <f t="shared" si="0"/>
        <v>2025</v>
      </c>
      <c r="G14" s="119">
        <f>BASE_YEAR+8</f>
        <v>2025</v>
      </c>
      <c r="H14" s="120">
        <f>'Reference Data'!M9</f>
        <v>856.61691785107496</v>
      </c>
      <c r="I14" s="120"/>
      <c r="L14" s="121">
        <f>'Reference Data'!E9/1000</f>
        <v>26.822702222222219</v>
      </c>
      <c r="M14" s="121">
        <v>0.25</v>
      </c>
      <c r="N14" s="107">
        <v>20</v>
      </c>
      <c r="O14" s="122">
        <v>1E-3</v>
      </c>
      <c r="P14" s="122"/>
      <c r="R14" s="125"/>
      <c r="S14" s="125" t="str">
        <f>Commodities!$N$6&amp;"_"&amp;RIGHT(Commodities!$C$246,3)&amp;"_"&amp;$S$3&amp;"_AD"</f>
        <v>TRARPPC_DSL_N_AD</v>
      </c>
      <c r="T14" s="125" t="s">
        <v>914</v>
      </c>
      <c r="U14" s="126" t="str">
        <f>General!$D$28</f>
        <v>MVkms</v>
      </c>
      <c r="V14" s="126" t="str">
        <f>General!$D$11</f>
        <v>000s_Units</v>
      </c>
      <c r="W14" s="125"/>
      <c r="X14" s="126" t="s">
        <v>815</v>
      </c>
      <c r="Y14" s="125"/>
    </row>
    <row r="15" spans="1:39" s="77" customFormat="1" ht="13.8" x14ac:dyDescent="0.25">
      <c r="A15" s="79"/>
      <c r="B15" s="125" t="str">
        <f t="shared" si="1"/>
        <v>TRARPPC_DSL_N_AD</v>
      </c>
      <c r="C15" s="125" t="str">
        <f t="shared" si="2"/>
        <v>Private Car NEW Advanced DSL</v>
      </c>
      <c r="D15" s="125" t="str">
        <f>Commodities!$C$246</f>
        <v>TRAOILDSL</v>
      </c>
      <c r="E15" s="125" t="str">
        <f>Commodities!$N$6</f>
        <v>TRARPPC</v>
      </c>
      <c r="F15" s="127">
        <f t="shared" si="0"/>
        <v>2030</v>
      </c>
      <c r="G15" s="126">
        <f>BASE_YEAR+13</f>
        <v>2030</v>
      </c>
      <c r="H15" s="128">
        <f>'Reference Data'!N9</f>
        <v>1027.9403014212899</v>
      </c>
      <c r="I15" s="128"/>
      <c r="J15" s="125"/>
      <c r="K15" s="125"/>
      <c r="L15" s="129">
        <f>'Reference Data'!F9/1000</f>
        <v>29.020479999999999</v>
      </c>
      <c r="M15" s="129">
        <v>0.25</v>
      </c>
      <c r="N15" s="126">
        <v>20</v>
      </c>
      <c r="O15" s="130">
        <v>1E-3</v>
      </c>
      <c r="P15" s="131"/>
      <c r="R15" s="79"/>
      <c r="S15" s="77" t="str">
        <f>Commodities!$N$6&amp;"_"&amp;RIGHT(Commodities!$C$247,3)&amp;"_"&amp;$S$3&amp;"03"</f>
        <v>TRARPPC_GSL_N03</v>
      </c>
      <c r="T15" s="77" t="s">
        <v>915</v>
      </c>
      <c r="U15" s="107" t="str">
        <f>General!$D$28</f>
        <v>MVkms</v>
      </c>
      <c r="V15" s="107" t="str">
        <f>General!$D$11</f>
        <v>000s_Units</v>
      </c>
      <c r="W15" s="79"/>
      <c r="X15" s="119" t="s">
        <v>815</v>
      </c>
      <c r="Y15" s="79"/>
    </row>
    <row r="16" spans="1:39" s="77" customFormat="1" ht="13.8" x14ac:dyDescent="0.25">
      <c r="A16" s="79"/>
      <c r="B16" s="77" t="str">
        <f t="shared" si="1"/>
        <v>TRARPPC_GSL_N03</v>
      </c>
      <c r="C16" s="77" t="str">
        <f t="shared" si="2"/>
        <v>Private Car NEW Euro 4&amp;5 GSL</v>
      </c>
      <c r="D16" s="77" t="str">
        <f>Commodities!$C$247</f>
        <v>TRAOILGSL</v>
      </c>
      <c r="E16" s="77" t="str">
        <f>Commodities!$N$6</f>
        <v>TRARPPC</v>
      </c>
      <c r="F16" s="118">
        <f t="shared" si="0"/>
        <v>2018</v>
      </c>
      <c r="G16" s="119">
        <f>BASE_YEAR+1</f>
        <v>2018</v>
      </c>
      <c r="H16" s="120">
        <f>'Reference Data'!K8</f>
        <v>393.82128431075392</v>
      </c>
      <c r="I16" s="120"/>
      <c r="L16" s="121">
        <f>'Reference Data'!C8/1000</f>
        <v>21.02013333333333</v>
      </c>
      <c r="M16" s="121">
        <v>0.2</v>
      </c>
      <c r="N16" s="107">
        <v>20</v>
      </c>
      <c r="O16" s="122">
        <v>1E-3</v>
      </c>
      <c r="P16" s="122"/>
      <c r="R16" s="79"/>
      <c r="S16" s="77" t="str">
        <f>Commodities!$N$6&amp;"_"&amp;RIGHT(Commodities!$C$247,3)&amp;"_"&amp;$S$3&amp;"04"</f>
        <v>TRARPPC_GSL_N04</v>
      </c>
      <c r="T16" s="77" t="s">
        <v>916</v>
      </c>
      <c r="U16" s="107" t="str">
        <f>General!$D$28</f>
        <v>MVkms</v>
      </c>
      <c r="V16" s="107" t="str">
        <f>General!$D$11</f>
        <v>000s_Units</v>
      </c>
      <c r="W16" s="79"/>
      <c r="X16" s="119" t="s">
        <v>815</v>
      </c>
      <c r="Y16" s="79"/>
    </row>
    <row r="17" spans="1:26" s="77" customFormat="1" ht="13.8" x14ac:dyDescent="0.25">
      <c r="A17" s="79"/>
      <c r="B17" s="77" t="str">
        <f t="shared" si="1"/>
        <v>TRARPPC_GSL_N04</v>
      </c>
      <c r="C17" s="77" t="str">
        <f t="shared" si="2"/>
        <v>Private Car NEW Euro 6 GSL</v>
      </c>
      <c r="D17" s="77" t="str">
        <f>Commodities!$C$247</f>
        <v>TRAOILGSL</v>
      </c>
      <c r="E17" s="77" t="str">
        <f>Commodities!$N$6</f>
        <v>TRARPPC</v>
      </c>
      <c r="F17" s="124">
        <f t="shared" si="0"/>
        <v>2020</v>
      </c>
      <c r="G17" s="119">
        <f>BASE_YEAR+3</f>
        <v>2020</v>
      </c>
      <c r="H17" s="120">
        <f>'Reference Data'!L8</f>
        <v>492.27660538844242</v>
      </c>
      <c r="I17" s="120"/>
      <c r="L17" s="121">
        <f>'Reference Data'!D8/1000</f>
        <v>21.559022222222222</v>
      </c>
      <c r="M17" s="121">
        <v>0.2</v>
      </c>
      <c r="N17" s="107">
        <v>20</v>
      </c>
      <c r="O17" s="122">
        <v>1E-3</v>
      </c>
      <c r="P17" s="122"/>
      <c r="R17" s="79"/>
      <c r="S17" s="77" t="str">
        <f>Commodities!$N$6&amp;"_"&amp;RIGHT(Commodities!$C$247,3)&amp;"_"&amp;$S$3&amp;"05"</f>
        <v>TRARPPC_GSL_N05</v>
      </c>
      <c r="T17" s="77" t="s">
        <v>917</v>
      </c>
      <c r="U17" s="107" t="str">
        <f>General!$D$28</f>
        <v>MVkms</v>
      </c>
      <c r="V17" s="107" t="str">
        <f>General!$D$11</f>
        <v>000s_Units</v>
      </c>
      <c r="W17" s="79"/>
      <c r="X17" s="119" t="s">
        <v>815</v>
      </c>
      <c r="Y17" s="79"/>
    </row>
    <row r="18" spans="1:26" s="77" customFormat="1" ht="13.8" x14ac:dyDescent="0.25">
      <c r="A18" s="79"/>
      <c r="B18" s="77" t="str">
        <f t="shared" si="1"/>
        <v>TRARPPC_GSL_N05</v>
      </c>
      <c r="C18" s="77" t="str">
        <f t="shared" si="2"/>
        <v>Private Car NEW Post Euro 6 GSL</v>
      </c>
      <c r="D18" s="77" t="str">
        <f>Commodities!$C$247</f>
        <v>TRAOILGSL</v>
      </c>
      <c r="E18" s="77" t="str">
        <f>Commodities!$N$6</f>
        <v>TRARPPC</v>
      </c>
      <c r="F18" s="124">
        <f t="shared" si="0"/>
        <v>2025</v>
      </c>
      <c r="G18" s="119">
        <f>BASE_YEAR+8</f>
        <v>2025</v>
      </c>
      <c r="H18" s="120">
        <f>'Reference Data'!M8</f>
        <v>656.36880718458997</v>
      </c>
      <c r="I18" s="120"/>
      <c r="L18" s="121">
        <f>'Reference Data'!E8/1000</f>
        <v>22.604577777777777</v>
      </c>
      <c r="M18" s="121">
        <v>0.2</v>
      </c>
      <c r="N18" s="107">
        <v>20</v>
      </c>
      <c r="O18" s="122">
        <v>1E-3</v>
      </c>
      <c r="P18" s="122"/>
      <c r="R18" s="125"/>
      <c r="S18" s="125" t="str">
        <f>Commodities!$N$6&amp;"_"&amp;RIGHT(Commodities!$C$247,3)&amp;"_"&amp;$S$3&amp;"_AD"</f>
        <v>TRARPPC_GSL_N_AD</v>
      </c>
      <c r="T18" s="125" t="s">
        <v>918</v>
      </c>
      <c r="U18" s="126" t="str">
        <f>General!$D$28</f>
        <v>MVkms</v>
      </c>
      <c r="V18" s="126" t="str">
        <f>General!$D$11</f>
        <v>000s_Units</v>
      </c>
      <c r="W18" s="125"/>
      <c r="X18" s="126" t="s">
        <v>815</v>
      </c>
      <c r="Y18" s="125"/>
    </row>
    <row r="19" spans="1:26" s="77" customFormat="1" ht="13.8" x14ac:dyDescent="0.25">
      <c r="A19" s="79"/>
      <c r="B19" s="125" t="str">
        <f t="shared" si="1"/>
        <v>TRARPPC_GSL_N_AD</v>
      </c>
      <c r="C19" s="125" t="str">
        <f t="shared" si="2"/>
        <v>Private Car NEW Advanced GSL</v>
      </c>
      <c r="D19" s="125" t="str">
        <f>Commodities!$C$247</f>
        <v>TRAOILGSL</v>
      </c>
      <c r="E19" s="125" t="str">
        <f>Commodities!$N$6</f>
        <v>TRARPPC</v>
      </c>
      <c r="F19" s="127">
        <f t="shared" si="0"/>
        <v>2030</v>
      </c>
      <c r="G19" s="126">
        <f>BASE_YEAR+13</f>
        <v>2030</v>
      </c>
      <c r="H19" s="128">
        <f>'Reference Data'!N8</f>
        <v>875.15840957945318</v>
      </c>
      <c r="I19" s="128"/>
      <c r="J19" s="125"/>
      <c r="K19" s="125"/>
      <c r="L19" s="129">
        <f>'Reference Data'!F8/1000</f>
        <v>24.403466666666667</v>
      </c>
      <c r="M19" s="129">
        <v>0.25</v>
      </c>
      <c r="N19" s="126">
        <v>20</v>
      </c>
      <c r="O19" s="130">
        <v>1E-3</v>
      </c>
      <c r="P19" s="131"/>
      <c r="R19" s="79"/>
      <c r="S19" s="77" t="str">
        <f>Commodities!$N$6&amp;"_"&amp;RIGHT(Commodities!$C$247,3)&amp;RIGHT(Commodities!$C$249,3)&amp;"_"&amp;$S$3&amp;"03"</f>
        <v>TRARPPC_GSLLPG_N03</v>
      </c>
      <c r="T19" s="77" t="s">
        <v>1118</v>
      </c>
      <c r="U19" s="107" t="str">
        <f>General!$D$28</f>
        <v>MVkms</v>
      </c>
      <c r="V19" s="107" t="str">
        <f>General!$D$11</f>
        <v>000s_Units</v>
      </c>
      <c r="W19" s="79"/>
      <c r="X19" s="119" t="s">
        <v>815</v>
      </c>
      <c r="Y19" s="79"/>
    </row>
    <row r="20" spans="1:26" s="77" customFormat="1" ht="13.8" x14ac:dyDescent="0.25">
      <c r="A20" s="79"/>
      <c r="B20" s="132" t="str">
        <f>S19</f>
        <v>TRARPPC_GSLLPG_N03</v>
      </c>
      <c r="C20" s="132" t="str">
        <f>T19</f>
        <v>Private Car NEW Euro 4&amp;5 Dual GSL-LPG</v>
      </c>
      <c r="D20" s="132" t="str">
        <f>Commodities!$C$247</f>
        <v>TRAOILGSL</v>
      </c>
      <c r="E20" s="132" t="str">
        <f>Commodities!$N$6</f>
        <v>TRARPPC</v>
      </c>
      <c r="F20" s="118">
        <f t="shared" si="0"/>
        <v>2018</v>
      </c>
      <c r="G20" s="133">
        <f>BASE_YEAR+1</f>
        <v>2018</v>
      </c>
      <c r="H20" s="134"/>
      <c r="I20" s="134">
        <f>H16</f>
        <v>393.82128431075392</v>
      </c>
      <c r="J20" s="132"/>
      <c r="K20" s="132"/>
      <c r="L20" s="135">
        <f>L16</f>
        <v>21.02013333333333</v>
      </c>
      <c r="M20" s="135">
        <f>M16</f>
        <v>0.2</v>
      </c>
      <c r="N20" s="133">
        <f>N16</f>
        <v>20</v>
      </c>
      <c r="O20" s="136">
        <f>O16</f>
        <v>1E-3</v>
      </c>
      <c r="P20" s="131"/>
      <c r="R20" s="79"/>
      <c r="S20" s="77" t="str">
        <f>Commodities!$N$6&amp;"_"&amp;RIGHT(Commodities!$C$247,3)&amp;RIGHT(Commodities!$C$249,3)&amp;"_"&amp;$S$3&amp;"04"</f>
        <v>TRARPPC_GSLLPG_N04</v>
      </c>
      <c r="T20" s="77" t="s">
        <v>1119</v>
      </c>
      <c r="U20" s="107" t="str">
        <f>General!$D$28</f>
        <v>MVkms</v>
      </c>
      <c r="V20" s="107" t="str">
        <f>General!$D$11</f>
        <v>000s_Units</v>
      </c>
      <c r="W20" s="79"/>
      <c r="X20" s="119" t="s">
        <v>815</v>
      </c>
      <c r="Y20" s="79"/>
    </row>
    <row r="21" spans="1:26" s="77" customFormat="1" ht="13.8" x14ac:dyDescent="0.25">
      <c r="A21" s="79"/>
      <c r="B21" s="125"/>
      <c r="C21" s="125"/>
      <c r="D21" s="125" t="str">
        <f>Commodities!$C$249</f>
        <v>TRAOILLPG</v>
      </c>
      <c r="E21" s="125"/>
      <c r="F21" s="127">
        <f>F20</f>
        <v>2018</v>
      </c>
      <c r="G21" s="126"/>
      <c r="H21" s="128"/>
      <c r="I21" s="128">
        <f>H8</f>
        <v>326.06708485944137</v>
      </c>
      <c r="J21" s="125"/>
      <c r="K21" s="125"/>
      <c r="L21" s="129"/>
      <c r="M21" s="129"/>
      <c r="N21" s="126"/>
      <c r="O21" s="130"/>
      <c r="P21" s="131"/>
      <c r="R21" s="79"/>
      <c r="S21" s="77" t="str">
        <f>Commodities!$N$6&amp;"_"&amp;RIGHT(Commodities!$C$247,3)&amp;RIGHT(Commodities!$C$249,3)&amp;"_"&amp;$S$3&amp;"05"</f>
        <v>TRARPPC_GSLLPG_N05</v>
      </c>
      <c r="T21" s="77" t="s">
        <v>1120</v>
      </c>
      <c r="U21" s="107" t="str">
        <f>General!$D$28</f>
        <v>MVkms</v>
      </c>
      <c r="V21" s="107" t="str">
        <f>General!$D$11</f>
        <v>000s_Units</v>
      </c>
      <c r="W21" s="79"/>
      <c r="X21" s="119" t="s">
        <v>815</v>
      </c>
      <c r="Y21" s="79"/>
    </row>
    <row r="22" spans="1:26" s="77" customFormat="1" ht="13.8" x14ac:dyDescent="0.25">
      <c r="A22" s="79"/>
      <c r="B22" s="132" t="str">
        <f>S20</f>
        <v>TRARPPC_GSLLPG_N04</v>
      </c>
      <c r="C22" s="132" t="str">
        <f>T20</f>
        <v>Private Car NEW Euro 6 Dual GSL-LPG</v>
      </c>
      <c r="D22" s="132" t="str">
        <f>Commodities!$C$247</f>
        <v>TRAOILGSL</v>
      </c>
      <c r="E22" s="132" t="str">
        <f>Commodities!$N$6</f>
        <v>TRARPPC</v>
      </c>
      <c r="F22" s="118">
        <f t="shared" ref="F22" si="3">G22</f>
        <v>2020</v>
      </c>
      <c r="G22" s="133">
        <f>G17</f>
        <v>2020</v>
      </c>
      <c r="H22" s="134"/>
      <c r="I22" s="134">
        <f>H17</f>
        <v>492.27660538844242</v>
      </c>
      <c r="J22" s="132"/>
      <c r="K22" s="132"/>
      <c r="L22" s="135">
        <f>L17</f>
        <v>21.559022222222222</v>
      </c>
      <c r="M22" s="135">
        <f>M17</f>
        <v>0.2</v>
      </c>
      <c r="N22" s="133">
        <f>N20</f>
        <v>20</v>
      </c>
      <c r="O22" s="136">
        <f>O20</f>
        <v>1E-3</v>
      </c>
      <c r="P22" s="131"/>
      <c r="Q22" s="79"/>
      <c r="R22" s="125"/>
      <c r="S22" s="125" t="str">
        <f>Commodities!$N$6&amp;"_"&amp;RIGHT(Commodities!$C$247,3)&amp;RIGHT(Commodities!$C$249,3)&amp;"_"&amp;$S$3&amp;"_AD"</f>
        <v>TRARPPC_GSLLPG_N_AD</v>
      </c>
      <c r="T22" s="125" t="s">
        <v>1121</v>
      </c>
      <c r="U22" s="126" t="str">
        <f>General!$D$28</f>
        <v>MVkms</v>
      </c>
      <c r="V22" s="126" t="str">
        <f>General!$D$11</f>
        <v>000s_Units</v>
      </c>
      <c r="W22" s="125"/>
      <c r="X22" s="126" t="s">
        <v>815</v>
      </c>
      <c r="Y22" s="125"/>
    </row>
    <row r="23" spans="1:26" ht="13.8" x14ac:dyDescent="0.25">
      <c r="A23" s="79"/>
      <c r="B23" s="125"/>
      <c r="C23" s="125"/>
      <c r="D23" s="125" t="str">
        <f>Commodities!$C$249</f>
        <v>TRAOILLPG</v>
      </c>
      <c r="E23" s="125"/>
      <c r="F23" s="127">
        <f>F22</f>
        <v>2020</v>
      </c>
      <c r="G23" s="126"/>
      <c r="H23" s="128"/>
      <c r="I23" s="128">
        <f>H9</f>
        <v>407.58385607430171</v>
      </c>
      <c r="J23" s="125"/>
      <c r="K23" s="125"/>
      <c r="L23" s="129"/>
      <c r="M23" s="129"/>
      <c r="N23" s="126"/>
      <c r="O23" s="130"/>
      <c r="P23" s="131"/>
      <c r="R23" s="79"/>
      <c r="S23" s="77" t="str">
        <f>Commodities!$N$6&amp;"_"&amp;LEFT(RIGHT(Commodities!$C$255,6),3)&amp;"_"&amp;$S$3&amp;"04"</f>
        <v>TRARPPC_GAS_N04</v>
      </c>
      <c r="T23" s="77" t="s">
        <v>919</v>
      </c>
      <c r="U23" s="107" t="str">
        <f>General!$D$28</f>
        <v>MVkms</v>
      </c>
      <c r="V23" s="107" t="str">
        <f>General!$D$11</f>
        <v>000s_Units</v>
      </c>
      <c r="W23" s="79"/>
      <c r="X23" s="119" t="s">
        <v>815</v>
      </c>
      <c r="Y23" s="79"/>
      <c r="Z23" s="77"/>
    </row>
    <row r="24" spans="1:26" ht="13.8" x14ac:dyDescent="0.25">
      <c r="A24" s="79"/>
      <c r="B24" s="132" t="str">
        <f>S21</f>
        <v>TRARPPC_GSLLPG_N05</v>
      </c>
      <c r="C24" s="132" t="str">
        <f>T21</f>
        <v>Private Car NEW Post Euro 6 Dual GSL-LPG</v>
      </c>
      <c r="D24" s="132" t="str">
        <f>Commodities!$C$247</f>
        <v>TRAOILGSL</v>
      </c>
      <c r="E24" s="132" t="str">
        <f>Commodities!$N$6</f>
        <v>TRARPPC</v>
      </c>
      <c r="F24" s="118">
        <f t="shared" ref="F24" si="4">G24</f>
        <v>2025</v>
      </c>
      <c r="G24" s="133">
        <f>G18</f>
        <v>2025</v>
      </c>
      <c r="H24" s="134"/>
      <c r="I24" s="134">
        <f>H18</f>
        <v>656.36880718458997</v>
      </c>
      <c r="J24" s="132"/>
      <c r="K24" s="132"/>
      <c r="L24" s="135">
        <f>L18</f>
        <v>22.604577777777777</v>
      </c>
      <c r="M24" s="135">
        <f>M18</f>
        <v>0.2</v>
      </c>
      <c r="N24" s="133">
        <f>N20</f>
        <v>20</v>
      </c>
      <c r="O24" s="136">
        <f>O20</f>
        <v>1E-3</v>
      </c>
      <c r="P24" s="131"/>
      <c r="R24" s="79"/>
      <c r="S24" s="77" t="str">
        <f>Commodities!$N$6&amp;"_"&amp;LEFT(RIGHT(Commodities!$C$255,6),3)&amp;"_"&amp;$S$3&amp;"05"</f>
        <v>TRARPPC_GAS_N05</v>
      </c>
      <c r="T24" s="77" t="s">
        <v>920</v>
      </c>
      <c r="U24" s="107" t="str">
        <f>General!$D$28</f>
        <v>MVkms</v>
      </c>
      <c r="V24" s="107" t="str">
        <f>General!$D$11</f>
        <v>000s_Units</v>
      </c>
      <c r="W24" s="79"/>
      <c r="X24" s="119" t="s">
        <v>815</v>
      </c>
      <c r="Y24" s="79"/>
      <c r="Z24" s="77"/>
    </row>
    <row r="25" spans="1:26" ht="13.8" x14ac:dyDescent="0.25">
      <c r="A25" s="79"/>
      <c r="B25" s="125"/>
      <c r="C25" s="125"/>
      <c r="D25" s="125" t="str">
        <f>Commodities!$C$249</f>
        <v>TRAOILLPG</v>
      </c>
      <c r="E25" s="125"/>
      <c r="F25" s="127">
        <f>F24</f>
        <v>2025</v>
      </c>
      <c r="G25" s="126"/>
      <c r="H25" s="128"/>
      <c r="I25" s="128">
        <f>H10</f>
        <v>448.34224168173193</v>
      </c>
      <c r="J25" s="125"/>
      <c r="K25" s="125"/>
      <c r="L25" s="129"/>
      <c r="M25" s="129"/>
      <c r="N25" s="126"/>
      <c r="O25" s="130"/>
      <c r="P25" s="131"/>
      <c r="R25" s="125"/>
      <c r="S25" s="125" t="str">
        <f>Commodities!$N$6&amp;"_"&amp;LEFT(RIGHT(Commodities!$C$255,6),3)&amp;"_"&amp;$S$3&amp;"_AD"</f>
        <v>TRARPPC_GAS_N_AD</v>
      </c>
      <c r="T25" s="125" t="s">
        <v>921</v>
      </c>
      <c r="U25" s="126" t="str">
        <f>General!$D$28</f>
        <v>MVkms</v>
      </c>
      <c r="V25" s="126" t="str">
        <f>General!$D$11</f>
        <v>000s_Units</v>
      </c>
      <c r="W25" s="125"/>
      <c r="X25" s="126" t="s">
        <v>815</v>
      </c>
      <c r="Y25" s="125"/>
      <c r="Z25" s="77"/>
    </row>
    <row r="26" spans="1:26" ht="13.8" x14ac:dyDescent="0.25">
      <c r="A26" s="79"/>
      <c r="B26" s="132" t="str">
        <f>S22</f>
        <v>TRARPPC_GSLLPG_N_AD</v>
      </c>
      <c r="C26" s="132" t="str">
        <f>T22</f>
        <v>Private Car NEW Advanced Dual GSL-LPG</v>
      </c>
      <c r="D26" s="132" t="str">
        <f>Commodities!$C$247</f>
        <v>TRAOILGSL</v>
      </c>
      <c r="E26" s="132" t="str">
        <f>Commodities!$N$6</f>
        <v>TRARPPC</v>
      </c>
      <c r="F26" s="118">
        <f t="shared" ref="F26" si="5">G26</f>
        <v>2030</v>
      </c>
      <c r="G26" s="133">
        <f>G19</f>
        <v>2030</v>
      </c>
      <c r="H26" s="134"/>
      <c r="I26" s="134">
        <f>H19</f>
        <v>875.15840957945318</v>
      </c>
      <c r="J26" s="132"/>
      <c r="K26" s="132"/>
      <c r="L26" s="135">
        <f>L19</f>
        <v>24.403466666666667</v>
      </c>
      <c r="M26" s="135">
        <f>M19</f>
        <v>0.25</v>
      </c>
      <c r="N26" s="133">
        <f>N20</f>
        <v>20</v>
      </c>
      <c r="O26" s="136">
        <f>O20</f>
        <v>1E-3</v>
      </c>
      <c r="P26" s="131"/>
      <c r="R26" s="79"/>
      <c r="S26" s="77" t="str">
        <f>Commodities!$N$6&amp;"_HYB_"&amp;RIGHT(Commodities!$C$247,3)&amp;"_"&amp;$S$3&amp;"01"</f>
        <v>TRARPPC_HYB_GSL_N01</v>
      </c>
      <c r="T26" s="77" t="s">
        <v>922</v>
      </c>
      <c r="U26" s="107" t="str">
        <f>General!$D$28</f>
        <v>MVkms</v>
      </c>
      <c r="V26" s="107" t="str">
        <f>General!$D$11</f>
        <v>000s_Units</v>
      </c>
      <c r="W26" s="79"/>
      <c r="X26" s="119" t="s">
        <v>815</v>
      </c>
      <c r="Y26" s="79"/>
    </row>
    <row r="27" spans="1:26" ht="13.8" x14ac:dyDescent="0.25">
      <c r="A27" s="79"/>
      <c r="B27" s="125"/>
      <c r="C27" s="125"/>
      <c r="D27" s="125" t="str">
        <f>Commodities!$C$249</f>
        <v>TRAOILLPG</v>
      </c>
      <c r="E27" s="125"/>
      <c r="F27" s="127">
        <f>F26</f>
        <v>2030</v>
      </c>
      <c r="G27" s="126"/>
      <c r="H27" s="128"/>
      <c r="I27" s="128">
        <f>H11</f>
        <v>543.44514143240235</v>
      </c>
      <c r="J27" s="125"/>
      <c r="K27" s="125"/>
      <c r="L27" s="129"/>
      <c r="M27" s="129"/>
      <c r="N27" s="126"/>
      <c r="O27" s="130"/>
      <c r="P27" s="131"/>
      <c r="R27" s="125"/>
      <c r="S27" s="125" t="str">
        <f>Commodities!$N$6&amp;"_HYB_"&amp;RIGHT(Commodities!$C$247,3)&amp;"_"&amp;$S$3&amp;"_AD"</f>
        <v>TRARPPC_HYB_GSL_N_AD</v>
      </c>
      <c r="T27" s="125" t="s">
        <v>923</v>
      </c>
      <c r="U27" s="126" t="str">
        <f>General!$D$28</f>
        <v>MVkms</v>
      </c>
      <c r="V27" s="126" t="str">
        <f>General!$D$11</f>
        <v>000s_Units</v>
      </c>
      <c r="W27" s="125"/>
      <c r="X27" s="126" t="s">
        <v>815</v>
      </c>
      <c r="Y27" s="125"/>
    </row>
    <row r="28" spans="1:26" ht="13.8" x14ac:dyDescent="0.25">
      <c r="A28" s="79"/>
      <c r="B28" s="77" t="str">
        <f t="shared" ref="B28:B37" si="6">S23</f>
        <v>TRARPPC_GAS_N04</v>
      </c>
      <c r="C28" s="77" t="str">
        <f t="shared" ref="C28:C37" si="7">T23</f>
        <v>Private Car NEW Euro 6 GAS</v>
      </c>
      <c r="D28" s="77" t="str">
        <f>Commodities!$C$255</f>
        <v>TRAGASNAT</v>
      </c>
      <c r="E28" s="77" t="str">
        <f>Commodities!$N$6</f>
        <v>TRARPPC</v>
      </c>
      <c r="F28" s="124">
        <f t="shared" si="0"/>
        <v>2020</v>
      </c>
      <c r="G28" s="119">
        <f>BASE_YEAR+3</f>
        <v>2020</v>
      </c>
      <c r="H28" s="120">
        <f>H17*1.05</f>
        <v>516.8904356578646</v>
      </c>
      <c r="I28" s="120"/>
      <c r="J28" s="107"/>
      <c r="K28" s="107"/>
      <c r="L28" s="121">
        <f>'Reference Data'!D10/1000</f>
        <v>23.871236888888888</v>
      </c>
      <c r="M28" s="121">
        <v>0.25</v>
      </c>
      <c r="N28" s="107">
        <v>20</v>
      </c>
      <c r="O28" s="122">
        <v>1E-3</v>
      </c>
      <c r="P28" s="122"/>
      <c r="R28" s="79"/>
      <c r="S28" s="77" t="str">
        <f>Commodities!$N$6&amp;"_HYB_"&amp;RIGHT(Commodities!$C$246,3)&amp;"_"&amp;$S$3&amp;"01"</f>
        <v>TRARPPC_HYB_DSL_N01</v>
      </c>
      <c r="T28" s="77" t="s">
        <v>924</v>
      </c>
      <c r="U28" s="107" t="str">
        <f>General!$D$28</f>
        <v>MVkms</v>
      </c>
      <c r="V28" s="107" t="str">
        <f>General!$D$11</f>
        <v>000s_Units</v>
      </c>
      <c r="W28" s="79"/>
      <c r="X28" s="119" t="s">
        <v>815</v>
      </c>
      <c r="Y28" s="79"/>
    </row>
    <row r="29" spans="1:26" ht="13.8" x14ac:dyDescent="0.25">
      <c r="A29" s="79"/>
      <c r="B29" s="77" t="str">
        <f t="shared" si="6"/>
        <v>TRARPPC_GAS_N05</v>
      </c>
      <c r="C29" s="77" t="str">
        <f t="shared" si="7"/>
        <v>Private Car NEW Post Euro 6 GAS</v>
      </c>
      <c r="D29" s="77" t="str">
        <f>Commodities!$C$255</f>
        <v>TRAGASNAT</v>
      </c>
      <c r="E29" s="77" t="str">
        <f>Commodities!$N$6</f>
        <v>TRARPPC</v>
      </c>
      <c r="F29" s="124">
        <f t="shared" si="0"/>
        <v>2025</v>
      </c>
      <c r="G29" s="119">
        <f>BASE_YEAR+8</f>
        <v>2025</v>
      </c>
      <c r="H29" s="120">
        <f>H18*1.05</f>
        <v>689.18724754381947</v>
      </c>
      <c r="I29" s="120"/>
      <c r="J29" s="107"/>
      <c r="K29" s="107"/>
      <c r="L29" s="121">
        <f>'Reference Data'!E10/1000</f>
        <v>24.916792444444447</v>
      </c>
      <c r="M29" s="121">
        <v>0.25</v>
      </c>
      <c r="N29" s="107">
        <v>20</v>
      </c>
      <c r="O29" s="122">
        <v>1E-3</v>
      </c>
      <c r="P29" s="122"/>
      <c r="R29" s="125"/>
      <c r="S29" s="125" t="str">
        <f>Commodities!$N$6&amp;"_HYB_"&amp;RIGHT(Commodities!$C$246,3)&amp;"_"&amp;$S$3&amp;"_AD"</f>
        <v>TRARPPC_HYB_DSL_N_AD</v>
      </c>
      <c r="T29" s="125" t="s">
        <v>925</v>
      </c>
      <c r="U29" s="126" t="str">
        <f>General!$D$28</f>
        <v>MVkms</v>
      </c>
      <c r="V29" s="126" t="str">
        <f>General!$D$11</f>
        <v>000s_Units</v>
      </c>
      <c r="W29" s="125"/>
      <c r="X29" s="126" t="s">
        <v>815</v>
      </c>
      <c r="Y29" s="125"/>
    </row>
    <row r="30" spans="1:26" ht="13.8" x14ac:dyDescent="0.25">
      <c r="A30" s="79"/>
      <c r="B30" s="125" t="str">
        <f t="shared" si="6"/>
        <v>TRARPPC_GAS_N_AD</v>
      </c>
      <c r="C30" s="125" t="str">
        <f t="shared" si="7"/>
        <v>Private Car NEW Advanced GAS</v>
      </c>
      <c r="D30" s="125" t="str">
        <f>Commodities!$C$255</f>
        <v>TRAGASNAT</v>
      </c>
      <c r="E30" s="125" t="str">
        <f>Commodities!$N$6</f>
        <v>TRARPPC</v>
      </c>
      <c r="F30" s="127">
        <f t="shared" si="0"/>
        <v>2030</v>
      </c>
      <c r="G30" s="126">
        <f>BASE_YEAR+13</f>
        <v>2030</v>
      </c>
      <c r="H30" s="128">
        <f>H19*1.05</f>
        <v>918.91633005842584</v>
      </c>
      <c r="I30" s="128"/>
      <c r="J30" s="126"/>
      <c r="K30" s="126"/>
      <c r="L30" s="129">
        <f>'Reference Data'!F10/1000</f>
        <v>26.715681333333333</v>
      </c>
      <c r="M30" s="129">
        <v>0.25</v>
      </c>
      <c r="N30" s="126">
        <v>20</v>
      </c>
      <c r="O30" s="130">
        <v>1E-3</v>
      </c>
      <c r="P30" s="131"/>
      <c r="R30" s="79"/>
      <c r="S30" s="77" t="str">
        <f>Commodities!$N$6&amp;"_"&amp;RIGHT(Commodities!$C$343,3)&amp;"_"&amp;$S$3&amp;"01"</f>
        <v>TRARPPC_ELC_N01</v>
      </c>
      <c r="T30" s="77" t="s">
        <v>926</v>
      </c>
      <c r="U30" s="107" t="str">
        <f>General!$D$28</f>
        <v>MVkms</v>
      </c>
      <c r="V30" s="107" t="str">
        <f>General!$D$11</f>
        <v>000s_Units</v>
      </c>
      <c r="W30" s="79"/>
      <c r="X30" s="119" t="s">
        <v>815</v>
      </c>
      <c r="Y30" s="79"/>
    </row>
    <row r="31" spans="1:26" ht="13.8" x14ac:dyDescent="0.25">
      <c r="B31" s="77" t="str">
        <f t="shared" si="6"/>
        <v>TRARPPC_HYB_GSL_N01</v>
      </c>
      <c r="C31" s="77" t="str">
        <f t="shared" si="7"/>
        <v>Private Car NEW Hybrid GSL</v>
      </c>
      <c r="D31" s="77" t="str">
        <f>Commodities!$C$247</f>
        <v>TRAOILGSL</v>
      </c>
      <c r="E31" s="77" t="str">
        <f>Commodities!$N$6</f>
        <v>TRARPPC</v>
      </c>
      <c r="F31" s="118">
        <f t="shared" si="0"/>
        <v>2020</v>
      </c>
      <c r="G31" s="119">
        <f>BASE_YEAR+3</f>
        <v>2020</v>
      </c>
      <c r="H31" s="120">
        <f>'Reference Data'!K13</f>
        <v>583.43893971963541</v>
      </c>
      <c r="I31" s="120"/>
      <c r="J31" s="77"/>
      <c r="K31" s="77"/>
      <c r="L31" s="121">
        <f>'Reference Data'!C13/1000</f>
        <v>24.069022222222223</v>
      </c>
      <c r="M31" s="121">
        <v>0.25</v>
      </c>
      <c r="N31" s="107">
        <v>20</v>
      </c>
      <c r="O31" s="122">
        <v>1E-3</v>
      </c>
      <c r="P31" s="122"/>
      <c r="R31" s="79"/>
      <c r="S31" s="77" t="str">
        <f>Commodities!$N$6&amp;"_"&amp;RIGHT(Commodities!$C$343,3)&amp;"_"&amp;$S$3&amp;"_IM"</f>
        <v>TRARPPC_ELC_N_IM</v>
      </c>
      <c r="T31" s="77" t="s">
        <v>927</v>
      </c>
      <c r="U31" s="107" t="str">
        <f>General!$D$28</f>
        <v>MVkms</v>
      </c>
      <c r="V31" s="107" t="str">
        <f>General!$D$11</f>
        <v>000s_Units</v>
      </c>
      <c r="W31" s="79"/>
      <c r="X31" s="119" t="s">
        <v>815</v>
      </c>
      <c r="Y31" s="79"/>
    </row>
    <row r="32" spans="1:26" ht="13.8" x14ac:dyDescent="0.25">
      <c r="B32" s="77" t="str">
        <f t="shared" si="6"/>
        <v>TRARPPC_HYB_GSL_N_AD</v>
      </c>
      <c r="C32" s="77" t="str">
        <f t="shared" si="7"/>
        <v>Private Car NEW Advanced Hybrid GSL</v>
      </c>
      <c r="D32" s="77" t="str">
        <f>Commodities!$C$247</f>
        <v>TRAOILGSL</v>
      </c>
      <c r="E32" s="77" t="str">
        <f>Commodities!$N$6</f>
        <v>TRARPPC</v>
      </c>
      <c r="F32" s="124">
        <f t="shared" si="0"/>
        <v>2030</v>
      </c>
      <c r="G32" s="119">
        <f>BASE_YEAR+13</f>
        <v>2030</v>
      </c>
      <c r="H32" s="120">
        <f>'Reference Data'!N13</f>
        <v>1166.8778794392713</v>
      </c>
      <c r="I32" s="120"/>
      <c r="J32" s="77"/>
      <c r="K32" s="77"/>
      <c r="L32" s="121">
        <f>'Reference Data'!F13/1000</f>
        <v>26.539555555555555</v>
      </c>
      <c r="M32" s="121">
        <v>0.25</v>
      </c>
      <c r="N32" s="107">
        <v>20</v>
      </c>
      <c r="O32" s="122">
        <v>1E-3</v>
      </c>
      <c r="P32" s="122"/>
      <c r="R32" s="125"/>
      <c r="S32" s="125" t="str">
        <f>Commodities!$N$6&amp;"_"&amp;RIGHT(Commodities!$C$343,3)&amp;"_"&amp;$S$3&amp;"_AD"</f>
        <v>TRARPPC_ELC_N_AD</v>
      </c>
      <c r="T32" s="125" t="s">
        <v>928</v>
      </c>
      <c r="U32" s="126" t="str">
        <f>General!$D$28</f>
        <v>MVkms</v>
      </c>
      <c r="V32" s="126" t="str">
        <f>General!$D$11</f>
        <v>000s_Units</v>
      </c>
      <c r="W32" s="125"/>
      <c r="X32" s="126" t="s">
        <v>815</v>
      </c>
      <c r="Y32" s="125"/>
    </row>
    <row r="33" spans="1:30" ht="13.8" x14ac:dyDescent="0.25">
      <c r="B33" s="77" t="str">
        <f t="shared" si="6"/>
        <v>TRARPPC_HYB_DSL_N01</v>
      </c>
      <c r="C33" s="77" t="str">
        <f t="shared" si="7"/>
        <v>Private Car NEW Hybrid DSL</v>
      </c>
      <c r="D33" s="77" t="str">
        <f>Commodities!$C$246</f>
        <v>TRAOILDSL</v>
      </c>
      <c r="E33" s="77" t="str">
        <f>Commodities!$N$6</f>
        <v>TRARPPC</v>
      </c>
      <c r="F33" s="124">
        <f t="shared" si="0"/>
        <v>2020</v>
      </c>
      <c r="G33" s="119">
        <f>BASE_YEAR+3</f>
        <v>2020</v>
      </c>
      <c r="H33" s="120">
        <f>'Reference Data'!K14</f>
        <v>732.15121183852546</v>
      </c>
      <c r="I33" s="120"/>
      <c r="J33" s="77"/>
      <c r="K33" s="77"/>
      <c r="L33" s="121">
        <f>'Reference Data'!C14/1000</f>
        <v>27.513813333333331</v>
      </c>
      <c r="M33" s="121">
        <v>0.25</v>
      </c>
      <c r="N33" s="107">
        <v>20</v>
      </c>
      <c r="O33" s="122">
        <v>1E-3</v>
      </c>
      <c r="P33" s="122"/>
      <c r="R33" s="79"/>
      <c r="S33" s="77" t="str">
        <f>Commodities!$N$6&amp;"_E85_"&amp;$S$3&amp;"_IM"</f>
        <v>TRARPPC_E85_N_IM</v>
      </c>
      <c r="T33" s="77" t="s">
        <v>958</v>
      </c>
      <c r="U33" s="107" t="str">
        <f>General!$D$28</f>
        <v>MVkms</v>
      </c>
      <c r="V33" s="107" t="str">
        <f>General!$D$11</f>
        <v>000s_Units</v>
      </c>
      <c r="W33" s="79"/>
      <c r="X33" s="119" t="s">
        <v>815</v>
      </c>
      <c r="Y33" s="79"/>
    </row>
    <row r="34" spans="1:30" ht="13.8" x14ac:dyDescent="0.25">
      <c r="B34" s="125" t="str">
        <f t="shared" si="6"/>
        <v>TRARPPC_HYB_DSL_N_AD</v>
      </c>
      <c r="C34" s="125" t="str">
        <f t="shared" si="7"/>
        <v>Private Car NEW Advanced Hybrid DSL</v>
      </c>
      <c r="D34" s="125" t="str">
        <f>Commodities!$C$246</f>
        <v>TRAOILDSL</v>
      </c>
      <c r="E34" s="125" t="str">
        <f>Commodities!$N$6</f>
        <v>TRARPPC</v>
      </c>
      <c r="F34" s="127">
        <f t="shared" si="0"/>
        <v>2030</v>
      </c>
      <c r="G34" s="126">
        <f>BASE_YEAR+13</f>
        <v>2030</v>
      </c>
      <c r="H34" s="128">
        <f>'Reference Data'!N14</f>
        <v>1142.1558904680999</v>
      </c>
      <c r="I34" s="128"/>
      <c r="J34" s="125"/>
      <c r="K34" s="125"/>
      <c r="L34" s="129">
        <f>'Reference Data'!F14/1000</f>
        <v>30.035823915343915</v>
      </c>
      <c r="M34" s="129">
        <v>0.3</v>
      </c>
      <c r="N34" s="126">
        <v>20</v>
      </c>
      <c r="O34" s="130">
        <v>1E-3</v>
      </c>
      <c r="P34" s="131"/>
      <c r="R34" s="79"/>
      <c r="S34" s="77" t="str">
        <f>Commodities!$N$6&amp;"_E85_"&amp;$S$3&amp;"_AD"</f>
        <v>TRARPPC_E85_N_AD</v>
      </c>
      <c r="T34" s="77" t="s">
        <v>959</v>
      </c>
      <c r="U34" s="107" t="str">
        <f>General!$D$28</f>
        <v>MVkms</v>
      </c>
      <c r="V34" s="107" t="str">
        <f>General!$D$11</f>
        <v>000s_Units</v>
      </c>
      <c r="W34" s="79"/>
      <c r="X34" s="119" t="s">
        <v>815</v>
      </c>
      <c r="Y34" s="79"/>
    </row>
    <row r="35" spans="1:30" ht="13.8" x14ac:dyDescent="0.25">
      <c r="B35" s="77" t="str">
        <f t="shared" si="6"/>
        <v>TRARPPC_ELC_N01</v>
      </c>
      <c r="C35" s="77" t="str">
        <f t="shared" si="7"/>
        <v>Private Car NEW Electric ELC</v>
      </c>
      <c r="D35" s="77" t="str">
        <f>$S$94</f>
        <v>TRABATRPP</v>
      </c>
      <c r="E35" s="77" t="str">
        <f>Commodities!$N$6</f>
        <v>TRARPPC</v>
      </c>
      <c r="F35" s="124">
        <f t="shared" si="0"/>
        <v>2018</v>
      </c>
      <c r="G35" s="119">
        <v>2018</v>
      </c>
      <c r="H35" s="120">
        <v>900</v>
      </c>
      <c r="I35" s="120"/>
      <c r="J35" s="77"/>
      <c r="K35" s="77"/>
      <c r="L35" s="121">
        <v>35</v>
      </c>
      <c r="M35" s="121">
        <v>0.5</v>
      </c>
      <c r="N35" s="107">
        <v>15</v>
      </c>
      <c r="O35" s="122">
        <v>1E-3</v>
      </c>
      <c r="P35" s="122"/>
      <c r="R35" s="79"/>
      <c r="S35" s="77" t="str">
        <f>Commodities!$N$6&amp;"_E100_"&amp;$S$3&amp;"_IM"</f>
        <v>TRARPPC_E100_N_IM</v>
      </c>
      <c r="T35" s="77" t="s">
        <v>960</v>
      </c>
      <c r="U35" s="107" t="str">
        <f>General!$D$28</f>
        <v>MVkms</v>
      </c>
      <c r="V35" s="107" t="str">
        <f>General!$D$11</f>
        <v>000s_Units</v>
      </c>
      <c r="W35" s="79"/>
      <c r="X35" s="119" t="s">
        <v>815</v>
      </c>
      <c r="Y35" s="79"/>
    </row>
    <row r="36" spans="1:30" ht="13.8" x14ac:dyDescent="0.25">
      <c r="B36" s="77" t="str">
        <f t="shared" si="6"/>
        <v>TRARPPC_ELC_N_IM</v>
      </c>
      <c r="C36" s="77" t="str">
        <f t="shared" si="7"/>
        <v>Private Car NEW Electric Improved ELC</v>
      </c>
      <c r="D36" s="77" t="str">
        <f>D35</f>
        <v>TRABATRPP</v>
      </c>
      <c r="E36" s="77" t="str">
        <f>Commodities!$N$6</f>
        <v>TRARPPC</v>
      </c>
      <c r="F36" s="124">
        <f t="shared" si="0"/>
        <v>2025</v>
      </c>
      <c r="G36" s="119">
        <v>2025</v>
      </c>
      <c r="H36" s="120">
        <v>1200</v>
      </c>
      <c r="I36" s="120"/>
      <c r="J36" s="77"/>
      <c r="K36" s="77"/>
      <c r="L36" s="121">
        <f>L35</f>
        <v>35</v>
      </c>
      <c r="M36" s="121">
        <v>0.5</v>
      </c>
      <c r="N36" s="107">
        <v>15</v>
      </c>
      <c r="O36" s="131">
        <v>1E-3</v>
      </c>
      <c r="P36" s="131"/>
      <c r="R36" s="125"/>
      <c r="S36" s="125" t="str">
        <f>Commodities!$N$6&amp;"_E100_"&amp;$S$3&amp;"_AD"</f>
        <v>TRARPPC_E100_N_AD</v>
      </c>
      <c r="T36" s="125" t="s">
        <v>961</v>
      </c>
      <c r="U36" s="126" t="str">
        <f>General!$D$28</f>
        <v>MVkms</v>
      </c>
      <c r="V36" s="126" t="str">
        <f>General!$D$11</f>
        <v>000s_Units</v>
      </c>
      <c r="W36" s="125"/>
      <c r="X36" s="126" t="s">
        <v>815</v>
      </c>
      <c r="Y36" s="125"/>
    </row>
    <row r="37" spans="1:30" ht="13.8" x14ac:dyDescent="0.25">
      <c r="B37" s="79" t="str">
        <f t="shared" si="6"/>
        <v>TRARPPC_ELC_N_AD</v>
      </c>
      <c r="C37" s="79" t="str">
        <f t="shared" si="7"/>
        <v>Private Car NEW Electric Advanced ELC</v>
      </c>
      <c r="D37" s="79" t="str">
        <f>D36</f>
        <v>TRABATRPP</v>
      </c>
      <c r="E37" s="79" t="str">
        <f>Commodities!$N$6</f>
        <v>TRARPPC</v>
      </c>
      <c r="F37" s="124">
        <f t="shared" si="0"/>
        <v>2035</v>
      </c>
      <c r="G37" s="119">
        <v>2035</v>
      </c>
      <c r="H37" s="138">
        <f>1280+200</f>
        <v>1480</v>
      </c>
      <c r="I37" s="138"/>
      <c r="J37" s="79"/>
      <c r="K37" s="79"/>
      <c r="L37" s="139">
        <f>L36*1.1</f>
        <v>38.5</v>
      </c>
      <c r="M37" s="139">
        <v>0.6</v>
      </c>
      <c r="N37" s="119">
        <v>15</v>
      </c>
      <c r="O37" s="131">
        <v>1E-3</v>
      </c>
      <c r="P37" s="131"/>
      <c r="R37" s="125"/>
      <c r="S37" s="125" t="str">
        <f>B38</f>
        <v>TRARPPC_ELC_N2_AD</v>
      </c>
      <c r="T37" s="125" t="str">
        <f>C38</f>
        <v>Private Car NEW Electric Advanced ELC2</v>
      </c>
      <c r="U37" s="126" t="str">
        <f>U36</f>
        <v>MVkms</v>
      </c>
      <c r="V37" s="126" t="str">
        <f>V36</f>
        <v>000s_Units</v>
      </c>
      <c r="W37" s="125"/>
      <c r="X37" s="126" t="str">
        <f>X36</f>
        <v>DEMO</v>
      </c>
      <c r="Y37" s="125"/>
    </row>
    <row r="38" spans="1:30" ht="13.8" x14ac:dyDescent="0.25">
      <c r="B38" s="125" t="str">
        <f>CONCATENATE(LEFT(B37,13),"2_AD")</f>
        <v>TRARPPC_ELC_N2_AD</v>
      </c>
      <c r="C38" s="125" t="str">
        <f>CONCATENATE(C37,2)</f>
        <v>Private Car NEW Electric Advanced ELC2</v>
      </c>
      <c r="D38" s="125" t="str">
        <f>D37</f>
        <v>TRABATRPP</v>
      </c>
      <c r="E38" s="125" t="str">
        <f t="shared" ref="E38" si="8">E37</f>
        <v>TRARPPC</v>
      </c>
      <c r="F38" s="127">
        <f>G38</f>
        <v>2040</v>
      </c>
      <c r="G38" s="126">
        <v>2040</v>
      </c>
      <c r="H38" s="128">
        <f>H37</f>
        <v>1480</v>
      </c>
      <c r="I38" s="128"/>
      <c r="J38" s="125"/>
      <c r="K38" s="125"/>
      <c r="L38" s="128">
        <f>L37*0.7</f>
        <v>26.95</v>
      </c>
      <c r="M38" s="129">
        <f>M37</f>
        <v>0.6</v>
      </c>
      <c r="N38" s="126">
        <v>15</v>
      </c>
      <c r="O38" s="130">
        <f>O37</f>
        <v>1E-3</v>
      </c>
      <c r="P38" s="131"/>
      <c r="R38" s="79"/>
      <c r="S38" s="77" t="str">
        <f>Commodities!$N$6&amp;"_B20_"&amp;$S$3&amp;"_IM"</f>
        <v>TRARPPC_B20_N_IM</v>
      </c>
      <c r="T38" s="77" t="s">
        <v>962</v>
      </c>
      <c r="U38" s="107" t="str">
        <f>General!$D$28</f>
        <v>MVkms</v>
      </c>
      <c r="V38" s="107" t="str">
        <f>General!$D$11</f>
        <v>000s_Units</v>
      </c>
      <c r="W38" s="79"/>
      <c r="X38" s="119" t="s">
        <v>815</v>
      </c>
      <c r="Y38" s="79"/>
    </row>
    <row r="39" spans="1:30" ht="13.8" x14ac:dyDescent="0.25">
      <c r="B39" s="77" t="str">
        <f t="shared" ref="B39:C42" si="9">S33</f>
        <v>TRARPPC_E85_N_IM</v>
      </c>
      <c r="C39" s="77" t="str">
        <f t="shared" si="9"/>
        <v>Private Car NEW E85 Imp</v>
      </c>
      <c r="D39" s="77" t="str">
        <f>Commodities!$C$350</f>
        <v>TRABIOE85</v>
      </c>
      <c r="E39" s="77" t="str">
        <f>Commodities!$N$6</f>
        <v>TRARPPC</v>
      </c>
      <c r="F39" s="124">
        <f t="shared" si="0"/>
        <v>2025</v>
      </c>
      <c r="G39" s="119">
        <f>BASE_YEAR+8</f>
        <v>2025</v>
      </c>
      <c r="H39" s="120">
        <f>H18</f>
        <v>656.36880718458997</v>
      </c>
      <c r="I39" s="120"/>
      <c r="J39" s="77"/>
      <c r="K39" s="77"/>
      <c r="L39" s="121">
        <f>L18*1.2</f>
        <v>27.125493333333331</v>
      </c>
      <c r="M39" s="121">
        <v>0.5</v>
      </c>
      <c r="N39" s="107">
        <v>20</v>
      </c>
      <c r="O39" s="131">
        <v>1E-3</v>
      </c>
      <c r="P39" s="131"/>
      <c r="R39" s="79"/>
      <c r="S39" s="77" t="str">
        <f>Commodities!$N$6&amp;"_B20_"&amp;$S$3&amp;"_AD"</f>
        <v>TRARPPC_B20_N_AD</v>
      </c>
      <c r="T39" s="77" t="s">
        <v>963</v>
      </c>
      <c r="U39" s="107" t="str">
        <f>General!$D$28</f>
        <v>MVkms</v>
      </c>
      <c r="V39" s="107" t="str">
        <f>General!$D$11</f>
        <v>000s_Units</v>
      </c>
      <c r="W39" s="79"/>
      <c r="X39" s="119" t="s">
        <v>815</v>
      </c>
      <c r="Y39" s="79"/>
    </row>
    <row r="40" spans="1:30" ht="13.8" x14ac:dyDescent="0.25">
      <c r="B40" s="125" t="str">
        <f t="shared" si="9"/>
        <v>TRARPPC_E85_N_AD</v>
      </c>
      <c r="C40" s="125" t="str">
        <f t="shared" si="9"/>
        <v>Private Car NEW E85 Adv</v>
      </c>
      <c r="D40" s="125" t="str">
        <f>Commodities!$C$350</f>
        <v>TRABIOE85</v>
      </c>
      <c r="E40" s="125" t="str">
        <f>Commodities!$N$6</f>
        <v>TRARPPC</v>
      </c>
      <c r="F40" s="127">
        <f t="shared" si="0"/>
        <v>2030</v>
      </c>
      <c r="G40" s="126">
        <f>BASE_YEAR+13</f>
        <v>2030</v>
      </c>
      <c r="H40" s="128">
        <f>H19</f>
        <v>875.15840957945318</v>
      </c>
      <c r="I40" s="128"/>
      <c r="J40" s="125"/>
      <c r="K40" s="125"/>
      <c r="L40" s="129">
        <f>L19*1.2</f>
        <v>29.28416</v>
      </c>
      <c r="M40" s="129">
        <v>0.6</v>
      </c>
      <c r="N40" s="126">
        <v>20</v>
      </c>
      <c r="O40" s="130">
        <v>1E-3</v>
      </c>
      <c r="P40" s="131"/>
      <c r="R40" s="79"/>
      <c r="S40" s="77" t="str">
        <f>Commodities!$N$6&amp;"_B100_"&amp;$S$3&amp;"_IM"</f>
        <v>TRARPPC_B100_N_IM</v>
      </c>
      <c r="T40" s="77" t="s">
        <v>964</v>
      </c>
      <c r="U40" s="107" t="str">
        <f>General!$D$28</f>
        <v>MVkms</v>
      </c>
      <c r="V40" s="107" t="str">
        <f>General!$D$11</f>
        <v>000s_Units</v>
      </c>
      <c r="W40" s="79"/>
      <c r="X40" s="119" t="s">
        <v>815</v>
      </c>
      <c r="Y40" s="79"/>
      <c r="Z40" s="77"/>
      <c r="AA40" s="77"/>
      <c r="AB40" s="77"/>
      <c r="AC40" s="77"/>
      <c r="AD40" s="77"/>
    </row>
    <row r="41" spans="1:30" ht="13.8" x14ac:dyDescent="0.25">
      <c r="B41" s="77" t="str">
        <f t="shared" si="9"/>
        <v>TRARPPC_E100_N_IM</v>
      </c>
      <c r="C41" s="77" t="str">
        <f t="shared" si="9"/>
        <v>Private Car NEW E100 Imp</v>
      </c>
      <c r="D41" s="77" t="str">
        <f>Commodities!$C$258</f>
        <v>TRABIOETH</v>
      </c>
      <c r="E41" s="77" t="str">
        <f>Commodities!$N$6</f>
        <v>TRARPPC</v>
      </c>
      <c r="F41" s="124">
        <f t="shared" si="0"/>
        <v>2025</v>
      </c>
      <c r="G41" s="119">
        <f>BASE_YEAR+8</f>
        <v>2025</v>
      </c>
      <c r="H41" s="120">
        <f>H18</f>
        <v>656.36880718458997</v>
      </c>
      <c r="I41" s="120"/>
      <c r="J41" s="77"/>
      <c r="K41" s="77"/>
      <c r="L41" s="121">
        <f>L39</f>
        <v>27.125493333333331</v>
      </c>
      <c r="M41" s="121">
        <v>0.6</v>
      </c>
      <c r="N41" s="107">
        <v>20</v>
      </c>
      <c r="O41" s="131">
        <v>1E-3</v>
      </c>
      <c r="P41" s="131"/>
      <c r="R41" s="125"/>
      <c r="S41" s="125" t="str">
        <f>Commodities!$N$6&amp;"_B100_"&amp;$S$3&amp;"_AD"</f>
        <v>TRARPPC_B100_N_AD</v>
      </c>
      <c r="T41" s="125" t="s">
        <v>965</v>
      </c>
      <c r="U41" s="126" t="str">
        <f>General!$D$28</f>
        <v>MVkms</v>
      </c>
      <c r="V41" s="126" t="str">
        <f>General!$D$11</f>
        <v>000s_Units</v>
      </c>
      <c r="W41" s="125"/>
      <c r="X41" s="126" t="s">
        <v>815</v>
      </c>
      <c r="Y41" s="125"/>
      <c r="Z41" s="77"/>
      <c r="AA41" s="77"/>
      <c r="AB41" s="77"/>
      <c r="AC41" s="77"/>
      <c r="AD41" s="77"/>
    </row>
    <row r="42" spans="1:30" ht="13.8" x14ac:dyDescent="0.25">
      <c r="B42" s="125" t="str">
        <f t="shared" si="9"/>
        <v>TRARPPC_E100_N_AD</v>
      </c>
      <c r="C42" s="125" t="str">
        <f t="shared" si="9"/>
        <v>Private Car NEW E100 Adv</v>
      </c>
      <c r="D42" s="125" t="str">
        <f>Commodities!$C$258</f>
        <v>TRABIOETH</v>
      </c>
      <c r="E42" s="125" t="str">
        <f>Commodities!$N$6</f>
        <v>TRARPPC</v>
      </c>
      <c r="F42" s="127">
        <f t="shared" si="0"/>
        <v>2030</v>
      </c>
      <c r="G42" s="126">
        <f>BASE_YEAR+13</f>
        <v>2030</v>
      </c>
      <c r="H42" s="128">
        <f>H18</f>
        <v>656.36880718458997</v>
      </c>
      <c r="I42" s="128"/>
      <c r="J42" s="125"/>
      <c r="K42" s="125"/>
      <c r="L42" s="129">
        <f>L40</f>
        <v>29.28416</v>
      </c>
      <c r="M42" s="129">
        <v>0.6</v>
      </c>
      <c r="N42" s="126">
        <v>20</v>
      </c>
      <c r="O42" s="130">
        <v>1E-3</v>
      </c>
      <c r="P42" s="131"/>
      <c r="R42" s="79"/>
      <c r="S42" s="77" t="str">
        <f>Commodities!$N$6&amp;"_H2G_"&amp;$S$3&amp;"_IM"</f>
        <v>TRARPPC_H2G_N_IM</v>
      </c>
      <c r="T42" s="77" t="s">
        <v>929</v>
      </c>
      <c r="U42" s="107" t="str">
        <f>General!$D$28</f>
        <v>MVkms</v>
      </c>
      <c r="V42" s="107" t="str">
        <f>General!$D$11</f>
        <v>000s_Units</v>
      </c>
      <c r="W42" s="79"/>
      <c r="X42" s="119" t="s">
        <v>815</v>
      </c>
      <c r="Y42" s="79"/>
      <c r="Z42" s="77"/>
      <c r="AA42" s="77"/>
      <c r="AB42" s="77"/>
      <c r="AC42" s="77"/>
      <c r="AD42" s="77"/>
    </row>
    <row r="43" spans="1:30" ht="13.8" x14ac:dyDescent="0.25">
      <c r="B43" s="77" t="str">
        <f>S38</f>
        <v>TRARPPC_B20_N_IM</v>
      </c>
      <c r="C43" s="77" t="str">
        <f>T38</f>
        <v>Private Car NEW B20 Imp</v>
      </c>
      <c r="D43" s="77" t="str">
        <f>Commodities!$C$349</f>
        <v>TRABIOB20</v>
      </c>
      <c r="E43" s="77" t="str">
        <f>Commodities!$N$6</f>
        <v>TRARPPC</v>
      </c>
      <c r="F43" s="124">
        <f t="shared" si="0"/>
        <v>2025</v>
      </c>
      <c r="G43" s="119">
        <f>BASE_YEAR+8</f>
        <v>2025</v>
      </c>
      <c r="H43" s="120">
        <f>H14</f>
        <v>856.61691785107496</v>
      </c>
      <c r="I43" s="120"/>
      <c r="J43" s="77"/>
      <c r="K43" s="77"/>
      <c r="L43" s="121">
        <f>L14*1.1</f>
        <v>29.504972444444444</v>
      </c>
      <c r="M43" s="121">
        <v>0.6</v>
      </c>
      <c r="N43" s="107">
        <v>20</v>
      </c>
      <c r="O43" s="131">
        <v>1E-3</v>
      </c>
      <c r="P43" s="131"/>
      <c r="R43" s="125"/>
      <c r="S43" s="125" t="str">
        <f>Commodities!$N$6&amp;"_H2G_"&amp;$S$3&amp;"_AD"</f>
        <v>TRARPPC_H2G_N_AD</v>
      </c>
      <c r="T43" s="125" t="s">
        <v>930</v>
      </c>
      <c r="U43" s="126" t="str">
        <f>General!$D$28</f>
        <v>MVkms</v>
      </c>
      <c r="V43" s="126" t="str">
        <f>General!$D$11</f>
        <v>000s_Units</v>
      </c>
      <c r="W43" s="125"/>
      <c r="X43" s="126" t="s">
        <v>815</v>
      </c>
      <c r="Y43" s="125"/>
      <c r="Z43" s="77"/>
      <c r="AA43" s="77"/>
      <c r="AB43" s="77"/>
      <c r="AC43" s="77"/>
      <c r="AD43" s="77"/>
    </row>
    <row r="44" spans="1:30" ht="13.8" x14ac:dyDescent="0.25">
      <c r="B44" s="125" t="str">
        <f t="shared" ref="B44:B48" si="10">S39</f>
        <v>TRARPPC_B20_N_AD</v>
      </c>
      <c r="C44" s="125" t="str">
        <f t="shared" ref="C44:C48" si="11">T39</f>
        <v>Private Car NEW B20 Adv</v>
      </c>
      <c r="D44" s="125" t="str">
        <f>Commodities!$C$349</f>
        <v>TRABIOB20</v>
      </c>
      <c r="E44" s="125" t="str">
        <f>Commodities!$N$6</f>
        <v>TRARPPC</v>
      </c>
      <c r="F44" s="127">
        <f t="shared" si="0"/>
        <v>2030</v>
      </c>
      <c r="G44" s="126">
        <f>BASE_YEAR+13</f>
        <v>2030</v>
      </c>
      <c r="H44" s="128">
        <f>H15</f>
        <v>1027.9403014212899</v>
      </c>
      <c r="I44" s="128"/>
      <c r="J44" s="125"/>
      <c r="K44" s="125"/>
      <c r="L44" s="129">
        <f>L15*1.1</f>
        <v>31.922528000000003</v>
      </c>
      <c r="M44" s="129">
        <v>0.6</v>
      </c>
      <c r="N44" s="126">
        <v>20</v>
      </c>
      <c r="O44" s="130">
        <v>1E-3</v>
      </c>
      <c r="P44" s="131"/>
      <c r="R44" s="79"/>
      <c r="S44" s="79" t="str">
        <f>Commodities!$N$7&amp;"_"&amp;RIGHT(Commodities!$C$247,3)&amp;"_"&amp;$S$3&amp;"_ST"</f>
        <v>TRARPMO_GSL_N_ST</v>
      </c>
      <c r="T44" s="79" t="s">
        <v>931</v>
      </c>
      <c r="U44" s="119" t="str">
        <f>General!$D$28</f>
        <v>MVkms</v>
      </c>
      <c r="V44" s="119" t="str">
        <f>General!$D$11</f>
        <v>000s_Units</v>
      </c>
      <c r="W44" s="79"/>
      <c r="X44" s="119" t="s">
        <v>815</v>
      </c>
      <c r="Y44" s="79"/>
      <c r="Z44" s="77"/>
      <c r="AA44" s="77"/>
      <c r="AB44" s="77"/>
      <c r="AC44" s="77"/>
      <c r="AD44" s="77"/>
    </row>
    <row r="45" spans="1:30" ht="13.8" x14ac:dyDescent="0.25">
      <c r="B45" s="77" t="str">
        <f t="shared" si="10"/>
        <v>TRARPPC_B100_N_IM</v>
      </c>
      <c r="C45" s="77" t="str">
        <f t="shared" si="11"/>
        <v>Private Car NEW B100 Imp</v>
      </c>
      <c r="D45" s="77" t="str">
        <f>Commodities!$C$257</f>
        <v>TRABIODSL</v>
      </c>
      <c r="E45" s="77" t="str">
        <f>Commodities!$N$6</f>
        <v>TRARPPC</v>
      </c>
      <c r="F45" s="124">
        <f t="shared" si="0"/>
        <v>2025</v>
      </c>
      <c r="G45" s="119">
        <f>BASE_YEAR+8</f>
        <v>2025</v>
      </c>
      <c r="H45" s="120">
        <f>H43</f>
        <v>856.61691785107496</v>
      </c>
      <c r="I45" s="120"/>
      <c r="J45" s="77"/>
      <c r="K45" s="77"/>
      <c r="L45" s="121">
        <f>L43</f>
        <v>29.504972444444444</v>
      </c>
      <c r="M45" s="121">
        <v>0.6</v>
      </c>
      <c r="N45" s="107">
        <v>20</v>
      </c>
      <c r="O45" s="131">
        <v>1E-3</v>
      </c>
      <c r="P45" s="131"/>
      <c r="R45" s="79"/>
      <c r="S45" s="79" t="str">
        <f>Commodities!$N$7&amp;"_"&amp;RIGHT(Commodities!$C$247,3)&amp;"_"&amp;$S$3&amp;"_IM"</f>
        <v>TRARPMO_GSL_N_IM</v>
      </c>
      <c r="T45" s="79" t="s">
        <v>932</v>
      </c>
      <c r="U45" s="119" t="str">
        <f>General!$D$28</f>
        <v>MVkms</v>
      </c>
      <c r="V45" s="119" t="str">
        <f>General!$D$11</f>
        <v>000s_Units</v>
      </c>
      <c r="W45" s="79"/>
      <c r="X45" s="119" t="s">
        <v>815</v>
      </c>
      <c r="Y45" s="79"/>
      <c r="Z45" s="77"/>
      <c r="AA45" s="77"/>
      <c r="AB45" s="77"/>
      <c r="AC45" s="77"/>
      <c r="AD45" s="77"/>
    </row>
    <row r="46" spans="1:30" s="77" customFormat="1" ht="13.8" x14ac:dyDescent="0.25">
      <c r="A46" s="137"/>
      <c r="B46" s="125" t="str">
        <f t="shared" si="10"/>
        <v>TRARPPC_B100_N_AD</v>
      </c>
      <c r="C46" s="125" t="str">
        <f t="shared" si="11"/>
        <v>Private Car NEW B100 Adv</v>
      </c>
      <c r="D46" s="125" t="str">
        <f>Commodities!$C$257</f>
        <v>TRABIODSL</v>
      </c>
      <c r="E46" s="125" t="str">
        <f>Commodities!$N$6</f>
        <v>TRARPPC</v>
      </c>
      <c r="F46" s="127">
        <f t="shared" si="0"/>
        <v>2030</v>
      </c>
      <c r="G46" s="126">
        <f>BASE_YEAR+13</f>
        <v>2030</v>
      </c>
      <c r="H46" s="128">
        <f>H44</f>
        <v>1027.9403014212899</v>
      </c>
      <c r="I46" s="128"/>
      <c r="J46" s="125"/>
      <c r="K46" s="125"/>
      <c r="L46" s="129">
        <f>L44</f>
        <v>31.922528000000003</v>
      </c>
      <c r="M46" s="129">
        <v>0.6</v>
      </c>
      <c r="N46" s="126">
        <v>20</v>
      </c>
      <c r="O46" s="130">
        <v>1E-3</v>
      </c>
      <c r="P46" s="131"/>
      <c r="R46" s="125"/>
      <c r="S46" s="125" t="str">
        <f>Commodities!$N$7&amp;"_"&amp;RIGHT(Commodities!$C$247,3)&amp;"_"&amp;$S$3&amp;"_AD"</f>
        <v>TRARPMO_GSL_N_AD</v>
      </c>
      <c r="T46" s="125" t="s">
        <v>933</v>
      </c>
      <c r="U46" s="126" t="str">
        <f>General!$D$28</f>
        <v>MVkms</v>
      </c>
      <c r="V46" s="126" t="str">
        <f>General!$D$11</f>
        <v>000s_Units</v>
      </c>
      <c r="W46" s="125"/>
      <c r="X46" s="126" t="s">
        <v>815</v>
      </c>
      <c r="Y46" s="125"/>
      <c r="AA46" s="137"/>
      <c r="AB46" s="137"/>
      <c r="AC46" s="137"/>
      <c r="AD46" s="137"/>
    </row>
    <row r="47" spans="1:30" s="77" customFormat="1" ht="13.8" x14ac:dyDescent="0.25">
      <c r="A47" s="137"/>
      <c r="B47" s="77" t="str">
        <f t="shared" si="10"/>
        <v>TRARPPC_H2G_N_IM</v>
      </c>
      <c r="C47" s="77" t="str">
        <f t="shared" si="11"/>
        <v xml:space="preserve">Private Car NEW Hydrogen Imp </v>
      </c>
      <c r="D47" s="77" t="s">
        <v>817</v>
      </c>
      <c r="E47" s="77" t="str">
        <f>Commodities!$N$6</f>
        <v>TRARPPC</v>
      </c>
      <c r="F47" s="124">
        <f t="shared" si="0"/>
        <v>2035</v>
      </c>
      <c r="G47" s="119">
        <f>BASE_YEAR+18</f>
        <v>2035</v>
      </c>
      <c r="H47" s="120">
        <v>673</v>
      </c>
      <c r="I47" s="120"/>
      <c r="L47" s="121">
        <v>50</v>
      </c>
      <c r="M47" s="121">
        <v>1</v>
      </c>
      <c r="N47" s="107">
        <v>15</v>
      </c>
      <c r="O47" s="131">
        <v>1E-3</v>
      </c>
      <c r="P47" s="131"/>
      <c r="R47" s="125"/>
      <c r="S47" s="125" t="str">
        <f>Commodities!$N$7&amp;"_"&amp;RIGHT(Commodities!$C$343,3)&amp;"_"&amp;$S$3&amp;"_AD"</f>
        <v>TRARPMO_ELC_N_AD</v>
      </c>
      <c r="T47" s="125" t="s">
        <v>1130</v>
      </c>
      <c r="U47" s="126" t="str">
        <f>General!$D$28</f>
        <v>MVkms</v>
      </c>
      <c r="V47" s="126" t="str">
        <f>General!$D$11</f>
        <v>000s_Units</v>
      </c>
      <c r="W47" s="125"/>
      <c r="X47" s="126" t="s">
        <v>815</v>
      </c>
      <c r="Y47" s="125"/>
      <c r="AA47" s="137"/>
      <c r="AB47" s="137"/>
      <c r="AC47" s="137"/>
      <c r="AD47" s="137"/>
    </row>
    <row r="48" spans="1:30" s="77" customFormat="1" ht="13.8" x14ac:dyDescent="0.25">
      <c r="A48" s="137"/>
      <c r="B48" s="125" t="str">
        <f t="shared" si="10"/>
        <v>TRARPPC_H2G_N_AD</v>
      </c>
      <c r="C48" s="125" t="str">
        <f t="shared" si="11"/>
        <v xml:space="preserve">Private Car NEW Hydrogen Adv. </v>
      </c>
      <c r="D48" s="125" t="s">
        <v>817</v>
      </c>
      <c r="E48" s="125" t="str">
        <f>Commodities!$N$6</f>
        <v>TRARPPC</v>
      </c>
      <c r="F48" s="127">
        <f t="shared" si="0"/>
        <v>2040</v>
      </c>
      <c r="G48" s="126">
        <f>BASE_YEAR+23</f>
        <v>2040</v>
      </c>
      <c r="H48" s="128">
        <v>685</v>
      </c>
      <c r="I48" s="128"/>
      <c r="J48" s="125"/>
      <c r="K48" s="125"/>
      <c r="L48" s="129">
        <f>L47*1.1</f>
        <v>55.000000000000007</v>
      </c>
      <c r="M48" s="129">
        <v>1</v>
      </c>
      <c r="N48" s="126">
        <v>15</v>
      </c>
      <c r="O48" s="130">
        <v>1E-3</v>
      </c>
      <c r="P48" s="131"/>
      <c r="S48" s="77" t="str">
        <f>Commodities!$N$6&amp;"_"&amp;RIGHT(Commodities!$C$249,3)&amp;"_"&amp;$T$3&amp;"03"</f>
        <v>TRARPPC_LPG_S03</v>
      </c>
      <c r="T48" s="77" t="s">
        <v>934</v>
      </c>
      <c r="U48" s="107" t="str">
        <f t="shared" ref="U48:V77" si="12">U7</f>
        <v>MVkms</v>
      </c>
      <c r="V48" s="107" t="str">
        <f t="shared" si="12"/>
        <v>000s_Units</v>
      </c>
      <c r="X48" s="107" t="str">
        <f t="shared" ref="X48:X77" si="13">X7</f>
        <v>DEMO</v>
      </c>
      <c r="AA48" s="137"/>
      <c r="AB48" s="137"/>
      <c r="AC48" s="137"/>
      <c r="AD48" s="137"/>
    </row>
    <row r="49" spans="1:30" s="77" customFormat="1" ht="15" customHeight="1" x14ac:dyDescent="0.25">
      <c r="A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89"/>
      <c r="P49" s="89"/>
      <c r="S49" s="77" t="str">
        <f>Commodities!$N$6&amp;"_"&amp;RIGHT(Commodities!$C$249,3)&amp;"_"&amp;$T$3&amp;"04"</f>
        <v>TRARPPC_LPG_S04</v>
      </c>
      <c r="T49" s="77" t="s">
        <v>935</v>
      </c>
      <c r="U49" s="107" t="str">
        <f t="shared" si="12"/>
        <v>MVkms</v>
      </c>
      <c r="V49" s="107" t="str">
        <f t="shared" si="12"/>
        <v>000s_Units</v>
      </c>
      <c r="X49" s="107" t="str">
        <f t="shared" si="13"/>
        <v>DEMO</v>
      </c>
      <c r="AA49" s="137"/>
      <c r="AB49" s="137"/>
      <c r="AC49" s="137"/>
      <c r="AD49" s="137"/>
    </row>
    <row r="50" spans="1:30" s="77" customFormat="1" ht="13.8" x14ac:dyDescent="0.25">
      <c r="A50" s="137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89"/>
      <c r="P50" s="89"/>
      <c r="S50" s="77" t="str">
        <f>Commodities!$N$6&amp;"_"&amp;RIGHT(Commodities!$C$249,3)&amp;"_"&amp;$T$3&amp;"05"</f>
        <v>TRARPPC_LPG_S05</v>
      </c>
      <c r="T50" s="77" t="s">
        <v>936</v>
      </c>
      <c r="U50" s="107" t="str">
        <f t="shared" si="12"/>
        <v>MVkms</v>
      </c>
      <c r="V50" s="107" t="str">
        <f t="shared" si="12"/>
        <v>000s_Units</v>
      </c>
      <c r="X50" s="107" t="str">
        <f t="shared" si="13"/>
        <v>DEMO</v>
      </c>
      <c r="Z50" s="137"/>
      <c r="AA50" s="137"/>
      <c r="AB50" s="137"/>
      <c r="AC50" s="137"/>
      <c r="AD50" s="137"/>
    </row>
    <row r="51" spans="1:30" s="77" customFormat="1" ht="13.8" x14ac:dyDescent="0.25">
      <c r="A51" s="137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89"/>
      <c r="P51" s="89"/>
      <c r="R51" s="125"/>
      <c r="S51" s="125" t="str">
        <f>Commodities!$N$6&amp;"_"&amp;RIGHT(Commodities!$C$249,3)&amp;"_"&amp;$T$3&amp;"_AD"</f>
        <v>TRARPPC_LPG_S_AD</v>
      </c>
      <c r="T51" s="125" t="s">
        <v>937</v>
      </c>
      <c r="U51" s="126" t="str">
        <f t="shared" si="12"/>
        <v>MVkms</v>
      </c>
      <c r="V51" s="126" t="str">
        <f t="shared" si="12"/>
        <v>000s_Units</v>
      </c>
      <c r="W51" s="125"/>
      <c r="X51" s="126" t="str">
        <f t="shared" si="13"/>
        <v>DEMO</v>
      </c>
      <c r="Y51" s="125"/>
      <c r="Z51" s="137"/>
      <c r="AA51" s="137"/>
      <c r="AB51" s="137"/>
      <c r="AC51" s="137"/>
      <c r="AD51" s="137"/>
    </row>
    <row r="52" spans="1:30" s="77" customFormat="1" ht="13.8" x14ac:dyDescent="0.25">
      <c r="S52" s="77" t="str">
        <f>Commodities!$N$6&amp;"_"&amp;RIGHT(Commodities!$C$246,3)&amp;"_"&amp;$T$3&amp;"03"</f>
        <v>TRARPPC_DSL_S03</v>
      </c>
      <c r="T52" s="77" t="s">
        <v>938</v>
      </c>
      <c r="U52" s="107" t="str">
        <f t="shared" si="12"/>
        <v>MVkms</v>
      </c>
      <c r="V52" s="107" t="str">
        <f t="shared" si="12"/>
        <v>000s_Units</v>
      </c>
      <c r="X52" s="107" t="str">
        <f t="shared" si="13"/>
        <v>DEMO</v>
      </c>
      <c r="Z52" s="137"/>
      <c r="AA52" s="137"/>
      <c r="AB52" s="137"/>
      <c r="AC52" s="137"/>
      <c r="AD52" s="137"/>
    </row>
    <row r="53" spans="1:30" s="77" customFormat="1" ht="13.8" x14ac:dyDescent="0.25">
      <c r="A53" s="137"/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89"/>
      <c r="P53" s="89"/>
      <c r="S53" s="77" t="str">
        <f>Commodities!$N$6&amp;"_"&amp;RIGHT(Commodities!$C$246,3)&amp;"_"&amp;$T$3&amp;"04"</f>
        <v>TRARPPC_DSL_S04</v>
      </c>
      <c r="T53" s="77" t="s">
        <v>939</v>
      </c>
      <c r="U53" s="107" t="str">
        <f t="shared" si="12"/>
        <v>MVkms</v>
      </c>
      <c r="V53" s="107" t="str">
        <f t="shared" si="12"/>
        <v>000s_Units</v>
      </c>
      <c r="W53" s="79"/>
      <c r="X53" s="119" t="str">
        <f t="shared" si="13"/>
        <v>DEMO</v>
      </c>
      <c r="Y53" s="79"/>
      <c r="Z53" s="137"/>
      <c r="AA53" s="137"/>
      <c r="AB53" s="137"/>
      <c r="AC53" s="137"/>
      <c r="AD53" s="137"/>
    </row>
    <row r="54" spans="1:30" s="77" customFormat="1" ht="13.8" x14ac:dyDescent="0.25">
      <c r="A54" s="137"/>
      <c r="B54" s="137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89"/>
      <c r="P54" s="89"/>
      <c r="S54" s="77" t="str">
        <f>Commodities!$N$6&amp;"_"&amp;RIGHT(Commodities!$C$246,3)&amp;"_"&amp;$T$3&amp;"05"</f>
        <v>TRARPPC_DSL_S05</v>
      </c>
      <c r="T54" s="77" t="s">
        <v>940</v>
      </c>
      <c r="U54" s="107" t="str">
        <f t="shared" si="12"/>
        <v>MVkms</v>
      </c>
      <c r="V54" s="107" t="str">
        <f t="shared" si="12"/>
        <v>000s_Units</v>
      </c>
      <c r="W54" s="79"/>
      <c r="X54" s="119" t="str">
        <f t="shared" si="13"/>
        <v>DEMO</v>
      </c>
      <c r="Y54" s="79"/>
      <c r="Z54" s="137"/>
      <c r="AA54" s="137"/>
      <c r="AB54" s="137"/>
      <c r="AC54" s="137"/>
      <c r="AD54" s="137"/>
    </row>
    <row r="55" spans="1:30" s="77" customFormat="1" ht="13.8" x14ac:dyDescent="0.25">
      <c r="A55" s="137"/>
      <c r="B55" s="137"/>
      <c r="C55" s="137"/>
      <c r="D55" s="137"/>
      <c r="E55" s="137"/>
      <c r="F55" s="137"/>
      <c r="G55" s="137"/>
      <c r="H55" s="140" t="s">
        <v>1107</v>
      </c>
      <c r="J55" s="137"/>
      <c r="K55" s="137"/>
      <c r="L55" s="140" t="s">
        <v>1108</v>
      </c>
      <c r="M55" s="137"/>
      <c r="N55" s="141" t="s">
        <v>1106</v>
      </c>
      <c r="O55" s="137"/>
      <c r="P55" s="137"/>
      <c r="R55" s="125"/>
      <c r="S55" s="125" t="str">
        <f>Commodities!$N$6&amp;"_"&amp;RIGHT(Commodities!$C$246,3)&amp;"_"&amp;$T$3&amp;"_AD"</f>
        <v>TRARPPC_DSL_S_AD</v>
      </c>
      <c r="T55" s="125" t="s">
        <v>941</v>
      </c>
      <c r="U55" s="126" t="str">
        <f t="shared" si="12"/>
        <v>MVkms</v>
      </c>
      <c r="V55" s="126" t="str">
        <f t="shared" si="12"/>
        <v>000s_Units</v>
      </c>
      <c r="W55" s="125"/>
      <c r="X55" s="126" t="str">
        <f t="shared" si="13"/>
        <v>DEMO</v>
      </c>
      <c r="Y55" s="125"/>
      <c r="Z55" s="137"/>
      <c r="AA55" s="137"/>
      <c r="AB55" s="137"/>
      <c r="AC55" s="137"/>
      <c r="AD55" s="137"/>
    </row>
    <row r="56" spans="1:30" s="77" customFormat="1" ht="17.399999999999999" x14ac:dyDescent="0.3">
      <c r="A56" s="137"/>
      <c r="B56" s="78" t="s">
        <v>902</v>
      </c>
      <c r="H56" s="142">
        <v>0.75</v>
      </c>
      <c r="K56" s="143" t="s">
        <v>1105</v>
      </c>
      <c r="L56" s="142">
        <v>0.6</v>
      </c>
      <c r="N56" s="142">
        <v>10</v>
      </c>
      <c r="S56" s="77" t="str">
        <f>Commodities!$N$6&amp;"_"&amp;RIGHT(Commodities!$C$247,3)&amp;"_"&amp;$T$3&amp;"03"</f>
        <v>TRARPPC_GSL_S03</v>
      </c>
      <c r="T56" s="77" t="s">
        <v>942</v>
      </c>
      <c r="U56" s="107" t="str">
        <f t="shared" si="12"/>
        <v>MVkms</v>
      </c>
      <c r="V56" s="107" t="str">
        <f t="shared" si="12"/>
        <v>000s_Units</v>
      </c>
      <c r="W56" s="79"/>
      <c r="X56" s="119" t="str">
        <f t="shared" si="13"/>
        <v>DEMO</v>
      </c>
      <c r="Y56" s="79"/>
      <c r="Z56" s="137"/>
      <c r="AA56" s="137"/>
      <c r="AB56" s="137"/>
      <c r="AC56" s="137"/>
      <c r="AD56" s="137"/>
    </row>
    <row r="57" spans="1:30" s="77" customFormat="1" ht="14.4" x14ac:dyDescent="0.3">
      <c r="A57" s="137"/>
      <c r="B57" s="80"/>
      <c r="D57" s="81"/>
      <c r="E57" s="81"/>
      <c r="F57" s="81"/>
      <c r="G57" s="81"/>
      <c r="J57" s="82"/>
      <c r="K57" s="143" t="s">
        <v>1187</v>
      </c>
      <c r="L57" s="142">
        <v>0.8</v>
      </c>
      <c r="M57" s="82"/>
      <c r="N57" s="142">
        <v>5</v>
      </c>
      <c r="S57" s="77" t="str">
        <f>Commodities!$N$6&amp;"_"&amp;RIGHT(Commodities!$C$247,3)&amp;"_"&amp;$T$3&amp;"04"</f>
        <v>TRARPPC_GSL_S04</v>
      </c>
      <c r="T57" s="77" t="s">
        <v>943</v>
      </c>
      <c r="U57" s="107" t="str">
        <f t="shared" si="12"/>
        <v>MVkms</v>
      </c>
      <c r="V57" s="107" t="str">
        <f t="shared" si="12"/>
        <v>000s_Units</v>
      </c>
      <c r="W57" s="79"/>
      <c r="X57" s="119" t="str">
        <f t="shared" si="13"/>
        <v>DEMO</v>
      </c>
      <c r="Y57" s="79"/>
      <c r="Z57" s="137"/>
      <c r="AA57" s="137"/>
      <c r="AB57" s="137"/>
      <c r="AC57" s="137"/>
      <c r="AD57" s="137"/>
    </row>
    <row r="58" spans="1:30" s="77" customFormat="1" ht="13.8" x14ac:dyDescent="0.25">
      <c r="A58" s="137"/>
      <c r="E58" s="86"/>
      <c r="F58" s="87" t="s">
        <v>0</v>
      </c>
      <c r="G58" s="87"/>
      <c r="H58" s="82"/>
      <c r="S58" s="77" t="str">
        <f>Commodities!$N$6&amp;"_"&amp;RIGHT(Commodities!$C$247,3)&amp;"_"&amp;$T$3&amp;"05"</f>
        <v>TRARPPC_GSL_S05</v>
      </c>
      <c r="T58" s="77" t="s">
        <v>944</v>
      </c>
      <c r="U58" s="107" t="str">
        <f t="shared" si="12"/>
        <v>MVkms</v>
      </c>
      <c r="V58" s="107" t="str">
        <f t="shared" si="12"/>
        <v>000s_Units</v>
      </c>
      <c r="W58" s="79"/>
      <c r="X58" s="119" t="str">
        <f t="shared" si="13"/>
        <v>DEMO</v>
      </c>
      <c r="Y58" s="79"/>
      <c r="Z58" s="137"/>
      <c r="AA58" s="137"/>
      <c r="AB58" s="137"/>
      <c r="AC58" s="137"/>
      <c r="AD58" s="137"/>
    </row>
    <row r="59" spans="1:30" s="77" customFormat="1" ht="18" customHeight="1" x14ac:dyDescent="0.25">
      <c r="A59" s="137"/>
      <c r="B59" s="90" t="s">
        <v>1</v>
      </c>
      <c r="C59" s="90" t="s">
        <v>809</v>
      </c>
      <c r="D59" s="90" t="s">
        <v>3</v>
      </c>
      <c r="E59" s="90" t="s">
        <v>4</v>
      </c>
      <c r="F59" s="91" t="s">
        <v>816</v>
      </c>
      <c r="G59" s="92" t="s">
        <v>15</v>
      </c>
      <c r="H59" s="93" t="s">
        <v>17</v>
      </c>
      <c r="I59" s="93" t="s">
        <v>1122</v>
      </c>
      <c r="J59" s="93" t="s">
        <v>38</v>
      </c>
      <c r="K59" s="93" t="s">
        <v>74</v>
      </c>
      <c r="L59" s="94" t="s">
        <v>43</v>
      </c>
      <c r="M59" s="93" t="s">
        <v>5</v>
      </c>
      <c r="N59" s="93" t="s">
        <v>49</v>
      </c>
      <c r="O59" s="93" t="s">
        <v>50</v>
      </c>
      <c r="P59" s="95"/>
      <c r="R59" s="125"/>
      <c r="S59" s="125" t="str">
        <f>Commodities!$N$6&amp;"_"&amp;RIGHT(Commodities!$C$247,3)&amp;"_"&amp;$T$3&amp;"_AD"</f>
        <v>TRARPPC_GSL_S_AD</v>
      </c>
      <c r="T59" s="125" t="s">
        <v>945</v>
      </c>
      <c r="U59" s="126" t="str">
        <f t="shared" si="12"/>
        <v>MVkms</v>
      </c>
      <c r="V59" s="126" t="str">
        <f t="shared" si="12"/>
        <v>000s_Units</v>
      </c>
      <c r="W59" s="125"/>
      <c r="X59" s="126" t="str">
        <f t="shared" si="13"/>
        <v>DEMO</v>
      </c>
      <c r="Y59" s="125"/>
      <c r="Z59" s="137"/>
      <c r="AA59" s="137"/>
      <c r="AB59" s="137"/>
      <c r="AC59" s="137"/>
      <c r="AD59" s="137"/>
    </row>
    <row r="60" spans="1:30" s="77" customFormat="1" ht="16.5" customHeight="1" thickBot="1" x14ac:dyDescent="0.3">
      <c r="A60" s="137"/>
      <c r="B60" s="102" t="s">
        <v>824</v>
      </c>
      <c r="C60" s="102" t="s">
        <v>32</v>
      </c>
      <c r="D60" s="102" t="s">
        <v>36</v>
      </c>
      <c r="E60" s="102" t="s">
        <v>37</v>
      </c>
      <c r="F60" s="103"/>
      <c r="G60" s="104" t="s">
        <v>42</v>
      </c>
      <c r="H60" s="102" t="s">
        <v>40</v>
      </c>
      <c r="I60" s="102" t="s">
        <v>40</v>
      </c>
      <c r="J60" s="102" t="s">
        <v>72</v>
      </c>
      <c r="K60" s="102" t="s">
        <v>75</v>
      </c>
      <c r="L60" s="104" t="s">
        <v>44</v>
      </c>
      <c r="M60" s="102" t="s">
        <v>45</v>
      </c>
      <c r="N60" s="102" t="s">
        <v>79</v>
      </c>
      <c r="O60" s="102" t="s">
        <v>41</v>
      </c>
      <c r="P60" s="105"/>
      <c r="R60" s="79"/>
      <c r="S60" s="77" t="str">
        <f>Commodities!$N$6&amp;"_"&amp;RIGHT(Commodities!$C$247,3)&amp;RIGHT(Commodities!$C$249,3)&amp;"_"&amp;$T$3&amp;"03"</f>
        <v>TRARPPC_GSLLPG_S03</v>
      </c>
      <c r="T60" s="77" t="s">
        <v>1123</v>
      </c>
      <c r="U60" s="107" t="str">
        <f t="shared" si="12"/>
        <v>MVkms</v>
      </c>
      <c r="V60" s="107" t="str">
        <f t="shared" si="12"/>
        <v>000s_Units</v>
      </c>
      <c r="W60" s="79"/>
      <c r="X60" s="119" t="str">
        <f t="shared" si="13"/>
        <v>DEMO</v>
      </c>
      <c r="Y60" s="79"/>
      <c r="Z60" s="137"/>
      <c r="AA60" s="137"/>
      <c r="AB60" s="137"/>
      <c r="AC60" s="137"/>
      <c r="AD60" s="137"/>
    </row>
    <row r="61" spans="1:30" s="77" customFormat="1" ht="13.8" x14ac:dyDescent="0.25">
      <c r="A61" s="137"/>
      <c r="B61" s="112"/>
      <c r="C61" s="113"/>
      <c r="D61" s="113"/>
      <c r="E61" s="113" t="s">
        <v>813</v>
      </c>
      <c r="F61" s="114"/>
      <c r="G61" s="113"/>
      <c r="H61" s="113" t="str">
        <f>General!$D$12</f>
        <v>MVkms/PJ</v>
      </c>
      <c r="I61" s="113" t="str">
        <f>General!$D$12</f>
        <v>MVkms/PJ</v>
      </c>
      <c r="J61" s="113" t="str">
        <f>General!$D$14</f>
        <v>km/year</v>
      </c>
      <c r="K61" s="113" t="str">
        <f>General!$D$15</f>
        <v>passenger/vehicle</v>
      </c>
      <c r="L61" s="113" t="str">
        <f>General!$D$30</f>
        <v>000USD/unit</v>
      </c>
      <c r="M61" s="113" t="str">
        <f>General!$D$17</f>
        <v>k$/Unit</v>
      </c>
      <c r="N61" s="113" t="str">
        <f>General!$D$20</f>
        <v>Years</v>
      </c>
      <c r="O61" s="113" t="str">
        <f>General!$D$21</f>
        <v>(milion_vkm)/(thousand_vkm)</v>
      </c>
      <c r="P61" s="105"/>
      <c r="Q61" s="137"/>
      <c r="R61" s="79"/>
      <c r="S61" s="77" t="str">
        <f>Commodities!$N$6&amp;"_"&amp;RIGHT(Commodities!$C$247,3)&amp;RIGHT(Commodities!$C$249,3)&amp;"_"&amp;$T$3&amp;"04"</f>
        <v>TRARPPC_GSLLPG_S04</v>
      </c>
      <c r="T61" s="77" t="s">
        <v>1124</v>
      </c>
      <c r="U61" s="107" t="str">
        <f t="shared" si="12"/>
        <v>MVkms</v>
      </c>
      <c r="V61" s="107" t="str">
        <f t="shared" si="12"/>
        <v>000s_Units</v>
      </c>
      <c r="W61" s="79"/>
      <c r="X61" s="119" t="str">
        <f t="shared" si="13"/>
        <v>DEMO</v>
      </c>
      <c r="Y61" s="79"/>
      <c r="Z61" s="137"/>
      <c r="AA61" s="137"/>
      <c r="AB61" s="137"/>
      <c r="AC61" s="137"/>
      <c r="AD61" s="137"/>
    </row>
    <row r="62" spans="1:30" s="77" customFormat="1" ht="13.8" x14ac:dyDescent="0.25">
      <c r="A62" s="137"/>
      <c r="B62" s="77" t="str">
        <f t="shared" ref="B62:B73" si="14">S48</f>
        <v>TRARPPC_LPG_S03</v>
      </c>
      <c r="C62" s="77" t="str">
        <f t="shared" ref="C62:C73" si="15">T48</f>
        <v>Private Car Second Hand Euro 4&amp;5 LPG</v>
      </c>
      <c r="D62" s="77" t="str">
        <f>Commodities!$C$249</f>
        <v>TRAOILLPG</v>
      </c>
      <c r="E62" s="77" t="str">
        <f>Commodities!$N$6</f>
        <v>TRARPPC</v>
      </c>
      <c r="F62" s="144">
        <f t="shared" ref="F62:F74" si="16">F8</f>
        <v>2018</v>
      </c>
      <c r="G62" s="145">
        <f>BASE_YEAR+1</f>
        <v>2018</v>
      </c>
      <c r="H62" s="146">
        <f t="shared" ref="H62:H73" si="17">H8*$H$56</f>
        <v>244.55031364458102</v>
      </c>
      <c r="I62" s="146"/>
      <c r="L62" s="121">
        <f t="shared" ref="L62:L69" si="18">L8*$L$56</f>
        <v>13.621046399999999</v>
      </c>
      <c r="M62" s="107">
        <v>0.25</v>
      </c>
      <c r="N62" s="107">
        <f t="shared" ref="N62:N73" si="19">N8-$N$56</f>
        <v>10</v>
      </c>
      <c r="O62" s="122">
        <v>1E-3</v>
      </c>
      <c r="P62" s="122"/>
      <c r="Q62" s="137"/>
      <c r="R62" s="79"/>
      <c r="S62" s="77" t="str">
        <f>Commodities!$N$6&amp;"_"&amp;RIGHT(Commodities!$C$247,3)&amp;RIGHT(Commodities!$C$249,3)&amp;"_"&amp;$T$3&amp;"05"</f>
        <v>TRARPPC_GSLLPG_S05</v>
      </c>
      <c r="T62" s="77" t="s">
        <v>1125</v>
      </c>
      <c r="U62" s="107" t="str">
        <f t="shared" si="12"/>
        <v>MVkms</v>
      </c>
      <c r="V62" s="107" t="str">
        <f t="shared" si="12"/>
        <v>000s_Units</v>
      </c>
      <c r="W62" s="79"/>
      <c r="X62" s="119" t="str">
        <f t="shared" si="13"/>
        <v>DEMO</v>
      </c>
      <c r="Y62" s="79"/>
      <c r="Z62" s="137"/>
      <c r="AA62" s="137"/>
      <c r="AB62" s="137"/>
      <c r="AC62" s="137"/>
      <c r="AD62" s="137"/>
    </row>
    <row r="63" spans="1:30" s="77" customFormat="1" ht="13.8" x14ac:dyDescent="0.25">
      <c r="A63" s="137"/>
      <c r="B63" s="77" t="str">
        <f t="shared" si="14"/>
        <v>TRARPPC_LPG_S04</v>
      </c>
      <c r="C63" s="77" t="str">
        <f t="shared" si="15"/>
        <v>Private Car Second Hand Euro 6 LPG</v>
      </c>
      <c r="D63" s="77" t="str">
        <f>Commodities!$C$249</f>
        <v>TRAOILLPG</v>
      </c>
      <c r="E63" s="77" t="str">
        <f>Commodities!$N$6</f>
        <v>TRARPPC</v>
      </c>
      <c r="F63" s="147">
        <f t="shared" si="16"/>
        <v>2020</v>
      </c>
      <c r="G63" s="145">
        <f>F63+5</f>
        <v>2025</v>
      </c>
      <c r="H63" s="146">
        <f t="shared" si="17"/>
        <v>305.68789205572625</v>
      </c>
      <c r="I63" s="146"/>
      <c r="L63" s="121">
        <f t="shared" si="18"/>
        <v>13.944379733333333</v>
      </c>
      <c r="M63" s="107">
        <v>0.25</v>
      </c>
      <c r="N63" s="107">
        <f t="shared" si="19"/>
        <v>10</v>
      </c>
      <c r="O63" s="122">
        <v>1E-3</v>
      </c>
      <c r="P63" s="122"/>
      <c r="Q63" s="137"/>
      <c r="R63" s="125"/>
      <c r="S63" s="125" t="str">
        <f>Commodities!$N$6&amp;"_"&amp;RIGHT(Commodities!$C$247,3)&amp;RIGHT(Commodities!$C$249,3)&amp;"_"&amp;$T$3&amp;"_AD"</f>
        <v>TRARPPC_GSLLPG_S_AD</v>
      </c>
      <c r="T63" s="125" t="s">
        <v>1126</v>
      </c>
      <c r="U63" s="126" t="str">
        <f t="shared" si="12"/>
        <v>MVkms</v>
      </c>
      <c r="V63" s="126" t="str">
        <f t="shared" si="12"/>
        <v>000s_Units</v>
      </c>
      <c r="W63" s="125"/>
      <c r="X63" s="126" t="str">
        <f t="shared" si="13"/>
        <v>DEMO</v>
      </c>
      <c r="Y63" s="125"/>
      <c r="Z63" s="137"/>
      <c r="AA63" s="137"/>
      <c r="AB63" s="137"/>
      <c r="AC63" s="137"/>
      <c r="AD63" s="137"/>
    </row>
    <row r="64" spans="1:30" s="77" customFormat="1" ht="18" customHeight="1" x14ac:dyDescent="0.25">
      <c r="A64" s="137"/>
      <c r="B64" s="77" t="str">
        <f t="shared" si="14"/>
        <v>TRARPPC_LPG_S05</v>
      </c>
      <c r="C64" s="77" t="str">
        <f t="shared" si="15"/>
        <v>Private Car Second Hand Post Euro 6 LPG</v>
      </c>
      <c r="D64" s="77" t="str">
        <f>Commodities!$C$249</f>
        <v>TRAOILLPG</v>
      </c>
      <c r="E64" s="77" t="str">
        <f>Commodities!$N$6</f>
        <v>TRARPPC</v>
      </c>
      <c r="F64" s="147">
        <f t="shared" si="16"/>
        <v>2025</v>
      </c>
      <c r="G64" s="145">
        <f>F64+5</f>
        <v>2030</v>
      </c>
      <c r="H64" s="146">
        <f t="shared" si="17"/>
        <v>336.25668126129892</v>
      </c>
      <c r="I64" s="146"/>
      <c r="L64" s="121">
        <f t="shared" si="18"/>
        <v>14.571713066666666</v>
      </c>
      <c r="M64" s="107">
        <v>0.25</v>
      </c>
      <c r="N64" s="107">
        <f t="shared" si="19"/>
        <v>10</v>
      </c>
      <c r="O64" s="122">
        <v>1E-3</v>
      </c>
      <c r="P64" s="122"/>
      <c r="S64" s="77" t="str">
        <f>Commodities!$N$6&amp;"_"&amp;LEFT(RIGHT(Commodities!$C$255,6),3)&amp;"_"&amp;$T$3&amp;"04"</f>
        <v>TRARPPC_GAS_S04</v>
      </c>
      <c r="T64" s="77" t="s">
        <v>946</v>
      </c>
      <c r="U64" s="107" t="str">
        <f t="shared" si="12"/>
        <v>MVkms</v>
      </c>
      <c r="V64" s="107" t="str">
        <f t="shared" si="12"/>
        <v>000s_Units</v>
      </c>
      <c r="W64" s="79"/>
      <c r="X64" s="119" t="str">
        <f t="shared" si="13"/>
        <v>DEMO</v>
      </c>
      <c r="Y64" s="79"/>
      <c r="Z64" s="137"/>
      <c r="AA64" s="137"/>
      <c r="AB64" s="137"/>
      <c r="AC64" s="137"/>
      <c r="AD64" s="137"/>
    </row>
    <row r="65" spans="1:30" s="77" customFormat="1" ht="13.8" x14ac:dyDescent="0.25">
      <c r="A65" s="137"/>
      <c r="B65" s="125" t="str">
        <f t="shared" si="14"/>
        <v>TRARPPC_LPG_S_AD</v>
      </c>
      <c r="C65" s="125" t="str">
        <f t="shared" si="15"/>
        <v>Private Car Second Hand Advanced LPG</v>
      </c>
      <c r="D65" s="125" t="str">
        <f>Commodities!$C$249</f>
        <v>TRAOILLPG</v>
      </c>
      <c r="E65" s="125" t="str">
        <f>Commodities!$N$6</f>
        <v>TRARPPC</v>
      </c>
      <c r="F65" s="148">
        <f t="shared" si="16"/>
        <v>2030</v>
      </c>
      <c r="G65" s="149">
        <v>2100</v>
      </c>
      <c r="H65" s="150">
        <f t="shared" si="17"/>
        <v>407.58385607430176</v>
      </c>
      <c r="I65" s="150"/>
      <c r="J65" s="125"/>
      <c r="K65" s="125"/>
      <c r="L65" s="129">
        <f t="shared" si="18"/>
        <v>15.6510464</v>
      </c>
      <c r="M65" s="126">
        <v>0.25</v>
      </c>
      <c r="N65" s="126">
        <f t="shared" si="19"/>
        <v>10</v>
      </c>
      <c r="O65" s="130">
        <v>1E-3</v>
      </c>
      <c r="P65" s="131"/>
      <c r="S65" s="77" t="str">
        <f>Commodities!$N$6&amp;"_"&amp;LEFT(RIGHT(Commodities!$C$255,6),3)&amp;"_"&amp;$T$3&amp;"05"</f>
        <v>TRARPPC_GAS_S05</v>
      </c>
      <c r="T65" s="77" t="s">
        <v>947</v>
      </c>
      <c r="U65" s="107" t="str">
        <f t="shared" si="12"/>
        <v>MVkms</v>
      </c>
      <c r="V65" s="107" t="str">
        <f t="shared" si="12"/>
        <v>000s_Units</v>
      </c>
      <c r="W65" s="79"/>
      <c r="X65" s="119" t="str">
        <f t="shared" si="13"/>
        <v>DEMO</v>
      </c>
      <c r="Y65" s="79"/>
      <c r="Z65" s="137"/>
      <c r="AA65" s="137"/>
      <c r="AB65" s="137"/>
      <c r="AC65" s="137"/>
      <c r="AD65" s="137"/>
    </row>
    <row r="66" spans="1:30" ht="13.8" x14ac:dyDescent="0.25">
      <c r="B66" s="77" t="str">
        <f t="shared" si="14"/>
        <v>TRARPPC_DSL_S03</v>
      </c>
      <c r="C66" s="77" t="str">
        <f t="shared" si="15"/>
        <v>Private Car Second Hand Euro 4&amp;5 DSL</v>
      </c>
      <c r="D66" s="77" t="str">
        <f>Commodities!$C$246</f>
        <v>TRAOILDSL</v>
      </c>
      <c r="E66" s="77" t="str">
        <f>Commodities!$N$6</f>
        <v>TRARPPC</v>
      </c>
      <c r="F66" s="144">
        <f t="shared" si="16"/>
        <v>2018</v>
      </c>
      <c r="G66" s="145">
        <f>BASE_YEAR+1</f>
        <v>2018</v>
      </c>
      <c r="H66" s="146">
        <f t="shared" si="17"/>
        <v>385.4776130329837</v>
      </c>
      <c r="I66" s="146"/>
      <c r="J66" s="77"/>
      <c r="K66" s="77"/>
      <c r="L66" s="121">
        <f t="shared" si="18"/>
        <v>14.744287999999997</v>
      </c>
      <c r="M66" s="121">
        <v>0.25</v>
      </c>
      <c r="N66" s="107">
        <f t="shared" si="19"/>
        <v>10</v>
      </c>
      <c r="O66" s="122">
        <v>1E-3</v>
      </c>
      <c r="P66" s="122"/>
      <c r="Q66" s="77"/>
      <c r="R66" s="125"/>
      <c r="S66" s="125" t="str">
        <f>Commodities!$N$6&amp;"_"&amp;LEFT(RIGHT(Commodities!$C$255,6),3)&amp;"_"&amp;$T$3&amp;"_AD"</f>
        <v>TRARPPC_GAS_S_AD</v>
      </c>
      <c r="T66" s="125" t="s">
        <v>948</v>
      </c>
      <c r="U66" s="126" t="str">
        <f t="shared" si="12"/>
        <v>MVkms</v>
      </c>
      <c r="V66" s="126" t="str">
        <f t="shared" si="12"/>
        <v>000s_Units</v>
      </c>
      <c r="W66" s="125"/>
      <c r="X66" s="126" t="str">
        <f t="shared" si="13"/>
        <v>DEMO</v>
      </c>
      <c r="Y66" s="125"/>
    </row>
    <row r="67" spans="1:30" ht="13.8" x14ac:dyDescent="0.25">
      <c r="B67" s="77" t="str">
        <f t="shared" si="14"/>
        <v>TRARPPC_DSL_S04</v>
      </c>
      <c r="C67" s="77" t="str">
        <f t="shared" si="15"/>
        <v>Private Car Second Hand Euro 6 DSL</v>
      </c>
      <c r="D67" s="77" t="str">
        <f>Commodities!$C$246</f>
        <v>TRAOILDSL</v>
      </c>
      <c r="E67" s="77" t="str">
        <f>Commodities!$N$6</f>
        <v>TRARPPC</v>
      </c>
      <c r="F67" s="147">
        <f t="shared" si="16"/>
        <v>2020</v>
      </c>
      <c r="G67" s="145">
        <f t="shared" ref="G67:G68" si="20">F67+5</f>
        <v>2025</v>
      </c>
      <c r="H67" s="146">
        <f t="shared" si="17"/>
        <v>481.84701629122958</v>
      </c>
      <c r="I67" s="146"/>
      <c r="J67" s="77"/>
      <c r="K67" s="77"/>
      <c r="L67" s="121">
        <f t="shared" si="18"/>
        <v>15.196954666666665</v>
      </c>
      <c r="M67" s="121">
        <v>0.25</v>
      </c>
      <c r="N67" s="107">
        <f t="shared" si="19"/>
        <v>10</v>
      </c>
      <c r="O67" s="122">
        <v>1E-3</v>
      </c>
      <c r="P67" s="122"/>
      <c r="Q67" s="77"/>
      <c r="R67" s="77"/>
      <c r="S67" s="77" t="str">
        <f>Commodities!$N$6&amp;"_HYB_"&amp;RIGHT(Commodities!$C$247,3)&amp;"_"&amp;$T$3&amp;"01"</f>
        <v>TRARPPC_HYB_GSL_S01</v>
      </c>
      <c r="T67" s="77" t="s">
        <v>949</v>
      </c>
      <c r="U67" s="107" t="str">
        <f t="shared" si="12"/>
        <v>MVkms</v>
      </c>
      <c r="V67" s="107" t="str">
        <f t="shared" si="12"/>
        <v>000s_Units</v>
      </c>
      <c r="W67" s="79"/>
      <c r="X67" s="119" t="str">
        <f t="shared" si="13"/>
        <v>DEMO</v>
      </c>
      <c r="Y67" s="79"/>
    </row>
    <row r="68" spans="1:30" ht="13.8" x14ac:dyDescent="0.25">
      <c r="B68" s="77" t="str">
        <f t="shared" si="14"/>
        <v>TRARPPC_DSL_S05</v>
      </c>
      <c r="C68" s="77" t="str">
        <f t="shared" si="15"/>
        <v>Private Car Second Hand Post Euro 6 DSL</v>
      </c>
      <c r="D68" s="77" t="str">
        <f>Commodities!$C$246</f>
        <v>TRAOILDSL</v>
      </c>
      <c r="E68" s="77" t="str">
        <f>Commodities!$N$6</f>
        <v>TRARPPC</v>
      </c>
      <c r="F68" s="147">
        <f t="shared" si="16"/>
        <v>2025</v>
      </c>
      <c r="G68" s="145">
        <f t="shared" si="20"/>
        <v>2030</v>
      </c>
      <c r="H68" s="146">
        <f t="shared" si="17"/>
        <v>642.46268838830622</v>
      </c>
      <c r="I68" s="146"/>
      <c r="J68" s="77"/>
      <c r="K68" s="77"/>
      <c r="L68" s="121">
        <f t="shared" si="18"/>
        <v>16.093621333333331</v>
      </c>
      <c r="M68" s="121">
        <v>0.25</v>
      </c>
      <c r="N68" s="107">
        <f t="shared" si="19"/>
        <v>10</v>
      </c>
      <c r="O68" s="122">
        <v>1E-3</v>
      </c>
      <c r="P68" s="122"/>
      <c r="Q68" s="77"/>
      <c r="R68" s="125"/>
      <c r="S68" s="125" t="str">
        <f>Commodities!$N$6&amp;"_HYB_"&amp;RIGHT(Commodities!$C$247,3)&amp;"_"&amp;$T$3&amp;"_AD"</f>
        <v>TRARPPC_HYB_GSL_S_AD</v>
      </c>
      <c r="T68" s="125" t="s">
        <v>950</v>
      </c>
      <c r="U68" s="126" t="str">
        <f t="shared" si="12"/>
        <v>MVkms</v>
      </c>
      <c r="V68" s="126" t="str">
        <f t="shared" si="12"/>
        <v>000s_Units</v>
      </c>
      <c r="W68" s="125"/>
      <c r="X68" s="126" t="str">
        <f t="shared" si="13"/>
        <v>DEMO</v>
      </c>
      <c r="Y68" s="125"/>
    </row>
    <row r="69" spans="1:30" s="77" customFormat="1" ht="13.8" x14ac:dyDescent="0.25">
      <c r="A69" s="137"/>
      <c r="B69" s="125" t="str">
        <f t="shared" si="14"/>
        <v>TRARPPC_DSL_S_AD</v>
      </c>
      <c r="C69" s="125" t="str">
        <f t="shared" si="15"/>
        <v>Private Car Second Hand Advanced DSL</v>
      </c>
      <c r="D69" s="125" t="str">
        <f>Commodities!$C$246</f>
        <v>TRAOILDSL</v>
      </c>
      <c r="E69" s="125" t="str">
        <f>Commodities!$N$6</f>
        <v>TRARPPC</v>
      </c>
      <c r="F69" s="148">
        <f t="shared" si="16"/>
        <v>2030</v>
      </c>
      <c r="G69" s="149">
        <v>2100</v>
      </c>
      <c r="H69" s="150">
        <f t="shared" si="17"/>
        <v>770.95522606596739</v>
      </c>
      <c r="I69" s="150"/>
      <c r="J69" s="125"/>
      <c r="K69" s="125"/>
      <c r="L69" s="129">
        <f t="shared" si="18"/>
        <v>17.412288</v>
      </c>
      <c r="M69" s="129">
        <v>0.25</v>
      </c>
      <c r="N69" s="126">
        <f t="shared" si="19"/>
        <v>10</v>
      </c>
      <c r="O69" s="130">
        <v>1E-3</v>
      </c>
      <c r="P69" s="131"/>
      <c r="S69" s="77" t="str">
        <f>Commodities!$N$6&amp;"_HYB_"&amp;RIGHT(Commodities!$C$246,3)&amp;"_"&amp;$T$3&amp;"01"</f>
        <v>TRARPPC_HYB_DSL_S01</v>
      </c>
      <c r="T69" s="77" t="s">
        <v>951</v>
      </c>
      <c r="U69" s="107" t="str">
        <f t="shared" si="12"/>
        <v>MVkms</v>
      </c>
      <c r="V69" s="107" t="str">
        <f t="shared" si="12"/>
        <v>000s_Units</v>
      </c>
      <c r="W69" s="79"/>
      <c r="X69" s="119" t="str">
        <f t="shared" si="13"/>
        <v>DEMO</v>
      </c>
      <c r="Y69" s="79"/>
      <c r="Z69" s="137"/>
      <c r="AA69" s="137"/>
      <c r="AB69" s="137"/>
      <c r="AC69" s="137"/>
      <c r="AD69" s="137"/>
    </row>
    <row r="70" spans="1:30" s="77" customFormat="1" ht="13.8" x14ac:dyDescent="0.25">
      <c r="A70" s="137"/>
      <c r="B70" s="77" t="str">
        <f t="shared" si="14"/>
        <v>TRARPPC_GSL_S03</v>
      </c>
      <c r="C70" s="77" t="str">
        <f t="shared" si="15"/>
        <v>Private Car Second Hand Euro 4&amp;5 GSL</v>
      </c>
      <c r="D70" s="77" t="str">
        <f>Commodities!$C$247</f>
        <v>TRAOILGSL</v>
      </c>
      <c r="E70" s="77" t="str">
        <f>Commodities!$N$6</f>
        <v>TRARPPC</v>
      </c>
      <c r="F70" s="144">
        <f t="shared" si="16"/>
        <v>2018</v>
      </c>
      <c r="G70" s="145">
        <f>BASE_YEAR+1</f>
        <v>2018</v>
      </c>
      <c r="H70" s="146">
        <f t="shared" si="17"/>
        <v>295.36596323306543</v>
      </c>
      <c r="I70" s="146"/>
      <c r="L70" s="121">
        <f>L16*$L$57</f>
        <v>16.816106666666666</v>
      </c>
      <c r="M70" s="121">
        <v>0.2</v>
      </c>
      <c r="N70" s="107">
        <f t="shared" si="19"/>
        <v>10</v>
      </c>
      <c r="O70" s="122">
        <v>1E-3</v>
      </c>
      <c r="P70" s="122"/>
      <c r="Q70" s="137"/>
      <c r="R70" s="125"/>
      <c r="S70" s="125" t="str">
        <f>Commodities!$N$6&amp;"_HYB_"&amp;RIGHT(Commodities!$C$246,3)&amp;"_"&amp;$T$3&amp;"_AD"</f>
        <v>TRARPPC_HYB_DSL_S_AD</v>
      </c>
      <c r="T70" s="125" t="s">
        <v>952</v>
      </c>
      <c r="U70" s="126" t="str">
        <f t="shared" si="12"/>
        <v>MVkms</v>
      </c>
      <c r="V70" s="126" t="str">
        <f t="shared" si="12"/>
        <v>000s_Units</v>
      </c>
      <c r="W70" s="125"/>
      <c r="X70" s="126" t="str">
        <f t="shared" si="13"/>
        <v>DEMO</v>
      </c>
      <c r="Y70" s="125"/>
      <c r="Z70" s="137"/>
      <c r="AA70" s="137"/>
      <c r="AB70" s="137"/>
      <c r="AC70" s="137"/>
      <c r="AD70" s="137"/>
    </row>
    <row r="71" spans="1:30" s="77" customFormat="1" ht="13.8" x14ac:dyDescent="0.25">
      <c r="A71" s="137"/>
      <c r="B71" s="77" t="str">
        <f t="shared" si="14"/>
        <v>TRARPPC_GSL_S04</v>
      </c>
      <c r="C71" s="77" t="str">
        <f t="shared" si="15"/>
        <v>Private Car Second Hand Euro 6 GSL</v>
      </c>
      <c r="D71" s="77" t="str">
        <f>Commodities!$C$247</f>
        <v>TRAOILGSL</v>
      </c>
      <c r="E71" s="77" t="str">
        <f>Commodities!$N$6</f>
        <v>TRARPPC</v>
      </c>
      <c r="F71" s="147">
        <f t="shared" si="16"/>
        <v>2020</v>
      </c>
      <c r="G71" s="145">
        <f>F71+5</f>
        <v>2025</v>
      </c>
      <c r="H71" s="146">
        <f t="shared" si="17"/>
        <v>369.2074540413318</v>
      </c>
      <c r="I71" s="146"/>
      <c r="L71" s="121">
        <f>L17*$L$57</f>
        <v>17.247217777777777</v>
      </c>
      <c r="M71" s="121">
        <v>0.2</v>
      </c>
      <c r="N71" s="107">
        <f t="shared" si="19"/>
        <v>10</v>
      </c>
      <c r="O71" s="122">
        <v>1E-3</v>
      </c>
      <c r="P71" s="122"/>
      <c r="Q71" s="137"/>
      <c r="S71" s="77" t="str">
        <f>Commodities!$N$6&amp;"_"&amp;RIGHT(Commodities!$C$343,3)&amp;"_"&amp;$T$3&amp;"01"</f>
        <v>TRARPPC_ELC_S01</v>
      </c>
      <c r="T71" s="77" t="s">
        <v>953</v>
      </c>
      <c r="U71" s="107" t="str">
        <f t="shared" si="12"/>
        <v>MVkms</v>
      </c>
      <c r="V71" s="107" t="str">
        <f t="shared" si="12"/>
        <v>000s_Units</v>
      </c>
      <c r="W71" s="79"/>
      <c r="X71" s="119" t="str">
        <f t="shared" si="13"/>
        <v>DEMO</v>
      </c>
      <c r="Y71" s="79"/>
      <c r="Z71" s="137"/>
      <c r="AA71" s="137"/>
      <c r="AB71" s="137"/>
      <c r="AC71" s="137"/>
      <c r="AD71" s="137"/>
    </row>
    <row r="72" spans="1:30" s="77" customFormat="1" ht="13.8" x14ac:dyDescent="0.25">
      <c r="A72" s="137"/>
      <c r="B72" s="77" t="str">
        <f t="shared" si="14"/>
        <v>TRARPPC_GSL_S05</v>
      </c>
      <c r="C72" s="77" t="str">
        <f t="shared" si="15"/>
        <v>Private Car Second Hand Post Euro 6 GSL</v>
      </c>
      <c r="D72" s="77" t="str">
        <f>Commodities!$C$247</f>
        <v>TRAOILGSL</v>
      </c>
      <c r="E72" s="77" t="str">
        <f>Commodities!$N$6</f>
        <v>TRARPPC</v>
      </c>
      <c r="F72" s="147">
        <f t="shared" si="16"/>
        <v>2025</v>
      </c>
      <c r="G72" s="145">
        <f>F72+5</f>
        <v>2030</v>
      </c>
      <c r="H72" s="146">
        <f t="shared" si="17"/>
        <v>492.27660538844248</v>
      </c>
      <c r="I72" s="146"/>
      <c r="L72" s="121">
        <f>L18*$L$57</f>
        <v>18.083662222222223</v>
      </c>
      <c r="M72" s="121">
        <v>0.2</v>
      </c>
      <c r="N72" s="107">
        <f t="shared" si="19"/>
        <v>10</v>
      </c>
      <c r="O72" s="122">
        <v>1E-3</v>
      </c>
      <c r="P72" s="122"/>
      <c r="Q72" s="137"/>
      <c r="S72" s="77" t="str">
        <f>Commodities!$N$6&amp;"_"&amp;RIGHT(Commodities!$C$343,3)&amp;"_"&amp;$T$3&amp;"_IM"</f>
        <v>TRARPPC_ELC_S_IM</v>
      </c>
      <c r="T72" s="77" t="s">
        <v>954</v>
      </c>
      <c r="U72" s="107" t="str">
        <f t="shared" si="12"/>
        <v>MVkms</v>
      </c>
      <c r="V72" s="107" t="str">
        <f t="shared" si="12"/>
        <v>000s_Units</v>
      </c>
      <c r="W72" s="79"/>
      <c r="X72" s="119" t="str">
        <f t="shared" si="13"/>
        <v>DEMO</v>
      </c>
      <c r="Y72" s="79"/>
      <c r="Z72" s="137"/>
      <c r="AA72" s="137"/>
      <c r="AB72" s="137"/>
      <c r="AC72" s="137"/>
      <c r="AD72" s="137"/>
    </row>
    <row r="73" spans="1:30" s="77" customFormat="1" ht="13.8" x14ac:dyDescent="0.25">
      <c r="A73" s="137"/>
      <c r="B73" s="125" t="str">
        <f t="shared" si="14"/>
        <v>TRARPPC_GSL_S_AD</v>
      </c>
      <c r="C73" s="125" t="str">
        <f t="shared" si="15"/>
        <v>Private Car Second Hand Advanced GSL</v>
      </c>
      <c r="D73" s="125" t="str">
        <f>Commodities!$C$247</f>
        <v>TRAOILGSL</v>
      </c>
      <c r="E73" s="125" t="str">
        <f>Commodities!$N$6</f>
        <v>TRARPPC</v>
      </c>
      <c r="F73" s="148">
        <f t="shared" si="16"/>
        <v>2030</v>
      </c>
      <c r="G73" s="149">
        <v>2100</v>
      </c>
      <c r="H73" s="150">
        <f t="shared" si="17"/>
        <v>656.36880718458985</v>
      </c>
      <c r="I73" s="150"/>
      <c r="J73" s="125"/>
      <c r="K73" s="125"/>
      <c r="L73" s="129">
        <f>L19*$L$57</f>
        <v>19.522773333333333</v>
      </c>
      <c r="M73" s="129">
        <v>0.25</v>
      </c>
      <c r="N73" s="126">
        <f t="shared" si="19"/>
        <v>10</v>
      </c>
      <c r="O73" s="130">
        <v>1E-3</v>
      </c>
      <c r="P73" s="131"/>
      <c r="Q73" s="137"/>
      <c r="R73" s="125"/>
      <c r="S73" s="125" t="str">
        <f>Commodities!$N$6&amp;"_"&amp;RIGHT(Commodities!$C$343,3)&amp;"_"&amp;$T$3&amp;"_AD"</f>
        <v>TRARPPC_ELC_S_AD</v>
      </c>
      <c r="T73" s="125" t="s">
        <v>955</v>
      </c>
      <c r="U73" s="126" t="str">
        <f t="shared" si="12"/>
        <v>MVkms</v>
      </c>
      <c r="V73" s="126" t="str">
        <f t="shared" si="12"/>
        <v>000s_Units</v>
      </c>
      <c r="W73" s="125"/>
      <c r="X73" s="126" t="str">
        <f t="shared" si="13"/>
        <v>DEMO</v>
      </c>
      <c r="Y73" s="125"/>
      <c r="Z73" s="137"/>
      <c r="AA73" s="137"/>
      <c r="AB73" s="137"/>
      <c r="AC73" s="137"/>
      <c r="AD73" s="137"/>
    </row>
    <row r="74" spans="1:30" s="77" customFormat="1" ht="13.8" x14ac:dyDescent="0.25">
      <c r="A74" s="137"/>
      <c r="B74" s="132" t="str">
        <f>S60</f>
        <v>TRARPPC_GSLLPG_S03</v>
      </c>
      <c r="C74" s="132" t="str">
        <f>T60</f>
        <v>Private Car Second Hand Euro 4&amp;5 Dual GSL-LPG</v>
      </c>
      <c r="D74" s="132" t="str">
        <f>Commodities!$C$247</f>
        <v>TRAOILGSL</v>
      </c>
      <c r="E74" s="132" t="str">
        <f>Commodities!$N$6</f>
        <v>TRARPPC</v>
      </c>
      <c r="F74" s="118">
        <f t="shared" si="16"/>
        <v>2018</v>
      </c>
      <c r="G74" s="151">
        <f>BASE_YEAR+1</f>
        <v>2018</v>
      </c>
      <c r="H74" s="134"/>
      <c r="I74" s="134">
        <f>H70</f>
        <v>295.36596323306543</v>
      </c>
      <c r="J74" s="132"/>
      <c r="K74" s="132"/>
      <c r="L74" s="135">
        <f>L70</f>
        <v>16.816106666666666</v>
      </c>
      <c r="M74" s="135">
        <f>M70</f>
        <v>0.2</v>
      </c>
      <c r="N74" s="133">
        <f>N70</f>
        <v>10</v>
      </c>
      <c r="O74" s="136">
        <f>O70</f>
        <v>1E-3</v>
      </c>
      <c r="P74" s="131"/>
      <c r="Q74" s="137"/>
      <c r="S74" s="77" t="str">
        <f>Commodities!$N$6&amp;"_E85_"&amp;$T$3&amp;"_IM"</f>
        <v>TRARPPC_E85_S_IM</v>
      </c>
      <c r="T74" s="77" t="s">
        <v>966</v>
      </c>
      <c r="U74" s="107" t="str">
        <f t="shared" si="12"/>
        <v>MVkms</v>
      </c>
      <c r="V74" s="107" t="str">
        <f t="shared" si="12"/>
        <v>000s_Units</v>
      </c>
      <c r="W74" s="79"/>
      <c r="X74" s="119" t="str">
        <f t="shared" si="13"/>
        <v>DEMO</v>
      </c>
      <c r="Y74" s="79"/>
      <c r="Z74" s="137"/>
      <c r="AA74" s="137"/>
      <c r="AB74" s="137"/>
      <c r="AC74" s="137"/>
      <c r="AD74" s="137"/>
    </row>
    <row r="75" spans="1:30" s="77" customFormat="1" ht="13.8" x14ac:dyDescent="0.25">
      <c r="A75" s="137"/>
      <c r="B75" s="125"/>
      <c r="C75" s="125"/>
      <c r="D75" s="125" t="str">
        <f>Commodities!$C$249</f>
        <v>TRAOILLPG</v>
      </c>
      <c r="E75" s="125"/>
      <c r="F75" s="127">
        <f>F74</f>
        <v>2018</v>
      </c>
      <c r="G75" s="149"/>
      <c r="H75" s="128"/>
      <c r="I75" s="128">
        <f>H62</f>
        <v>244.55031364458102</v>
      </c>
      <c r="J75" s="125"/>
      <c r="K75" s="125"/>
      <c r="L75" s="129"/>
      <c r="M75" s="129"/>
      <c r="N75" s="126"/>
      <c r="O75" s="130"/>
      <c r="P75" s="131"/>
      <c r="Q75" s="137"/>
      <c r="S75" s="77" t="str">
        <f>Commodities!$N$6&amp;"_E85_"&amp;$T$3&amp;"_AD"</f>
        <v>TRARPPC_E85_S_AD</v>
      </c>
      <c r="T75" s="77" t="s">
        <v>967</v>
      </c>
      <c r="U75" s="107" t="str">
        <f t="shared" si="12"/>
        <v>MVkms</v>
      </c>
      <c r="V75" s="107" t="str">
        <f t="shared" si="12"/>
        <v>000s_Units</v>
      </c>
      <c r="W75" s="79"/>
      <c r="X75" s="119" t="str">
        <f t="shared" si="13"/>
        <v>DEMO</v>
      </c>
      <c r="Y75" s="79"/>
      <c r="Z75" s="137"/>
      <c r="AA75" s="137"/>
      <c r="AB75" s="137"/>
      <c r="AC75" s="137"/>
      <c r="AD75" s="137"/>
    </row>
    <row r="76" spans="1:30" s="77" customFormat="1" ht="13.8" x14ac:dyDescent="0.25">
      <c r="A76" s="137"/>
      <c r="B76" s="132" t="str">
        <f>S61</f>
        <v>TRARPPC_GSLLPG_S04</v>
      </c>
      <c r="C76" s="132" t="str">
        <f>T61</f>
        <v>Private Car Second Hand Euro 6 Dual GSL-LPG</v>
      </c>
      <c r="D76" s="132" t="str">
        <f>Commodities!$C$247</f>
        <v>TRAOILGSL</v>
      </c>
      <c r="E76" s="132" t="str">
        <f>Commodities!$N$6</f>
        <v>TRARPPC</v>
      </c>
      <c r="F76" s="118">
        <f>F22</f>
        <v>2020</v>
      </c>
      <c r="G76" s="151">
        <f>F71+5</f>
        <v>2025</v>
      </c>
      <c r="H76" s="134"/>
      <c r="I76" s="134">
        <f>H71</f>
        <v>369.2074540413318</v>
      </c>
      <c r="J76" s="132"/>
      <c r="K76" s="132"/>
      <c r="L76" s="135">
        <f>L71</f>
        <v>17.247217777777777</v>
      </c>
      <c r="M76" s="135">
        <f>M71</f>
        <v>0.2</v>
      </c>
      <c r="N76" s="133">
        <f>N71</f>
        <v>10</v>
      </c>
      <c r="O76" s="136">
        <f>O71</f>
        <v>1E-3</v>
      </c>
      <c r="P76" s="131"/>
      <c r="Q76" s="137"/>
      <c r="S76" s="77" t="str">
        <f>Commodities!$N$6&amp;"_E100_"&amp;$T$3&amp;"_IM"</f>
        <v>TRARPPC_E100_S_IM</v>
      </c>
      <c r="T76" s="77" t="s">
        <v>968</v>
      </c>
      <c r="U76" s="107" t="str">
        <f t="shared" si="12"/>
        <v>MVkms</v>
      </c>
      <c r="V76" s="107" t="str">
        <f t="shared" si="12"/>
        <v>000s_Units</v>
      </c>
      <c r="W76" s="79"/>
      <c r="X76" s="119" t="str">
        <f t="shared" si="13"/>
        <v>DEMO</v>
      </c>
      <c r="Y76" s="79"/>
      <c r="Z76" s="137"/>
      <c r="AA76" s="137"/>
      <c r="AB76" s="137"/>
      <c r="AC76" s="137"/>
      <c r="AD76" s="137"/>
    </row>
    <row r="77" spans="1:30" s="77" customFormat="1" ht="13.8" x14ac:dyDescent="0.25">
      <c r="A77" s="137"/>
      <c r="B77" s="125"/>
      <c r="C77" s="125"/>
      <c r="D77" s="125" t="str">
        <f>Commodities!$C$249</f>
        <v>TRAOILLPG</v>
      </c>
      <c r="E77" s="125"/>
      <c r="F77" s="127">
        <f>F76</f>
        <v>2020</v>
      </c>
      <c r="G77" s="149"/>
      <c r="H77" s="128"/>
      <c r="I77" s="128">
        <f>H63</f>
        <v>305.68789205572625</v>
      </c>
      <c r="J77" s="125"/>
      <c r="K77" s="125"/>
      <c r="L77" s="129"/>
      <c r="M77" s="129"/>
      <c r="N77" s="126"/>
      <c r="O77" s="130"/>
      <c r="P77" s="131"/>
      <c r="Q77" s="137"/>
      <c r="R77" s="125"/>
      <c r="S77" s="125" t="str">
        <f>Commodities!$N$6&amp;"_E100_"&amp;$T$3&amp;"_AD"</f>
        <v>TRARPPC_E100_S_AD</v>
      </c>
      <c r="T77" s="125" t="s">
        <v>969</v>
      </c>
      <c r="U77" s="126" t="str">
        <f t="shared" si="12"/>
        <v>MVkms</v>
      </c>
      <c r="V77" s="126" t="str">
        <f t="shared" si="12"/>
        <v>000s_Units</v>
      </c>
      <c r="W77" s="125"/>
      <c r="X77" s="126" t="str">
        <f t="shared" si="13"/>
        <v>DEMO</v>
      </c>
      <c r="Y77" s="125"/>
      <c r="Z77" s="137"/>
      <c r="AA77" s="137"/>
      <c r="AB77" s="137"/>
      <c r="AC77" s="137"/>
      <c r="AD77" s="137"/>
    </row>
    <row r="78" spans="1:30" ht="13.8" x14ac:dyDescent="0.25">
      <c r="B78" s="132" t="str">
        <f>S62</f>
        <v>TRARPPC_GSLLPG_S05</v>
      </c>
      <c r="C78" s="132" t="str">
        <f>T62</f>
        <v>Private Car Second Hand Post Euro 6 Dual GSL-LPG</v>
      </c>
      <c r="D78" s="132" t="str">
        <f>Commodities!$C$247</f>
        <v>TRAOILGSL</v>
      </c>
      <c r="E78" s="132" t="str">
        <f>Commodities!$N$6</f>
        <v>TRARPPC</v>
      </c>
      <c r="F78" s="118">
        <f>F24</f>
        <v>2025</v>
      </c>
      <c r="G78" s="151">
        <f>F72+5</f>
        <v>2030</v>
      </c>
      <c r="H78" s="134"/>
      <c r="I78" s="134">
        <f>H72</f>
        <v>492.27660538844248</v>
      </c>
      <c r="J78" s="132"/>
      <c r="K78" s="132"/>
      <c r="L78" s="135">
        <f>L72</f>
        <v>18.083662222222223</v>
      </c>
      <c r="M78" s="135">
        <f>M72</f>
        <v>0.2</v>
      </c>
      <c r="N78" s="133">
        <f>N72</f>
        <v>10</v>
      </c>
      <c r="O78" s="136">
        <f>O72</f>
        <v>1E-3</v>
      </c>
      <c r="P78" s="131"/>
      <c r="R78" s="77"/>
      <c r="S78" s="77" t="str">
        <f>Commodities!$N$6&amp;"_B20_"&amp;$T$3&amp;"_IM"</f>
        <v>TRARPPC_B20_S_IM</v>
      </c>
      <c r="T78" s="77" t="s">
        <v>970</v>
      </c>
      <c r="U78" s="107" t="str">
        <f>U38</f>
        <v>MVkms</v>
      </c>
      <c r="V78" s="107" t="str">
        <f>V38</f>
        <v>000s_Units</v>
      </c>
      <c r="W78" s="79"/>
      <c r="X78" s="119" t="str">
        <f>X38</f>
        <v>DEMO</v>
      </c>
      <c r="Y78" s="79"/>
    </row>
    <row r="79" spans="1:30" ht="13.8" x14ac:dyDescent="0.25">
      <c r="B79" s="125"/>
      <c r="C79" s="125"/>
      <c r="D79" s="125" t="str">
        <f>Commodities!$C$249</f>
        <v>TRAOILLPG</v>
      </c>
      <c r="E79" s="125"/>
      <c r="F79" s="127">
        <f>F78</f>
        <v>2025</v>
      </c>
      <c r="G79" s="149"/>
      <c r="H79" s="128"/>
      <c r="I79" s="128">
        <f>H64</f>
        <v>336.25668126129892</v>
      </c>
      <c r="J79" s="125"/>
      <c r="K79" s="125"/>
      <c r="L79" s="129"/>
      <c r="M79" s="129"/>
      <c r="N79" s="126"/>
      <c r="O79" s="130"/>
      <c r="P79" s="131"/>
      <c r="R79" s="77"/>
      <c r="S79" s="77" t="str">
        <f>Commodities!$N$6&amp;"_B20_"&amp;$T$3&amp;"_AD"</f>
        <v>TRARPPC_B20_S_AD</v>
      </c>
      <c r="T79" s="77" t="s">
        <v>971</v>
      </c>
      <c r="U79" s="107" t="str">
        <f t="shared" ref="U79:V83" si="21">U39</f>
        <v>MVkms</v>
      </c>
      <c r="V79" s="107" t="str">
        <f t="shared" si="21"/>
        <v>000s_Units</v>
      </c>
      <c r="W79" s="79"/>
      <c r="X79" s="119" t="str">
        <f t="shared" ref="X79:X83" si="22">X39</f>
        <v>DEMO</v>
      </c>
      <c r="Y79" s="79"/>
    </row>
    <row r="80" spans="1:30" ht="13.8" x14ac:dyDescent="0.25">
      <c r="B80" s="132" t="str">
        <f>S63</f>
        <v>TRARPPC_GSLLPG_S_AD</v>
      </c>
      <c r="C80" s="132" t="str">
        <f>T63</f>
        <v>Private Car Second Hand Advanced Dual GSL-LPG</v>
      </c>
      <c r="D80" s="132" t="str">
        <f>Commodities!$C$247</f>
        <v>TRAOILGSL</v>
      </c>
      <c r="E80" s="132" t="str">
        <f>Commodities!$N$6</f>
        <v>TRARPPC</v>
      </c>
      <c r="F80" s="118">
        <f>F26</f>
        <v>2030</v>
      </c>
      <c r="G80" s="151">
        <v>2100</v>
      </c>
      <c r="H80" s="134"/>
      <c r="I80" s="134">
        <f>H73</f>
        <v>656.36880718458985</v>
      </c>
      <c r="J80" s="132"/>
      <c r="K80" s="132"/>
      <c r="L80" s="135">
        <f>L73</f>
        <v>19.522773333333333</v>
      </c>
      <c r="M80" s="135">
        <f>M73</f>
        <v>0.25</v>
      </c>
      <c r="N80" s="133">
        <f>N73</f>
        <v>10</v>
      </c>
      <c r="O80" s="136">
        <f>O73</f>
        <v>1E-3</v>
      </c>
      <c r="P80" s="131"/>
      <c r="R80" s="77"/>
      <c r="S80" s="77" t="str">
        <f>Commodities!$N$6&amp;"_B100_"&amp;$T$3&amp;"_IM"</f>
        <v>TRARPPC_B100_S_IM</v>
      </c>
      <c r="T80" s="77" t="s">
        <v>972</v>
      </c>
      <c r="U80" s="107" t="str">
        <f t="shared" si="21"/>
        <v>MVkms</v>
      </c>
      <c r="V80" s="107" t="str">
        <f t="shared" si="21"/>
        <v>000s_Units</v>
      </c>
      <c r="W80" s="79"/>
      <c r="X80" s="119" t="str">
        <f t="shared" si="22"/>
        <v>DEMO</v>
      </c>
      <c r="Y80" s="79"/>
    </row>
    <row r="81" spans="2:25" ht="13.8" x14ac:dyDescent="0.25">
      <c r="B81" s="125"/>
      <c r="C81" s="125"/>
      <c r="D81" s="125" t="str">
        <f>Commodities!$C$249</f>
        <v>TRAOILLPG</v>
      </c>
      <c r="E81" s="125"/>
      <c r="F81" s="127">
        <f>F80</f>
        <v>2030</v>
      </c>
      <c r="G81" s="149"/>
      <c r="H81" s="128"/>
      <c r="I81" s="128">
        <f>H65</f>
        <v>407.58385607430176</v>
      </c>
      <c r="J81" s="125"/>
      <c r="K81" s="125"/>
      <c r="L81" s="129"/>
      <c r="M81" s="129"/>
      <c r="N81" s="126"/>
      <c r="O81" s="130"/>
      <c r="P81" s="131"/>
      <c r="R81" s="125"/>
      <c r="S81" s="125" t="str">
        <f>Commodities!$N$6&amp;"_B100_"&amp;$T$3&amp;"_AD"</f>
        <v>TRARPPC_B100_S_AD</v>
      </c>
      <c r="T81" s="125" t="s">
        <v>973</v>
      </c>
      <c r="U81" s="126" t="str">
        <f t="shared" si="21"/>
        <v>MVkms</v>
      </c>
      <c r="V81" s="126" t="str">
        <f t="shared" si="21"/>
        <v>000s_Units</v>
      </c>
      <c r="W81" s="125"/>
      <c r="X81" s="126" t="str">
        <f t="shared" si="22"/>
        <v>DEMO</v>
      </c>
      <c r="Y81" s="125"/>
    </row>
    <row r="82" spans="2:25" ht="13.8" x14ac:dyDescent="0.25">
      <c r="B82" s="77" t="str">
        <f t="shared" ref="B82:C87" si="23">S64</f>
        <v>TRARPPC_GAS_S04</v>
      </c>
      <c r="C82" s="77" t="str">
        <f t="shared" si="23"/>
        <v>Private Car Second Hand Euro 6 GAS</v>
      </c>
      <c r="D82" s="77" t="str">
        <f>Commodities!$C$255</f>
        <v>TRAGASNAT</v>
      </c>
      <c r="E82" s="77" t="str">
        <f>Commodities!$N$6</f>
        <v>TRARPPC</v>
      </c>
      <c r="F82" s="147">
        <f t="shared" ref="F82:F91" si="24">F28</f>
        <v>2020</v>
      </c>
      <c r="G82" s="152">
        <f>BASE_YEAR+3</f>
        <v>2020</v>
      </c>
      <c r="H82" s="146">
        <f>H28*H56</f>
        <v>387.66782674339845</v>
      </c>
      <c r="I82" s="146"/>
      <c r="J82" s="107"/>
      <c r="K82" s="107"/>
      <c r="L82" s="121">
        <f t="shared" ref="L82:L91" si="25">L28*$L$57</f>
        <v>19.096989511111111</v>
      </c>
      <c r="M82" s="121">
        <v>0.25</v>
      </c>
      <c r="N82" s="107">
        <f t="shared" ref="N82:N88" si="26">N28-$N$56</f>
        <v>10</v>
      </c>
      <c r="O82" s="122">
        <v>1E-3</v>
      </c>
      <c r="P82" s="122"/>
      <c r="R82" s="77"/>
      <c r="S82" s="77" t="str">
        <f>Commodities!$N$6&amp;"_H2G_"&amp;$T$3&amp;"_IM"</f>
        <v>TRARPPC_H2G_S_IM</v>
      </c>
      <c r="T82" s="77" t="s">
        <v>956</v>
      </c>
      <c r="U82" s="107" t="str">
        <f t="shared" si="21"/>
        <v>MVkms</v>
      </c>
      <c r="V82" s="107" t="str">
        <f t="shared" si="21"/>
        <v>000s_Units</v>
      </c>
      <c r="W82" s="79"/>
      <c r="X82" s="119" t="str">
        <f t="shared" si="22"/>
        <v>DEMO</v>
      </c>
      <c r="Y82" s="79"/>
    </row>
    <row r="83" spans="2:25" ht="13.8" x14ac:dyDescent="0.25">
      <c r="B83" s="77" t="str">
        <f t="shared" si="23"/>
        <v>TRARPPC_GAS_S05</v>
      </c>
      <c r="C83" s="77" t="str">
        <f t="shared" si="23"/>
        <v>Private Car Second Hand Post Euro 6 GAS</v>
      </c>
      <c r="D83" s="77" t="str">
        <f>Commodities!$C$255</f>
        <v>TRAGASNAT</v>
      </c>
      <c r="E83" s="77" t="str">
        <f>Commodities!$N$6</f>
        <v>TRARPPC</v>
      </c>
      <c r="F83" s="147">
        <f t="shared" si="24"/>
        <v>2025</v>
      </c>
      <c r="G83" s="152">
        <f>F83+5</f>
        <v>2030</v>
      </c>
      <c r="H83" s="146">
        <f t="shared" ref="H83:H91" si="27">H29*$H$56</f>
        <v>516.8904356578646</v>
      </c>
      <c r="I83" s="146"/>
      <c r="J83" s="107"/>
      <c r="K83" s="107"/>
      <c r="L83" s="121">
        <f t="shared" si="25"/>
        <v>19.933433955555557</v>
      </c>
      <c r="M83" s="121">
        <v>0.25</v>
      </c>
      <c r="N83" s="107">
        <f t="shared" si="26"/>
        <v>10</v>
      </c>
      <c r="O83" s="122">
        <v>1E-3</v>
      </c>
      <c r="P83" s="122"/>
      <c r="R83" s="125"/>
      <c r="S83" s="125" t="str">
        <f>Commodities!$N$6&amp;"_H2G_"&amp;$T$3&amp;"_AD"</f>
        <v>TRARPPC_H2G_S_AD</v>
      </c>
      <c r="T83" s="125" t="s">
        <v>957</v>
      </c>
      <c r="U83" s="126" t="str">
        <f t="shared" si="21"/>
        <v>MVkms</v>
      </c>
      <c r="V83" s="126" t="str">
        <f t="shared" si="21"/>
        <v>000s_Units</v>
      </c>
      <c r="W83" s="125"/>
      <c r="X83" s="126" t="str">
        <f t="shared" si="22"/>
        <v>DEMO</v>
      </c>
      <c r="Y83" s="125"/>
    </row>
    <row r="84" spans="2:25" ht="13.8" x14ac:dyDescent="0.25">
      <c r="B84" s="125" t="str">
        <f t="shared" si="23"/>
        <v>TRARPPC_GAS_S_AD</v>
      </c>
      <c r="C84" s="125" t="str">
        <f t="shared" si="23"/>
        <v>Private Car Second Hand Advanced GAS</v>
      </c>
      <c r="D84" s="125" t="str">
        <f>Commodities!$C$255</f>
        <v>TRAGASNAT</v>
      </c>
      <c r="E84" s="125" t="str">
        <f>Commodities!$N$6</f>
        <v>TRARPPC</v>
      </c>
      <c r="F84" s="148">
        <f t="shared" si="24"/>
        <v>2030</v>
      </c>
      <c r="G84" s="125">
        <v>2100</v>
      </c>
      <c r="H84" s="150">
        <f t="shared" si="27"/>
        <v>689.18724754381935</v>
      </c>
      <c r="I84" s="150"/>
      <c r="J84" s="126"/>
      <c r="K84" s="126"/>
      <c r="L84" s="129">
        <f t="shared" si="25"/>
        <v>21.372545066666667</v>
      </c>
      <c r="M84" s="129">
        <v>0.25</v>
      </c>
      <c r="N84" s="126">
        <f t="shared" si="26"/>
        <v>10</v>
      </c>
      <c r="O84" s="130">
        <v>1E-3</v>
      </c>
      <c r="P84" s="131"/>
      <c r="R84" s="153" t="s">
        <v>1200</v>
      </c>
      <c r="S84" s="153" t="s">
        <v>1196</v>
      </c>
      <c r="T84" s="153" t="s">
        <v>1199</v>
      </c>
      <c r="U84" s="154" t="s">
        <v>55</v>
      </c>
      <c r="V84" s="154" t="s">
        <v>62</v>
      </c>
      <c r="W84" s="153"/>
      <c r="X84" s="154"/>
      <c r="Y84" s="153"/>
    </row>
    <row r="85" spans="2:25" ht="13.8" x14ac:dyDescent="0.25">
      <c r="B85" s="77" t="str">
        <f t="shared" si="23"/>
        <v>TRARPPC_HYB_GSL_S01</v>
      </c>
      <c r="C85" s="77" t="str">
        <f t="shared" si="23"/>
        <v>Private Car Second Hand Hybrid GSL</v>
      </c>
      <c r="D85" s="77" t="str">
        <f>Commodities!$C$247</f>
        <v>TRAOILGSL</v>
      </c>
      <c r="E85" s="77" t="str">
        <f>Commodities!$N$6</f>
        <v>TRARPPC</v>
      </c>
      <c r="F85" s="144">
        <f t="shared" si="24"/>
        <v>2020</v>
      </c>
      <c r="G85" s="152">
        <f t="shared" ref="G85:G87" si="28">F85+5</f>
        <v>2025</v>
      </c>
      <c r="H85" s="146">
        <f t="shared" si="27"/>
        <v>437.57920478972653</v>
      </c>
      <c r="I85" s="146"/>
      <c r="J85" s="77"/>
      <c r="K85" s="77"/>
      <c r="L85" s="121">
        <f t="shared" si="25"/>
        <v>19.25521777777778</v>
      </c>
      <c r="M85" s="121">
        <v>0.25</v>
      </c>
      <c r="N85" s="107">
        <f t="shared" si="26"/>
        <v>10</v>
      </c>
      <c r="O85" s="122">
        <v>1E-3</v>
      </c>
      <c r="P85" s="122"/>
      <c r="R85" s="153" t="s">
        <v>1200</v>
      </c>
      <c r="S85" s="153" t="s">
        <v>1202</v>
      </c>
      <c r="T85" s="153" t="s">
        <v>1203</v>
      </c>
      <c r="U85" s="154" t="s">
        <v>1204</v>
      </c>
      <c r="V85" s="126" t="str">
        <f t="shared" ref="V85" si="29">V46</f>
        <v>000s_Units</v>
      </c>
      <c r="W85" s="153"/>
      <c r="X85" s="154"/>
      <c r="Y85" s="153"/>
    </row>
    <row r="86" spans="2:25" ht="13.8" x14ac:dyDescent="0.25">
      <c r="B86" s="77" t="str">
        <f t="shared" si="23"/>
        <v>TRARPPC_HYB_GSL_S_AD</v>
      </c>
      <c r="C86" s="77" t="str">
        <f t="shared" si="23"/>
        <v>Private Car Second Hand Advanced Hybrid GSL</v>
      </c>
      <c r="D86" s="77" t="str">
        <f>Commodities!$C$247</f>
        <v>TRAOILGSL</v>
      </c>
      <c r="E86" s="77" t="str">
        <f>Commodities!$N$6</f>
        <v>TRARPPC</v>
      </c>
      <c r="F86" s="147">
        <f t="shared" si="24"/>
        <v>2030</v>
      </c>
      <c r="G86" s="152">
        <v>2100</v>
      </c>
      <c r="H86" s="146">
        <f t="shared" si="27"/>
        <v>875.15840957945352</v>
      </c>
      <c r="I86" s="146"/>
      <c r="J86" s="77"/>
      <c r="K86" s="77"/>
      <c r="L86" s="121">
        <f t="shared" si="25"/>
        <v>21.231644444444445</v>
      </c>
      <c r="M86" s="121">
        <v>0.25</v>
      </c>
      <c r="N86" s="107">
        <f t="shared" si="26"/>
        <v>10</v>
      </c>
      <c r="O86" s="122">
        <v>1E-3</v>
      </c>
      <c r="P86" s="122"/>
      <c r="R86" s="77" t="s">
        <v>1098</v>
      </c>
      <c r="S86" s="77" t="s">
        <v>1115</v>
      </c>
      <c r="T86" s="77" t="s">
        <v>1101</v>
      </c>
      <c r="U86" s="107" t="s">
        <v>55</v>
      </c>
      <c r="V86" s="107" t="s">
        <v>1099</v>
      </c>
      <c r="W86" s="79" t="s">
        <v>48</v>
      </c>
      <c r="X86" s="119" t="s">
        <v>98</v>
      </c>
      <c r="Y86" s="79"/>
    </row>
    <row r="87" spans="2:25" ht="13.8" x14ac:dyDescent="0.25">
      <c r="B87" s="77" t="str">
        <f t="shared" si="23"/>
        <v>TRARPPC_HYB_DSL_S01</v>
      </c>
      <c r="C87" s="77" t="str">
        <f t="shared" si="23"/>
        <v>Private Car Second Hand Hybrid DSL</v>
      </c>
      <c r="D87" s="77" t="str">
        <f>Commodities!$C$246</f>
        <v>TRAOILDSL</v>
      </c>
      <c r="E87" s="77" t="str">
        <f>Commodities!$N$6</f>
        <v>TRARPPC</v>
      </c>
      <c r="F87" s="147">
        <f t="shared" si="24"/>
        <v>2020</v>
      </c>
      <c r="G87" s="152">
        <f t="shared" si="28"/>
        <v>2025</v>
      </c>
      <c r="H87" s="146">
        <f t="shared" si="27"/>
        <v>549.11340887889412</v>
      </c>
      <c r="I87" s="146"/>
      <c r="J87" s="77"/>
      <c r="K87" s="77"/>
      <c r="L87" s="121">
        <f t="shared" si="25"/>
        <v>22.011050666666666</v>
      </c>
      <c r="M87" s="121">
        <v>0.25</v>
      </c>
      <c r="N87" s="107">
        <f t="shared" si="26"/>
        <v>10</v>
      </c>
      <c r="O87" s="122">
        <v>1E-3</v>
      </c>
      <c r="P87" s="122"/>
      <c r="R87" s="77"/>
      <c r="S87" s="77" t="s">
        <v>1131</v>
      </c>
      <c r="T87" s="77" t="s">
        <v>1132</v>
      </c>
      <c r="U87" s="107" t="s">
        <v>55</v>
      </c>
      <c r="V87" s="107" t="s">
        <v>1099</v>
      </c>
      <c r="W87" s="79" t="s">
        <v>48</v>
      </c>
      <c r="X87" s="119" t="s">
        <v>98</v>
      </c>
      <c r="Y87" s="79"/>
    </row>
    <row r="88" spans="2:25" ht="13.8" x14ac:dyDescent="0.25">
      <c r="B88" s="125" t="str">
        <f>S70</f>
        <v>TRARPPC_HYB_DSL_S_AD</v>
      </c>
      <c r="C88" s="125" t="str">
        <f t="shared" ref="C88" si="30">T70</f>
        <v>Private Car Second Hand Advanced Hybrid DSL</v>
      </c>
      <c r="D88" s="125" t="str">
        <f>Commodities!$C$246</f>
        <v>TRAOILDSL</v>
      </c>
      <c r="E88" s="125" t="str">
        <f>Commodities!$N$6</f>
        <v>TRARPPC</v>
      </c>
      <c r="F88" s="148">
        <f t="shared" si="24"/>
        <v>2030</v>
      </c>
      <c r="G88" s="155">
        <v>2100</v>
      </c>
      <c r="H88" s="150">
        <f t="shared" si="27"/>
        <v>856.61691785107496</v>
      </c>
      <c r="I88" s="150"/>
      <c r="J88" s="125"/>
      <c r="K88" s="125"/>
      <c r="L88" s="129">
        <f t="shared" si="25"/>
        <v>24.028659132275134</v>
      </c>
      <c r="M88" s="129">
        <v>0.3</v>
      </c>
      <c r="N88" s="126">
        <f t="shared" si="26"/>
        <v>10</v>
      </c>
      <c r="O88" s="130">
        <v>1E-3</v>
      </c>
      <c r="P88" s="131"/>
    </row>
    <row r="89" spans="2:25" ht="13.8" x14ac:dyDescent="0.25">
      <c r="B89" s="77" t="str">
        <f t="shared" ref="B89:B101" si="31">S71</f>
        <v>TRARPPC_ELC_S01</v>
      </c>
      <c r="C89" s="77" t="str">
        <f t="shared" ref="C89:C101" si="32">T71</f>
        <v>Private Car Second Hand Electric ELC</v>
      </c>
      <c r="D89" s="77" t="str">
        <f>$S$94</f>
        <v>TRABATRPP</v>
      </c>
      <c r="E89" s="77" t="str">
        <f>Commodities!$N$6</f>
        <v>TRARPPC</v>
      </c>
      <c r="F89" s="147">
        <f t="shared" si="24"/>
        <v>2018</v>
      </c>
      <c r="G89" s="152">
        <f>G35</f>
        <v>2018</v>
      </c>
      <c r="H89" s="146">
        <f t="shared" si="27"/>
        <v>675</v>
      </c>
      <c r="I89" s="146"/>
      <c r="J89" s="77"/>
      <c r="K89" s="77"/>
      <c r="L89" s="121">
        <f t="shared" si="25"/>
        <v>28</v>
      </c>
      <c r="M89" s="121">
        <v>0.5</v>
      </c>
      <c r="N89" s="107">
        <f>N35-$N$57</f>
        <v>10</v>
      </c>
      <c r="O89" s="122">
        <v>1E-3</v>
      </c>
      <c r="P89" s="122"/>
    </row>
    <row r="90" spans="2:25" ht="13.8" x14ac:dyDescent="0.25">
      <c r="B90" s="77" t="str">
        <f t="shared" si="31"/>
        <v>TRARPPC_ELC_S_IM</v>
      </c>
      <c r="C90" s="77" t="str">
        <f t="shared" si="32"/>
        <v>Private Car Second Hand Electric Improved ELC</v>
      </c>
      <c r="D90" s="77" t="str">
        <f>D89</f>
        <v>TRABATRPP</v>
      </c>
      <c r="E90" s="77" t="str">
        <f>Commodities!$N$6</f>
        <v>TRARPPC</v>
      </c>
      <c r="F90" s="147">
        <f t="shared" si="24"/>
        <v>2025</v>
      </c>
      <c r="G90" s="152">
        <v>2025</v>
      </c>
      <c r="H90" s="146">
        <f t="shared" si="27"/>
        <v>900</v>
      </c>
      <c r="I90" s="146"/>
      <c r="J90" s="77"/>
      <c r="K90" s="77"/>
      <c r="L90" s="121">
        <f t="shared" si="25"/>
        <v>28</v>
      </c>
      <c r="M90" s="121">
        <v>0.5</v>
      </c>
      <c r="N90" s="107">
        <f>N36-$N$57</f>
        <v>10</v>
      </c>
      <c r="O90" s="131">
        <v>1E-3</v>
      </c>
      <c r="P90" s="131"/>
    </row>
    <row r="91" spans="2:25" ht="13.8" x14ac:dyDescent="0.25">
      <c r="B91" s="125" t="str">
        <f t="shared" si="31"/>
        <v>TRARPPC_ELC_S_AD</v>
      </c>
      <c r="C91" s="125" t="str">
        <f t="shared" si="32"/>
        <v>Private Car Second Hand Electric Advanced ELC</v>
      </c>
      <c r="D91" s="125" t="str">
        <f>D90</f>
        <v>TRABATRPP</v>
      </c>
      <c r="E91" s="125" t="str">
        <f>Commodities!$N$6</f>
        <v>TRARPPC</v>
      </c>
      <c r="F91" s="148">
        <f t="shared" si="24"/>
        <v>2035</v>
      </c>
      <c r="G91" s="125">
        <v>2100</v>
      </c>
      <c r="H91" s="150">
        <f t="shared" si="27"/>
        <v>1110</v>
      </c>
      <c r="I91" s="150"/>
      <c r="J91" s="125"/>
      <c r="K91" s="125"/>
      <c r="L91" s="129">
        <f t="shared" si="25"/>
        <v>30.8</v>
      </c>
      <c r="M91" s="129">
        <v>0.6</v>
      </c>
      <c r="N91" s="126">
        <f>N37-$N$57</f>
        <v>10</v>
      </c>
      <c r="O91" s="130">
        <v>1E-3</v>
      </c>
      <c r="P91" s="131"/>
      <c r="R91" s="156" t="s">
        <v>7</v>
      </c>
      <c r="S91" s="157"/>
      <c r="T91" s="157"/>
      <c r="U91" s="157"/>
      <c r="V91" s="157"/>
      <c r="W91" s="157"/>
      <c r="X91" s="157"/>
      <c r="Y91" s="157"/>
    </row>
    <row r="92" spans="2:25" ht="13.8" x14ac:dyDescent="0.25">
      <c r="B92" s="77" t="str">
        <f t="shared" si="31"/>
        <v>TRARPPC_E85_S_IM</v>
      </c>
      <c r="C92" s="77" t="str">
        <f t="shared" si="32"/>
        <v>Private Car Second Hand E85 Imp</v>
      </c>
      <c r="D92" s="77" t="str">
        <f>Commodities!$C$350</f>
        <v>TRABIOE85</v>
      </c>
      <c r="E92" s="77" t="str">
        <f>Commodities!$N$6</f>
        <v>TRARPPC</v>
      </c>
      <c r="F92" s="147">
        <f t="shared" ref="F92:F101" si="33">F39</f>
        <v>2025</v>
      </c>
      <c r="G92" s="152">
        <f>F92+5</f>
        <v>2030</v>
      </c>
      <c r="H92" s="146">
        <f t="shared" ref="H92:H101" si="34">H39*$H$56</f>
        <v>492.27660538844248</v>
      </c>
      <c r="I92" s="146"/>
      <c r="J92" s="77"/>
      <c r="K92" s="77"/>
      <c r="L92" s="121">
        <f>L39*$L$56</f>
        <v>16.275295999999997</v>
      </c>
      <c r="M92" s="121">
        <v>0.5</v>
      </c>
      <c r="N92" s="107">
        <f t="shared" ref="N92:N99" si="35">N39-$N$56</f>
        <v>10</v>
      </c>
      <c r="O92" s="131">
        <v>1E-3</v>
      </c>
      <c r="P92" s="131"/>
      <c r="R92" s="108" t="s">
        <v>8</v>
      </c>
      <c r="S92" s="108" t="s">
        <v>6</v>
      </c>
      <c r="T92" s="108" t="s">
        <v>9</v>
      </c>
      <c r="U92" s="109" t="s">
        <v>10</v>
      </c>
      <c r="V92" s="110" t="s">
        <v>11</v>
      </c>
      <c r="W92" s="110" t="s">
        <v>12</v>
      </c>
      <c r="X92" s="110" t="s">
        <v>13</v>
      </c>
      <c r="Y92" s="110" t="s">
        <v>14</v>
      </c>
    </row>
    <row r="93" spans="2:25" ht="14.4" thickBot="1" x14ac:dyDescent="0.3">
      <c r="B93" s="125" t="str">
        <f t="shared" si="31"/>
        <v>TRARPPC_E85_S_AD</v>
      </c>
      <c r="C93" s="125" t="str">
        <f t="shared" si="32"/>
        <v>Private Car Second Hand E85 Adv</v>
      </c>
      <c r="D93" s="125" t="str">
        <f>Commodities!$C$350</f>
        <v>TRABIOE85</v>
      </c>
      <c r="E93" s="125" t="str">
        <f>Commodities!$N$6</f>
        <v>TRARPPC</v>
      </c>
      <c r="F93" s="148">
        <f t="shared" si="33"/>
        <v>2030</v>
      </c>
      <c r="G93" s="125">
        <v>2100</v>
      </c>
      <c r="H93" s="150">
        <f t="shared" si="34"/>
        <v>656.36880718458985</v>
      </c>
      <c r="I93" s="150"/>
      <c r="J93" s="125"/>
      <c r="K93" s="125"/>
      <c r="L93" s="129">
        <f t="shared" ref="L93:L99" si="36">L40*$L$56</f>
        <v>17.570495999999999</v>
      </c>
      <c r="M93" s="129">
        <v>0.6</v>
      </c>
      <c r="N93" s="126">
        <f t="shared" si="35"/>
        <v>10</v>
      </c>
      <c r="O93" s="130">
        <v>1E-3</v>
      </c>
      <c r="P93" s="131"/>
      <c r="R93" s="115" t="s">
        <v>24</v>
      </c>
      <c r="S93" s="115" t="s">
        <v>25</v>
      </c>
      <c r="T93" s="115" t="s">
        <v>26</v>
      </c>
      <c r="U93" s="116" t="s">
        <v>10</v>
      </c>
      <c r="V93" s="115" t="s">
        <v>27</v>
      </c>
      <c r="W93" s="115" t="s">
        <v>28</v>
      </c>
      <c r="X93" s="115" t="s">
        <v>29</v>
      </c>
      <c r="Y93" s="115" t="s">
        <v>30</v>
      </c>
    </row>
    <row r="94" spans="2:25" ht="13.8" x14ac:dyDescent="0.25">
      <c r="B94" s="77" t="str">
        <f t="shared" si="31"/>
        <v>TRARPPC_E100_S_IM</v>
      </c>
      <c r="C94" s="77" t="str">
        <f t="shared" si="32"/>
        <v>Private Car Second Hand E100 Imp</v>
      </c>
      <c r="D94" s="77" t="str">
        <f>Commodities!$C$258</f>
        <v>TRABIOETH</v>
      </c>
      <c r="E94" s="77" t="str">
        <f>Commodities!$N$6</f>
        <v>TRARPPC</v>
      </c>
      <c r="F94" s="147">
        <f t="shared" si="33"/>
        <v>2025</v>
      </c>
      <c r="G94" s="152">
        <f>F94+5</f>
        <v>2030</v>
      </c>
      <c r="H94" s="146">
        <f t="shared" si="34"/>
        <v>492.27660538844248</v>
      </c>
      <c r="I94" s="146"/>
      <c r="J94" s="77"/>
      <c r="K94" s="77"/>
      <c r="L94" s="121">
        <f t="shared" si="36"/>
        <v>16.275295999999997</v>
      </c>
      <c r="M94" s="121">
        <v>0.6</v>
      </c>
      <c r="N94" s="107">
        <f t="shared" si="35"/>
        <v>10</v>
      </c>
      <c r="O94" s="131">
        <v>1E-3</v>
      </c>
      <c r="P94" s="131"/>
      <c r="R94" s="79" t="s">
        <v>98</v>
      </c>
      <c r="S94" s="79" t="s">
        <v>1102</v>
      </c>
      <c r="T94" s="79" t="s">
        <v>1104</v>
      </c>
      <c r="U94" s="79" t="s">
        <v>55</v>
      </c>
      <c r="V94" s="79"/>
      <c r="W94" s="79" t="s">
        <v>48</v>
      </c>
      <c r="X94" s="79"/>
      <c r="Y94" s="79"/>
    </row>
    <row r="95" spans="2:25" ht="13.8" x14ac:dyDescent="0.25">
      <c r="B95" s="125" t="str">
        <f t="shared" si="31"/>
        <v>TRARPPC_E100_S_AD</v>
      </c>
      <c r="C95" s="125" t="str">
        <f t="shared" si="32"/>
        <v>Private Car Second Hand E100 Adv</v>
      </c>
      <c r="D95" s="125" t="str">
        <f>Commodities!$C$258</f>
        <v>TRABIOETH</v>
      </c>
      <c r="E95" s="125" t="str">
        <f>Commodities!$N$6</f>
        <v>TRARPPC</v>
      </c>
      <c r="F95" s="148">
        <f t="shared" si="33"/>
        <v>2030</v>
      </c>
      <c r="G95" s="125">
        <v>2100</v>
      </c>
      <c r="H95" s="150">
        <f t="shared" si="34"/>
        <v>492.27660538844248</v>
      </c>
      <c r="I95" s="150"/>
      <c r="J95" s="125"/>
      <c r="K95" s="125"/>
      <c r="L95" s="129">
        <f t="shared" si="36"/>
        <v>17.570495999999999</v>
      </c>
      <c r="M95" s="129">
        <v>0.6</v>
      </c>
      <c r="N95" s="126">
        <f t="shared" si="35"/>
        <v>10</v>
      </c>
      <c r="O95" s="130">
        <v>1E-3</v>
      </c>
      <c r="P95" s="131"/>
      <c r="R95" s="79"/>
      <c r="S95" s="79" t="s">
        <v>1133</v>
      </c>
      <c r="T95" s="79" t="s">
        <v>1134</v>
      </c>
      <c r="U95" s="79" t="s">
        <v>55</v>
      </c>
      <c r="V95" s="79"/>
      <c r="W95" s="79" t="s">
        <v>48</v>
      </c>
      <c r="X95" s="79"/>
      <c r="Y95" s="79"/>
    </row>
    <row r="96" spans="2:25" ht="13.8" x14ac:dyDescent="0.25">
      <c r="B96" s="77" t="str">
        <f t="shared" si="31"/>
        <v>TRARPPC_B20_S_IM</v>
      </c>
      <c r="C96" s="77" t="str">
        <f t="shared" si="32"/>
        <v>Private Car Second Hand B20 Imp</v>
      </c>
      <c r="D96" s="77" t="str">
        <f>Commodities!$C$349</f>
        <v>TRABIOB20</v>
      </c>
      <c r="E96" s="77" t="str">
        <f>Commodities!$N$6</f>
        <v>TRARPPC</v>
      </c>
      <c r="F96" s="147">
        <f t="shared" si="33"/>
        <v>2025</v>
      </c>
      <c r="G96" s="152">
        <f>F96+5</f>
        <v>2030</v>
      </c>
      <c r="H96" s="146">
        <f t="shared" si="34"/>
        <v>642.46268838830622</v>
      </c>
      <c r="I96" s="146"/>
      <c r="J96" s="77"/>
      <c r="K96" s="77"/>
      <c r="L96" s="121">
        <f t="shared" si="36"/>
        <v>17.702983466666666</v>
      </c>
      <c r="M96" s="121">
        <v>0.6</v>
      </c>
      <c r="N96" s="107">
        <f t="shared" si="35"/>
        <v>10</v>
      </c>
      <c r="O96" s="131">
        <v>1E-3</v>
      </c>
      <c r="P96" s="131"/>
      <c r="R96" s="79"/>
      <c r="S96" s="79" t="s">
        <v>1197</v>
      </c>
      <c r="T96" s="79" t="s">
        <v>1201</v>
      </c>
      <c r="U96" s="79" t="s">
        <v>55</v>
      </c>
      <c r="V96" s="79"/>
      <c r="W96" s="79" t="s">
        <v>48</v>
      </c>
      <c r="X96" s="79"/>
      <c r="Y96" s="79"/>
    </row>
    <row r="97" spans="2:16" ht="13.8" x14ac:dyDescent="0.25">
      <c r="B97" s="125" t="str">
        <f t="shared" si="31"/>
        <v>TRARPPC_B20_S_AD</v>
      </c>
      <c r="C97" s="125" t="str">
        <f t="shared" si="32"/>
        <v>Private Car Second Hand B20 Adv</v>
      </c>
      <c r="D97" s="125" t="str">
        <f>Commodities!$C$349</f>
        <v>TRABIOB20</v>
      </c>
      <c r="E97" s="125" t="str">
        <f>Commodities!$N$6</f>
        <v>TRARPPC</v>
      </c>
      <c r="F97" s="148">
        <f t="shared" si="33"/>
        <v>2030</v>
      </c>
      <c r="G97" s="125">
        <v>2100</v>
      </c>
      <c r="H97" s="150">
        <f t="shared" si="34"/>
        <v>770.95522606596739</v>
      </c>
      <c r="I97" s="150"/>
      <c r="J97" s="125"/>
      <c r="K97" s="125"/>
      <c r="L97" s="129">
        <f>L44*$L$56</f>
        <v>19.153516800000002</v>
      </c>
      <c r="M97" s="129">
        <v>0.6</v>
      </c>
      <c r="N97" s="126">
        <f t="shared" si="35"/>
        <v>10</v>
      </c>
      <c r="O97" s="130">
        <v>1E-3</v>
      </c>
      <c r="P97" s="131"/>
    </row>
    <row r="98" spans="2:16" ht="13.8" x14ac:dyDescent="0.25">
      <c r="B98" s="77" t="str">
        <f t="shared" si="31"/>
        <v>TRARPPC_B100_S_IM</v>
      </c>
      <c r="C98" s="77" t="str">
        <f t="shared" si="32"/>
        <v>Private Car Second Hand B100 Imp</v>
      </c>
      <c r="D98" s="77" t="str">
        <f>Commodities!$C$257</f>
        <v>TRABIODSL</v>
      </c>
      <c r="E98" s="77" t="str">
        <f>Commodities!$N$6</f>
        <v>TRARPPC</v>
      </c>
      <c r="F98" s="147">
        <f t="shared" si="33"/>
        <v>2025</v>
      </c>
      <c r="G98" s="152">
        <f>F98+5</f>
        <v>2030</v>
      </c>
      <c r="H98" s="146">
        <f t="shared" si="34"/>
        <v>642.46268838830622</v>
      </c>
      <c r="I98" s="146"/>
      <c r="J98" s="77"/>
      <c r="K98" s="77"/>
      <c r="L98" s="121">
        <f t="shared" si="36"/>
        <v>17.702983466666666</v>
      </c>
      <c r="M98" s="121">
        <v>0.6</v>
      </c>
      <c r="N98" s="107">
        <f t="shared" si="35"/>
        <v>10</v>
      </c>
      <c r="O98" s="131">
        <v>1E-3</v>
      </c>
      <c r="P98" s="131"/>
    </row>
    <row r="99" spans="2:16" ht="13.8" x14ac:dyDescent="0.25">
      <c r="B99" s="125" t="str">
        <f t="shared" si="31"/>
        <v>TRARPPC_B100_S_AD</v>
      </c>
      <c r="C99" s="125" t="str">
        <f t="shared" si="32"/>
        <v>Private Car Second Hand B100 Adv</v>
      </c>
      <c r="D99" s="125" t="str">
        <f>Commodities!$C$257</f>
        <v>TRABIODSL</v>
      </c>
      <c r="E99" s="125" t="str">
        <f>Commodities!$N$6</f>
        <v>TRARPPC</v>
      </c>
      <c r="F99" s="148">
        <f t="shared" si="33"/>
        <v>2030</v>
      </c>
      <c r="G99" s="125">
        <v>2100</v>
      </c>
      <c r="H99" s="150">
        <f t="shared" si="34"/>
        <v>770.95522606596739</v>
      </c>
      <c r="I99" s="150"/>
      <c r="J99" s="125"/>
      <c r="K99" s="125"/>
      <c r="L99" s="129">
        <f t="shared" si="36"/>
        <v>19.153516800000002</v>
      </c>
      <c r="M99" s="129">
        <v>0.6</v>
      </c>
      <c r="N99" s="126">
        <f t="shared" si="35"/>
        <v>10</v>
      </c>
      <c r="O99" s="130">
        <v>1E-3</v>
      </c>
      <c r="P99" s="131"/>
    </row>
    <row r="100" spans="2:16" ht="13.8" x14ac:dyDescent="0.25">
      <c r="B100" s="77" t="str">
        <f t="shared" si="31"/>
        <v>TRARPPC_H2G_S_IM</v>
      </c>
      <c r="C100" s="77" t="str">
        <f t="shared" si="32"/>
        <v xml:space="preserve">Private Car Second Hand Hydrogen Imp </v>
      </c>
      <c r="D100" s="77" t="s">
        <v>817</v>
      </c>
      <c r="E100" s="77" t="str">
        <f>Commodities!$N$6</f>
        <v>TRARPPC</v>
      </c>
      <c r="F100" s="147">
        <f t="shared" si="33"/>
        <v>2035</v>
      </c>
      <c r="G100" s="79">
        <v>2100</v>
      </c>
      <c r="H100" s="146">
        <f t="shared" si="34"/>
        <v>504.75</v>
      </c>
      <c r="I100" s="146"/>
      <c r="J100" s="77"/>
      <c r="K100" s="77"/>
      <c r="L100" s="121">
        <f>L47*$L$56</f>
        <v>30</v>
      </c>
      <c r="M100" s="121">
        <v>1</v>
      </c>
      <c r="N100" s="107">
        <f>N47-$N$57</f>
        <v>10</v>
      </c>
      <c r="O100" s="131">
        <v>1E-3</v>
      </c>
      <c r="P100" s="131"/>
    </row>
    <row r="101" spans="2:16" ht="13.8" x14ac:dyDescent="0.25">
      <c r="B101" s="125" t="str">
        <f t="shared" si="31"/>
        <v>TRARPPC_H2G_S_AD</v>
      </c>
      <c r="C101" s="125" t="str">
        <f t="shared" si="32"/>
        <v xml:space="preserve">Private Car Second Hand Hydrogen Adv. </v>
      </c>
      <c r="D101" s="125" t="s">
        <v>817</v>
      </c>
      <c r="E101" s="125" t="str">
        <f>Commodities!$N$6</f>
        <v>TRARPPC</v>
      </c>
      <c r="F101" s="148">
        <f t="shared" si="33"/>
        <v>2040</v>
      </c>
      <c r="G101" s="125">
        <v>2100</v>
      </c>
      <c r="H101" s="150">
        <f t="shared" si="34"/>
        <v>513.75</v>
      </c>
      <c r="I101" s="150"/>
      <c r="J101" s="125"/>
      <c r="K101" s="125"/>
      <c r="L101" s="129">
        <f>L48*$L$56</f>
        <v>33</v>
      </c>
      <c r="M101" s="129">
        <v>1</v>
      </c>
      <c r="N101" s="126">
        <f>N48-$N$57</f>
        <v>10</v>
      </c>
      <c r="O101" s="130">
        <v>1E-3</v>
      </c>
      <c r="P101" s="131"/>
    </row>
    <row r="107" spans="2:16" ht="16.5" customHeight="1" x14ac:dyDescent="0.3">
      <c r="B107" s="78" t="s">
        <v>1092</v>
      </c>
      <c r="C107" s="158"/>
      <c r="D107" s="158"/>
      <c r="E107" s="158"/>
      <c r="F107" s="158"/>
      <c r="G107" s="158"/>
      <c r="H107" s="158"/>
      <c r="I107" s="158"/>
    </row>
    <row r="108" spans="2:16" x14ac:dyDescent="0.25">
      <c r="B108" s="158"/>
      <c r="C108" s="158"/>
      <c r="D108" s="158"/>
      <c r="E108" s="158"/>
      <c r="F108" s="158"/>
      <c r="G108" s="158"/>
      <c r="H108" s="158"/>
      <c r="I108" s="158"/>
    </row>
    <row r="109" spans="2:16" x14ac:dyDescent="0.25">
      <c r="D109" s="159"/>
      <c r="E109" s="159" t="s">
        <v>0</v>
      </c>
      <c r="F109" s="160"/>
      <c r="G109" s="160"/>
      <c r="H109" s="160"/>
      <c r="I109" s="160"/>
      <c r="N109" s="89"/>
      <c r="O109" s="137"/>
      <c r="P109" s="137"/>
    </row>
    <row r="110" spans="2:16" ht="13.8" x14ac:dyDescent="0.25">
      <c r="B110" s="90" t="s">
        <v>1</v>
      </c>
      <c r="C110" s="90" t="s">
        <v>3</v>
      </c>
      <c r="D110" s="90" t="s">
        <v>4</v>
      </c>
      <c r="E110" s="91" t="s">
        <v>816</v>
      </c>
      <c r="F110" s="90" t="s">
        <v>15</v>
      </c>
      <c r="G110" s="90" t="s">
        <v>1093</v>
      </c>
      <c r="H110" s="90" t="s">
        <v>1094</v>
      </c>
      <c r="I110" s="90" t="s">
        <v>50</v>
      </c>
      <c r="N110" s="89"/>
      <c r="O110" s="137"/>
      <c r="P110" s="137"/>
    </row>
    <row r="111" spans="2:16" ht="28.2" thickBot="1" x14ac:dyDescent="0.3">
      <c r="B111" s="102" t="s">
        <v>1095</v>
      </c>
      <c r="C111" s="102" t="s">
        <v>36</v>
      </c>
      <c r="D111" s="102" t="s">
        <v>37</v>
      </c>
      <c r="E111" s="103"/>
      <c r="F111" s="102"/>
      <c r="G111" s="102" t="s">
        <v>40</v>
      </c>
      <c r="H111" s="102" t="s">
        <v>1096</v>
      </c>
      <c r="I111" s="102"/>
      <c r="N111" s="89"/>
      <c r="O111" s="137"/>
      <c r="P111" s="137"/>
    </row>
    <row r="112" spans="2:16" ht="13.8" x14ac:dyDescent="0.25">
      <c r="B112" s="112" t="s">
        <v>813</v>
      </c>
      <c r="C112" s="112"/>
      <c r="D112" s="112"/>
      <c r="E112" s="161"/>
      <c r="F112" s="112"/>
      <c r="G112" s="112" t="s">
        <v>1097</v>
      </c>
      <c r="H112" s="112" t="s">
        <v>47</v>
      </c>
      <c r="I112" s="112"/>
      <c r="N112" s="89"/>
      <c r="O112" s="137"/>
      <c r="P112" s="137"/>
    </row>
    <row r="113" spans="1:17" ht="13.8" x14ac:dyDescent="0.25">
      <c r="B113" s="162" t="str">
        <f>S86</f>
        <v>BAT_TRARPPC_N01</v>
      </c>
      <c r="C113" s="77" t="str">
        <f>D140</f>
        <v>TRAELCBAT</v>
      </c>
      <c r="D113" s="77" t="str">
        <f>S94</f>
        <v>TRABATRPP</v>
      </c>
      <c r="E113" s="163">
        <f>F113</f>
        <v>2018</v>
      </c>
      <c r="F113" s="164">
        <f>BASE_YEAR+1</f>
        <v>2018</v>
      </c>
      <c r="G113" s="164">
        <v>0.97</v>
      </c>
      <c r="H113" s="164">
        <v>10</v>
      </c>
      <c r="I113" s="164">
        <v>3.5999999999999999E-3</v>
      </c>
      <c r="N113" s="89"/>
      <c r="O113" s="137"/>
      <c r="P113" s="137"/>
    </row>
    <row r="114" spans="1:17" ht="13.8" x14ac:dyDescent="0.25">
      <c r="B114" s="162" t="str">
        <f>S87</f>
        <v>BAT_TRARPMO_N01</v>
      </c>
      <c r="C114" s="77" t="str">
        <f>C113</f>
        <v>TRAELCBAT</v>
      </c>
      <c r="D114" s="77" t="str">
        <f>S95</f>
        <v>TRABATRPM</v>
      </c>
      <c r="E114" s="163">
        <f>F114</f>
        <v>2030</v>
      </c>
      <c r="F114" s="164">
        <v>2030</v>
      </c>
      <c r="G114" s="164">
        <v>0.95</v>
      </c>
      <c r="H114" s="164">
        <v>10</v>
      </c>
      <c r="I114" s="164">
        <v>3.5999999999999999E-3</v>
      </c>
    </row>
    <row r="121" spans="1:17" ht="17.399999999999999" x14ac:dyDescent="0.3">
      <c r="A121" s="77"/>
      <c r="B121" s="78" t="s">
        <v>820</v>
      </c>
      <c r="C121" s="80"/>
      <c r="D121" s="77"/>
      <c r="E121" s="81"/>
      <c r="F121" s="81"/>
      <c r="G121" s="81"/>
      <c r="H121" s="81"/>
      <c r="I121" s="77"/>
      <c r="J121" s="82"/>
      <c r="K121" s="82"/>
      <c r="L121" s="82"/>
      <c r="M121" s="82"/>
      <c r="N121" s="83"/>
      <c r="O121" s="79"/>
      <c r="P121" s="79"/>
      <c r="Q121" s="89"/>
    </row>
    <row r="122" spans="1:17" ht="13.8" x14ac:dyDescent="0.25">
      <c r="A122" s="77"/>
      <c r="B122" s="77"/>
      <c r="C122" s="77"/>
      <c r="D122" s="77"/>
      <c r="E122" s="86"/>
      <c r="F122" s="87" t="s">
        <v>0</v>
      </c>
      <c r="G122" s="87"/>
      <c r="H122" s="82"/>
      <c r="I122" s="77"/>
      <c r="J122" s="77"/>
      <c r="K122" s="77"/>
      <c r="L122" s="77"/>
      <c r="M122" s="77"/>
      <c r="N122" s="77"/>
      <c r="O122" s="79"/>
      <c r="P122" s="79"/>
    </row>
    <row r="123" spans="1:17" ht="13.8" x14ac:dyDescent="0.25">
      <c r="A123" s="77"/>
      <c r="B123" s="90" t="s">
        <v>1</v>
      </c>
      <c r="C123" s="90" t="s">
        <v>809</v>
      </c>
      <c r="D123" s="90" t="s">
        <v>3</v>
      </c>
      <c r="E123" s="91" t="s">
        <v>4</v>
      </c>
      <c r="F123" s="165" t="s">
        <v>816</v>
      </c>
      <c r="G123" s="92" t="s">
        <v>15</v>
      </c>
      <c r="H123" s="93" t="s">
        <v>17</v>
      </c>
      <c r="I123" s="93" t="s">
        <v>38</v>
      </c>
      <c r="J123" s="93" t="s">
        <v>74</v>
      </c>
      <c r="K123" s="94" t="s">
        <v>43</v>
      </c>
      <c r="L123" s="93" t="s">
        <v>5</v>
      </c>
      <c r="M123" s="93" t="s">
        <v>49</v>
      </c>
      <c r="N123" s="93" t="s">
        <v>50</v>
      </c>
      <c r="O123" s="95"/>
      <c r="P123" s="95"/>
    </row>
    <row r="124" spans="1:17" ht="28.2" thickBot="1" x14ac:dyDescent="0.3">
      <c r="A124" s="77"/>
      <c r="B124" s="102" t="s">
        <v>824</v>
      </c>
      <c r="C124" s="102" t="s">
        <v>32</v>
      </c>
      <c r="D124" s="102" t="s">
        <v>36</v>
      </c>
      <c r="E124" s="103" t="s">
        <v>37</v>
      </c>
      <c r="F124" s="102"/>
      <c r="G124" s="104" t="s">
        <v>42</v>
      </c>
      <c r="H124" s="102" t="s">
        <v>40</v>
      </c>
      <c r="I124" s="102" t="s">
        <v>72</v>
      </c>
      <c r="J124" s="102" t="s">
        <v>75</v>
      </c>
      <c r="K124" s="104" t="s">
        <v>44</v>
      </c>
      <c r="L124" s="102" t="s">
        <v>45</v>
      </c>
      <c r="M124" s="102" t="s">
        <v>79</v>
      </c>
      <c r="N124" s="102" t="s">
        <v>41</v>
      </c>
      <c r="O124" s="105"/>
      <c r="P124" s="105"/>
    </row>
    <row r="125" spans="1:17" ht="13.8" x14ac:dyDescent="0.25">
      <c r="A125" s="77"/>
      <c r="B125" s="112"/>
      <c r="C125" s="113"/>
      <c r="D125" s="113"/>
      <c r="E125" s="113" t="s">
        <v>813</v>
      </c>
      <c r="F125" s="114"/>
      <c r="G125" s="113"/>
      <c r="H125" s="113" t="str">
        <f>General!$D$12</f>
        <v>MVkms/PJ</v>
      </c>
      <c r="I125" s="113" t="str">
        <f>General!$D$14</f>
        <v>km/year</v>
      </c>
      <c r="J125" s="113" t="str">
        <f>General!$D$15</f>
        <v>passenger/vehicle</v>
      </c>
      <c r="K125" s="113" t="str">
        <f>General!$D$30</f>
        <v>000USD/unit</v>
      </c>
      <c r="L125" s="113" t="str">
        <f>General!$D$17</f>
        <v>k$/Unit</v>
      </c>
      <c r="M125" s="113" t="str">
        <f>General!$D$20</f>
        <v>Years</v>
      </c>
      <c r="N125" s="113" t="str">
        <f>General!$D$21</f>
        <v>(milion_vkm)/(thousand_vkm)</v>
      </c>
      <c r="O125" s="105"/>
      <c r="P125" s="105"/>
    </row>
    <row r="126" spans="1:17" ht="13.8" x14ac:dyDescent="0.25">
      <c r="A126" s="77"/>
      <c r="B126" s="77" t="str">
        <f t="shared" ref="B126:C128" si="37">S44</f>
        <v>TRARPMO_GSL_N_ST</v>
      </c>
      <c r="C126" s="77" t="str">
        <f t="shared" si="37"/>
        <v xml:space="preserve">Motorcycles NEW Standard GSL  </v>
      </c>
      <c r="D126" s="77" t="str">
        <f>Commodities!$C$247</f>
        <v>TRAOILGSL</v>
      </c>
      <c r="E126" s="77" t="str">
        <f>Commodities!$N$7</f>
        <v>TRARPMO</v>
      </c>
      <c r="F126" s="147">
        <f>G126</f>
        <v>2018</v>
      </c>
      <c r="G126" s="152">
        <f>BASE_YEAR+1</f>
        <v>2018</v>
      </c>
      <c r="H126" s="120">
        <f>'Reference Data'!K34</f>
        <v>631.75497691516784</v>
      </c>
      <c r="I126" s="77"/>
      <c r="J126" s="77"/>
      <c r="K126" s="120">
        <v>5.8</v>
      </c>
      <c r="L126" s="107">
        <v>0.1</v>
      </c>
      <c r="M126" s="107">
        <v>15</v>
      </c>
      <c r="N126" s="122">
        <v>1E-3</v>
      </c>
      <c r="O126" s="131"/>
      <c r="P126" s="131"/>
    </row>
    <row r="127" spans="1:17" ht="13.8" x14ac:dyDescent="0.25">
      <c r="A127" s="77"/>
      <c r="B127" s="77" t="str">
        <f t="shared" si="37"/>
        <v>TRARPMO_GSL_N_IM</v>
      </c>
      <c r="C127" s="77" t="str">
        <f t="shared" si="37"/>
        <v xml:space="preserve">Motorcycles NEW Improved GSL  </v>
      </c>
      <c r="D127" s="77" t="str">
        <f>Commodities!$C$247</f>
        <v>TRAOILGSL</v>
      </c>
      <c r="E127" s="77" t="str">
        <f>Commodities!$N$7</f>
        <v>TRARPMO</v>
      </c>
      <c r="F127" s="147">
        <f>G127</f>
        <v>2020</v>
      </c>
      <c r="G127" s="152">
        <f>BASE_YEAR+3</f>
        <v>2020</v>
      </c>
      <c r="H127" s="120">
        <f>'Reference Data'!L34</f>
        <v>701.94997435018627</v>
      </c>
      <c r="I127" s="77"/>
      <c r="J127" s="77"/>
      <c r="K127" s="120">
        <v>6.04</v>
      </c>
      <c r="L127" s="107">
        <v>0.1</v>
      </c>
      <c r="M127" s="107">
        <v>15</v>
      </c>
      <c r="N127" s="122">
        <v>1E-3</v>
      </c>
      <c r="O127" s="131"/>
      <c r="P127" s="131"/>
    </row>
    <row r="128" spans="1:17" ht="13.8" x14ac:dyDescent="0.25">
      <c r="A128" s="77"/>
      <c r="B128" s="125" t="str">
        <f t="shared" si="37"/>
        <v>TRARPMO_GSL_N_AD</v>
      </c>
      <c r="C128" s="125" t="str">
        <f t="shared" si="37"/>
        <v xml:space="preserve">Motorcycles NEW Advanced GSL  </v>
      </c>
      <c r="D128" s="125" t="str">
        <f>Commodities!$C$247</f>
        <v>TRAOILGSL</v>
      </c>
      <c r="E128" s="125" t="str">
        <f>Commodities!$N$7</f>
        <v>TRARPMO</v>
      </c>
      <c r="F128" s="148">
        <f>G128</f>
        <v>2026</v>
      </c>
      <c r="G128" s="166">
        <f>BASE_YEAR+9</f>
        <v>2026</v>
      </c>
      <c r="H128" s="128">
        <f>'Reference Data'!M34</f>
        <v>842.33996922022379</v>
      </c>
      <c r="I128" s="125"/>
      <c r="J128" s="125"/>
      <c r="K128" s="128">
        <v>6.3360000000000003</v>
      </c>
      <c r="L128" s="126">
        <v>0.1</v>
      </c>
      <c r="M128" s="126">
        <v>15</v>
      </c>
      <c r="N128" s="130">
        <v>1E-3</v>
      </c>
      <c r="O128" s="131"/>
      <c r="P128" s="131"/>
    </row>
    <row r="129" spans="2:16" ht="13.8" x14ac:dyDescent="0.25">
      <c r="B129" s="125" t="str">
        <f t="shared" ref="B129" si="38">S47</f>
        <v>TRARPMO_ELC_N_AD</v>
      </c>
      <c r="C129" s="125" t="str">
        <f t="shared" ref="C129" si="39">T47</f>
        <v>Motorcycles NEW Advanced Electric</v>
      </c>
      <c r="D129" s="125" t="str">
        <f>D114</f>
        <v>TRABATRPM</v>
      </c>
      <c r="E129" s="125" t="str">
        <f>Commodities!$N$7</f>
        <v>TRARPMO</v>
      </c>
      <c r="F129" s="148">
        <f>G129</f>
        <v>2030</v>
      </c>
      <c r="G129" s="166">
        <v>2030</v>
      </c>
      <c r="H129" s="128">
        <f>H127*0.8</f>
        <v>561.55997948014908</v>
      </c>
      <c r="I129" s="125"/>
      <c r="J129" s="125"/>
      <c r="K129" s="128">
        <f>K128*2</f>
        <v>12.672000000000001</v>
      </c>
      <c r="L129" s="126">
        <v>0.1</v>
      </c>
      <c r="M129" s="126">
        <v>10</v>
      </c>
      <c r="N129" s="130">
        <v>1E-3</v>
      </c>
      <c r="O129" s="137"/>
      <c r="P129" s="137"/>
    </row>
    <row r="133" spans="2:16" ht="17.399999999999999" x14ac:dyDescent="0.3">
      <c r="B133" s="78" t="s">
        <v>1191</v>
      </c>
      <c r="C133" s="137" t="s">
        <v>1208</v>
      </c>
      <c r="D133" s="158"/>
      <c r="E133" s="158"/>
      <c r="F133" s="158"/>
      <c r="G133" s="158"/>
      <c r="H133" s="158"/>
      <c r="I133" s="158"/>
    </row>
    <row r="134" spans="2:16" x14ac:dyDescent="0.25">
      <c r="B134" s="158"/>
      <c r="C134" s="158"/>
      <c r="D134" s="158"/>
      <c r="E134" s="158"/>
      <c r="F134" s="158"/>
      <c r="G134" s="158"/>
      <c r="H134" s="158"/>
      <c r="I134" s="158"/>
    </row>
    <row r="135" spans="2:16" x14ac:dyDescent="0.25">
      <c r="D135" s="159"/>
      <c r="E135" s="159" t="s">
        <v>0</v>
      </c>
      <c r="F135" s="160"/>
      <c r="G135" s="160"/>
      <c r="H135" s="160"/>
      <c r="I135" s="160"/>
    </row>
    <row r="136" spans="2:16" ht="13.8" x14ac:dyDescent="0.25">
      <c r="B136" s="90" t="s">
        <v>1</v>
      </c>
      <c r="C136" s="90" t="s">
        <v>3</v>
      </c>
      <c r="D136" s="90" t="s">
        <v>4</v>
      </c>
      <c r="E136" s="91" t="s">
        <v>816</v>
      </c>
      <c r="F136" s="90" t="s">
        <v>15</v>
      </c>
      <c r="G136" s="167" t="s">
        <v>1192</v>
      </c>
      <c r="H136" s="167" t="s">
        <v>1193</v>
      </c>
      <c r="I136" s="94" t="s">
        <v>43</v>
      </c>
      <c r="J136" s="93" t="s">
        <v>49</v>
      </c>
      <c r="K136" s="90" t="s">
        <v>50</v>
      </c>
      <c r="L136" s="93" t="s">
        <v>38</v>
      </c>
    </row>
    <row r="137" spans="2:16" ht="28.2" thickBot="1" x14ac:dyDescent="0.3">
      <c r="B137" s="102" t="s">
        <v>1095</v>
      </c>
      <c r="C137" s="102" t="s">
        <v>36</v>
      </c>
      <c r="D137" s="102" t="s">
        <v>37</v>
      </c>
      <c r="E137" s="103"/>
      <c r="F137" s="102"/>
      <c r="G137" s="102"/>
      <c r="H137" s="102"/>
      <c r="I137" s="104" t="s">
        <v>44</v>
      </c>
      <c r="J137" s="102" t="s">
        <v>79</v>
      </c>
      <c r="K137" s="102" t="s">
        <v>41</v>
      </c>
      <c r="L137" s="102" t="s">
        <v>1198</v>
      </c>
    </row>
    <row r="138" spans="2:16" ht="14.4" thickBot="1" x14ac:dyDescent="0.3">
      <c r="B138" s="168" t="s">
        <v>813</v>
      </c>
      <c r="C138" s="168"/>
      <c r="D138" s="168"/>
      <c r="E138" s="169"/>
      <c r="F138" s="168"/>
      <c r="G138" s="170" t="s">
        <v>1194</v>
      </c>
      <c r="H138" s="170"/>
      <c r="I138" s="170" t="s">
        <v>1195</v>
      </c>
      <c r="J138" s="170" t="s">
        <v>47</v>
      </c>
      <c r="K138" s="171" t="s">
        <v>80</v>
      </c>
      <c r="L138" s="171"/>
    </row>
    <row r="139" spans="2:16" ht="13.8" x14ac:dyDescent="0.25">
      <c r="B139" s="139" t="s">
        <v>1196</v>
      </c>
      <c r="C139" s="107" t="s">
        <v>800</v>
      </c>
      <c r="D139" s="123"/>
      <c r="E139" s="124">
        <v>2018</v>
      </c>
      <c r="F139" s="119">
        <v>2018</v>
      </c>
      <c r="G139" s="119">
        <v>1</v>
      </c>
      <c r="H139" s="119"/>
      <c r="I139" s="119">
        <f>4000/40</f>
        <v>100</v>
      </c>
      <c r="J139" s="119">
        <v>10</v>
      </c>
      <c r="K139" s="119">
        <v>31.536000000000001</v>
      </c>
      <c r="L139" s="119">
        <f>1/100</f>
        <v>0.01</v>
      </c>
    </row>
    <row r="140" spans="2:16" ht="13.8" x14ac:dyDescent="0.25">
      <c r="B140" s="123"/>
      <c r="C140" s="123"/>
      <c r="D140" s="107" t="s">
        <v>1197</v>
      </c>
      <c r="E140" s="124">
        <v>2018</v>
      </c>
      <c r="F140" s="123"/>
      <c r="G140" s="123"/>
      <c r="H140" s="123">
        <v>1</v>
      </c>
      <c r="I140" s="123"/>
      <c r="J140" s="123"/>
      <c r="K140" s="123"/>
      <c r="L140" s="123"/>
    </row>
    <row r="144" spans="2:16" ht="17.399999999999999" x14ac:dyDescent="0.3">
      <c r="B144" s="78" t="s">
        <v>1205</v>
      </c>
      <c r="C144" s="78"/>
      <c r="D144" s="137" t="s">
        <v>1207</v>
      </c>
      <c r="E144" s="158"/>
      <c r="F144" s="158"/>
      <c r="G144" s="158"/>
      <c r="H144" s="158"/>
      <c r="I144" s="158"/>
    </row>
    <row r="145" spans="2:10" x14ac:dyDescent="0.25">
      <c r="B145" s="158"/>
      <c r="C145" s="158"/>
      <c r="D145" s="158"/>
      <c r="E145" s="158"/>
      <c r="F145" s="158"/>
      <c r="G145" s="158"/>
      <c r="H145" s="158"/>
      <c r="I145" s="158"/>
    </row>
    <row r="146" spans="2:10" x14ac:dyDescent="0.25">
      <c r="C146" s="159"/>
      <c r="D146" s="159" t="s">
        <v>0</v>
      </c>
      <c r="E146" s="160"/>
      <c r="F146" s="160"/>
      <c r="G146" s="160"/>
      <c r="H146" s="160"/>
    </row>
    <row r="147" spans="2:10" ht="13.8" x14ac:dyDescent="0.25">
      <c r="B147" s="90" t="s">
        <v>1</v>
      </c>
      <c r="C147" s="90" t="s">
        <v>4</v>
      </c>
      <c r="D147" s="91" t="s">
        <v>816</v>
      </c>
      <c r="E147" s="90" t="s">
        <v>15</v>
      </c>
      <c r="F147" s="94" t="s">
        <v>43</v>
      </c>
      <c r="G147" s="93" t="s">
        <v>49</v>
      </c>
      <c r="H147" s="93" t="s">
        <v>38</v>
      </c>
      <c r="I147" s="93" t="s">
        <v>74</v>
      </c>
      <c r="J147" s="93" t="s">
        <v>50</v>
      </c>
    </row>
    <row r="148" spans="2:10" ht="28.2" thickBot="1" x14ac:dyDescent="0.3">
      <c r="B148" s="102" t="s">
        <v>1095</v>
      </c>
      <c r="C148" s="102" t="s">
        <v>37</v>
      </c>
      <c r="D148" s="103"/>
      <c r="E148" s="102"/>
      <c r="F148" s="104" t="s">
        <v>44</v>
      </c>
      <c r="G148" s="102" t="s">
        <v>79</v>
      </c>
      <c r="H148" s="102" t="s">
        <v>72</v>
      </c>
      <c r="I148" s="102" t="s">
        <v>75</v>
      </c>
      <c r="J148" s="102" t="s">
        <v>41</v>
      </c>
    </row>
    <row r="149" spans="2:10" ht="28.2" thickBot="1" x14ac:dyDescent="0.3">
      <c r="B149" s="168" t="s">
        <v>813</v>
      </c>
      <c r="C149" s="168"/>
      <c r="D149" s="169"/>
      <c r="E149" s="168"/>
      <c r="F149" s="170" t="s">
        <v>1206</v>
      </c>
      <c r="G149" s="170" t="s">
        <v>47</v>
      </c>
      <c r="H149" s="113" t="s">
        <v>73</v>
      </c>
      <c r="I149" s="113" t="s">
        <v>835</v>
      </c>
      <c r="J149" s="113" t="s">
        <v>898</v>
      </c>
    </row>
    <row r="150" spans="2:10" ht="13.8" x14ac:dyDescent="0.25">
      <c r="B150" s="172" t="s">
        <v>1202</v>
      </c>
      <c r="C150" s="77" t="s">
        <v>100</v>
      </c>
      <c r="D150" s="124">
        <v>2018</v>
      </c>
      <c r="E150" s="173">
        <v>2100</v>
      </c>
      <c r="F150" s="107">
        <v>0.25</v>
      </c>
      <c r="G150" s="107">
        <v>10</v>
      </c>
      <c r="H150" s="77">
        <f>6*200</f>
        <v>1200</v>
      </c>
      <c r="I150" s="77">
        <v>1</v>
      </c>
      <c r="J150" s="122">
        <v>1E-3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B48"/>
  <sheetViews>
    <sheetView zoomScale="70" zoomScaleNormal="70" workbookViewId="0">
      <selection sqref="A1:XFD1048576"/>
    </sheetView>
  </sheetViews>
  <sheetFormatPr defaultRowHeight="13.2" x14ac:dyDescent="0.25"/>
  <cols>
    <col min="1" max="1" width="8.88671875" style="137"/>
    <col min="2" max="2" width="34.109375" style="137" customWidth="1"/>
    <col min="3" max="3" width="61.109375" style="137" customWidth="1"/>
    <col min="4" max="4" width="20" style="137" customWidth="1"/>
    <col min="5" max="5" width="15.6640625" style="137" bestFit="1" customWidth="1"/>
    <col min="6" max="6" width="12.109375" style="137" customWidth="1"/>
    <col min="7" max="7" width="19.33203125" style="137" customWidth="1"/>
    <col min="8" max="8" width="17.33203125" style="137" customWidth="1"/>
    <col min="9" max="9" width="11.33203125" style="137" bestFit="1" customWidth="1"/>
    <col min="10" max="10" width="21.44140625" style="137" bestFit="1" customWidth="1"/>
    <col min="11" max="11" width="22.109375" style="137" customWidth="1"/>
    <col min="12" max="12" width="17" style="137" customWidth="1"/>
    <col min="13" max="13" width="23.44140625" style="137" customWidth="1"/>
    <col min="14" max="14" width="29" style="137" bestFit="1" customWidth="1"/>
    <col min="15" max="18" width="8.88671875" style="137"/>
    <col min="19" max="19" width="13.44140625" style="137" customWidth="1"/>
    <col min="20" max="20" width="31.33203125" style="137" bestFit="1" customWidth="1"/>
    <col min="21" max="21" width="39.109375" style="137" bestFit="1" customWidth="1"/>
    <col min="22" max="22" width="58.6640625" style="137" customWidth="1"/>
    <col min="23" max="23" width="19.44140625" style="137" customWidth="1"/>
    <col min="24" max="24" width="19.109375" style="137" customWidth="1"/>
    <col min="25" max="25" width="21.5546875" style="137" customWidth="1"/>
    <col min="26" max="26" width="24.33203125" style="137" customWidth="1"/>
    <col min="27" max="27" width="20" style="137" customWidth="1"/>
    <col min="28" max="16384" width="8.88671875" style="137"/>
  </cols>
  <sheetData>
    <row r="1" spans="2:28" s="77" customFormat="1" ht="17.399999999999999" x14ac:dyDescent="0.3">
      <c r="B1" s="78" t="s">
        <v>806</v>
      </c>
      <c r="C1" s="78"/>
      <c r="D1" s="78"/>
      <c r="E1" s="78"/>
      <c r="F1" s="78"/>
      <c r="O1" s="79"/>
      <c r="S1" s="77" t="s">
        <v>807</v>
      </c>
    </row>
    <row r="2" spans="2:28" s="77" customFormat="1" ht="17.399999999999999" x14ac:dyDescent="0.3">
      <c r="B2" s="78" t="s">
        <v>1110</v>
      </c>
      <c r="C2" s="78"/>
      <c r="O2" s="79"/>
    </row>
    <row r="3" spans="2:28" ht="13.8" x14ac:dyDescent="0.25">
      <c r="S3" s="84" t="s">
        <v>808</v>
      </c>
      <c r="T3" s="84"/>
      <c r="U3" s="84" t="s">
        <v>819</v>
      </c>
      <c r="V3" s="84"/>
      <c r="W3" s="84"/>
      <c r="X3" s="84"/>
      <c r="Y3" s="84"/>
      <c r="Z3" s="84"/>
      <c r="AA3" s="84"/>
      <c r="AB3" s="77"/>
    </row>
    <row r="4" spans="2:28" ht="13.8" x14ac:dyDescent="0.25">
      <c r="B4" s="77"/>
      <c r="C4" s="77"/>
      <c r="D4" s="77"/>
      <c r="E4" s="86"/>
      <c r="F4" s="87" t="s">
        <v>0</v>
      </c>
      <c r="G4" s="87"/>
      <c r="H4" s="82"/>
      <c r="I4" s="77"/>
      <c r="J4" s="77"/>
      <c r="K4" s="77"/>
      <c r="L4" s="77"/>
      <c r="M4" s="77"/>
      <c r="N4" s="77"/>
      <c r="S4" s="88" t="s">
        <v>18</v>
      </c>
      <c r="T4" s="84"/>
      <c r="U4" s="84"/>
      <c r="V4" s="84"/>
      <c r="W4" s="84"/>
      <c r="X4" s="84"/>
      <c r="Y4" s="84"/>
      <c r="Z4" s="84"/>
      <c r="AA4" s="77"/>
    </row>
    <row r="5" spans="2:28" ht="13.8" x14ac:dyDescent="0.25">
      <c r="B5" s="90" t="s">
        <v>1</v>
      </c>
      <c r="C5" s="90" t="s">
        <v>809</v>
      </c>
      <c r="D5" s="90" t="s">
        <v>3</v>
      </c>
      <c r="E5" s="90" t="s">
        <v>4</v>
      </c>
      <c r="F5" s="91" t="s">
        <v>816</v>
      </c>
      <c r="G5" s="92" t="s">
        <v>15</v>
      </c>
      <c r="H5" s="93" t="s">
        <v>17</v>
      </c>
      <c r="I5" s="93" t="s">
        <v>38</v>
      </c>
      <c r="J5" s="93" t="s">
        <v>74</v>
      </c>
      <c r="K5" s="93" t="s">
        <v>43</v>
      </c>
      <c r="L5" s="93" t="s">
        <v>5</v>
      </c>
      <c r="M5" s="93" t="s">
        <v>49</v>
      </c>
      <c r="N5" s="93" t="s">
        <v>50</v>
      </c>
      <c r="S5" s="96" t="s">
        <v>16</v>
      </c>
      <c r="T5" s="96" t="s">
        <v>1</v>
      </c>
      <c r="U5" s="96" t="s">
        <v>2</v>
      </c>
      <c r="V5" s="96" t="s">
        <v>19</v>
      </c>
      <c r="W5" s="96" t="s">
        <v>20</v>
      </c>
      <c r="X5" s="96" t="s">
        <v>21</v>
      </c>
      <c r="Y5" s="96" t="s">
        <v>22</v>
      </c>
      <c r="Z5" s="96" t="s">
        <v>23</v>
      </c>
      <c r="AA5" s="77"/>
    </row>
    <row r="6" spans="2:28" ht="29.25" customHeight="1" thickBot="1" x14ac:dyDescent="0.3">
      <c r="B6" s="102" t="s">
        <v>824</v>
      </c>
      <c r="C6" s="102" t="s">
        <v>32</v>
      </c>
      <c r="D6" s="102" t="s">
        <v>36</v>
      </c>
      <c r="E6" s="102" t="s">
        <v>37</v>
      </c>
      <c r="F6" s="103"/>
      <c r="G6" s="104" t="s">
        <v>42</v>
      </c>
      <c r="H6" s="102" t="s">
        <v>40</v>
      </c>
      <c r="I6" s="102" t="s">
        <v>72</v>
      </c>
      <c r="J6" s="102" t="s">
        <v>75</v>
      </c>
      <c r="K6" s="104" t="s">
        <v>44</v>
      </c>
      <c r="L6" s="102" t="s">
        <v>45</v>
      </c>
      <c r="M6" s="102" t="s">
        <v>79</v>
      </c>
      <c r="N6" s="102" t="s">
        <v>41</v>
      </c>
      <c r="S6" s="106" t="s">
        <v>810</v>
      </c>
      <c r="T6" s="106" t="s">
        <v>31</v>
      </c>
      <c r="U6" s="106" t="s">
        <v>32</v>
      </c>
      <c r="V6" s="106" t="s">
        <v>33</v>
      </c>
      <c r="W6" s="106" t="s">
        <v>34</v>
      </c>
      <c r="X6" s="106" t="s">
        <v>811</v>
      </c>
      <c r="Y6" s="106" t="s">
        <v>812</v>
      </c>
      <c r="Z6" s="106" t="s">
        <v>35</v>
      </c>
      <c r="AA6" s="107"/>
    </row>
    <row r="7" spans="2:28" ht="13.8" x14ac:dyDescent="0.25">
      <c r="B7" s="112"/>
      <c r="C7" s="113"/>
      <c r="D7" s="113"/>
      <c r="E7" s="113" t="s">
        <v>813</v>
      </c>
      <c r="F7" s="114"/>
      <c r="G7" s="113"/>
      <c r="H7" s="113" t="str">
        <f>General!$D$12</f>
        <v>MVkms/PJ</v>
      </c>
      <c r="I7" s="113" t="str">
        <f>General!$D$14</f>
        <v>km/year</v>
      </c>
      <c r="J7" s="113" t="str">
        <f>General!$D$15</f>
        <v>passenger/vehicle</v>
      </c>
      <c r="K7" s="113" t="str">
        <f>General!$D$30</f>
        <v>000USD/unit</v>
      </c>
      <c r="L7" s="113" t="str">
        <f>General!$D$17</f>
        <v>k$/Unit</v>
      </c>
      <c r="M7" s="113" t="str">
        <f>General!$D$20</f>
        <v>Years</v>
      </c>
      <c r="N7" s="113" t="str">
        <f>General!$D$21</f>
        <v>(milion_vkm)/(thousand_vkm)</v>
      </c>
      <c r="S7" s="79" t="s">
        <v>814</v>
      </c>
      <c r="T7" s="77" t="str">
        <f>Commodities!$N$8&amp;"_"&amp;RIGHT(Commodities!$C$249,3)&amp;"_"&amp;$U$3&amp;"03"</f>
        <v>TRARPBU_LPG_N03</v>
      </c>
      <c r="U7" s="77" t="s">
        <v>1071</v>
      </c>
      <c r="V7" s="107" t="str">
        <f>General!$D$28</f>
        <v>MVkms</v>
      </c>
      <c r="W7" s="107" t="str">
        <f>General!$D$11</f>
        <v>000s_Units</v>
      </c>
      <c r="X7" s="77"/>
      <c r="Y7" s="107" t="s">
        <v>815</v>
      </c>
      <c r="Z7" s="77"/>
      <c r="AA7" s="77"/>
    </row>
    <row r="8" spans="2:28" ht="13.8" x14ac:dyDescent="0.25">
      <c r="B8" s="77" t="str">
        <f>T7</f>
        <v>TRARPBU_LPG_N03</v>
      </c>
      <c r="C8" s="77" t="str">
        <f>U7</f>
        <v>Bus NEW Euro 4&amp;5 LPG</v>
      </c>
      <c r="D8" s="77" t="str">
        <f>Commodities!$C$249</f>
        <v>TRAOILLPG</v>
      </c>
      <c r="E8" s="77" t="str">
        <f>Commodities!$N$8</f>
        <v>TRARPBU</v>
      </c>
      <c r="F8" s="144">
        <f t="shared" ref="F8:F30" si="0">G8</f>
        <v>2018</v>
      </c>
      <c r="G8" s="152">
        <f>BASE_YEAR+1</f>
        <v>2018</v>
      </c>
      <c r="H8" s="120">
        <v>120</v>
      </c>
      <c r="I8" s="77"/>
      <c r="J8" s="77"/>
      <c r="K8" s="134">
        <f>195*(1/0.9)</f>
        <v>216.66666666666669</v>
      </c>
      <c r="L8" s="107">
        <v>1.5</v>
      </c>
      <c r="M8" s="107">
        <v>25</v>
      </c>
      <c r="N8" s="122">
        <v>1E-3</v>
      </c>
      <c r="S8" s="77"/>
      <c r="T8" s="77" t="str">
        <f>Commodities!$N$8&amp;"_"&amp;RIGHT(Commodities!$C$249,3)&amp;"_"&amp;$U$3&amp;"04"</f>
        <v>TRARPBU_LPG_N04</v>
      </c>
      <c r="U8" s="77" t="s">
        <v>1072</v>
      </c>
      <c r="V8" s="107" t="str">
        <f>General!$D$28</f>
        <v>MVkms</v>
      </c>
      <c r="W8" s="107" t="str">
        <f>General!$D$11</f>
        <v>000s_Units</v>
      </c>
      <c r="X8" s="77"/>
      <c r="Y8" s="107" t="s">
        <v>815</v>
      </c>
      <c r="Z8" s="77"/>
      <c r="AA8" s="77"/>
    </row>
    <row r="9" spans="2:28" ht="13.8" x14ac:dyDescent="0.25">
      <c r="B9" s="77" t="str">
        <f t="shared" ref="B9:B31" si="1">T8</f>
        <v>TRARPBU_LPG_N04</v>
      </c>
      <c r="C9" s="77" t="str">
        <f t="shared" ref="C9:C31" si="2">U8</f>
        <v>Bus NEW Euro 6 LPG</v>
      </c>
      <c r="D9" s="77" t="str">
        <f>Commodities!$C$249</f>
        <v>TRAOILLPG</v>
      </c>
      <c r="E9" s="77" t="str">
        <f>Commodities!$N$8</f>
        <v>TRARPBU</v>
      </c>
      <c r="F9" s="147">
        <f t="shared" si="0"/>
        <v>2020</v>
      </c>
      <c r="G9" s="152">
        <f>BASE_YEAR+3</f>
        <v>2020</v>
      </c>
      <c r="H9" s="120">
        <f>H8*1.05</f>
        <v>126</v>
      </c>
      <c r="I9" s="77"/>
      <c r="J9" s="77"/>
      <c r="K9" s="138">
        <f>K8*1.05</f>
        <v>227.50000000000003</v>
      </c>
      <c r="L9" s="107">
        <v>1.5</v>
      </c>
      <c r="M9" s="107">
        <v>25</v>
      </c>
      <c r="N9" s="122">
        <v>1E-3</v>
      </c>
      <c r="S9" s="77"/>
      <c r="T9" s="77" t="str">
        <f>Commodities!$N$8&amp;"_"&amp;RIGHT(Commodities!$C$249,3)&amp;"_"&amp;$U$3&amp;"05"</f>
        <v>TRARPBU_LPG_N05</v>
      </c>
      <c r="U9" s="77" t="s">
        <v>1073</v>
      </c>
      <c r="V9" s="107" t="str">
        <f>General!$D$28</f>
        <v>MVkms</v>
      </c>
      <c r="W9" s="107" t="str">
        <f>General!$D$11</f>
        <v>000s_Units</v>
      </c>
      <c r="X9" s="77"/>
      <c r="Y9" s="107" t="s">
        <v>815</v>
      </c>
      <c r="Z9" s="77"/>
      <c r="AA9" s="77"/>
    </row>
    <row r="10" spans="2:28" ht="13.8" x14ac:dyDescent="0.25">
      <c r="B10" s="77" t="str">
        <f t="shared" si="1"/>
        <v>TRARPBU_LPG_N05</v>
      </c>
      <c r="C10" s="77" t="str">
        <f t="shared" si="2"/>
        <v>Bus NEW Post Euro 6 LPG</v>
      </c>
      <c r="D10" s="77" t="str">
        <f>Commodities!$C$249</f>
        <v>TRAOILLPG</v>
      </c>
      <c r="E10" s="77" t="str">
        <f>Commodities!$N$8</f>
        <v>TRARPBU</v>
      </c>
      <c r="F10" s="147">
        <f t="shared" si="0"/>
        <v>2025</v>
      </c>
      <c r="G10" s="79">
        <f>BASE_YEAR+8</f>
        <v>2025</v>
      </c>
      <c r="H10" s="120">
        <f>H9*1.05</f>
        <v>132.30000000000001</v>
      </c>
      <c r="I10" s="77"/>
      <c r="J10" s="77"/>
      <c r="K10" s="138">
        <f>K9*1.05</f>
        <v>238.87500000000003</v>
      </c>
      <c r="L10" s="107">
        <v>1.5</v>
      </c>
      <c r="M10" s="107">
        <v>25</v>
      </c>
      <c r="N10" s="122">
        <v>1E-3</v>
      </c>
      <c r="S10" s="125"/>
      <c r="T10" s="125" t="str">
        <f>Commodities!$N$8&amp;"_"&amp;RIGHT(Commodities!$C$249,3)&amp;"_"&amp;$U$3&amp;"_AD"</f>
        <v>TRARPBU_LPG_N_AD</v>
      </c>
      <c r="U10" s="125" t="s">
        <v>1074</v>
      </c>
      <c r="V10" s="126" t="str">
        <f>General!$D$28</f>
        <v>MVkms</v>
      </c>
      <c r="W10" s="126" t="str">
        <f>General!$D$11</f>
        <v>000s_Units</v>
      </c>
      <c r="X10" s="125"/>
      <c r="Y10" s="126" t="s">
        <v>815</v>
      </c>
      <c r="Z10" s="125"/>
      <c r="AA10" s="77"/>
    </row>
    <row r="11" spans="2:28" ht="13.8" x14ac:dyDescent="0.25">
      <c r="B11" s="125" t="str">
        <f t="shared" si="1"/>
        <v>TRARPBU_LPG_N_AD</v>
      </c>
      <c r="C11" s="125" t="str">
        <f t="shared" si="2"/>
        <v>Bus NEW Advanced LPG</v>
      </c>
      <c r="D11" s="125" t="str">
        <f>Commodities!$C$249</f>
        <v>TRAOILLPG</v>
      </c>
      <c r="E11" s="125" t="str">
        <f>Commodities!$N$8</f>
        <v>TRARPBU</v>
      </c>
      <c r="F11" s="148">
        <f t="shared" si="0"/>
        <v>2030</v>
      </c>
      <c r="G11" s="125">
        <f>BASE_YEAR+13</f>
        <v>2030</v>
      </c>
      <c r="H11" s="128">
        <f>H10*1.05</f>
        <v>138.91500000000002</v>
      </c>
      <c r="I11" s="125"/>
      <c r="J11" s="125"/>
      <c r="K11" s="128">
        <f>K10*1.05</f>
        <v>250.81875000000005</v>
      </c>
      <c r="L11" s="126">
        <v>1.5</v>
      </c>
      <c r="M11" s="126">
        <v>20</v>
      </c>
      <c r="N11" s="130">
        <v>1E-3</v>
      </c>
      <c r="S11" s="79"/>
      <c r="T11" s="77" t="str">
        <f>Commodities!$N$8&amp;"_"&amp;RIGHT(Commodities!$C$246,3)&amp;"_"&amp;$U$3&amp;"03"</f>
        <v>TRARPBU_DSL_N03</v>
      </c>
      <c r="U11" s="77" t="s">
        <v>1075</v>
      </c>
      <c r="V11" s="107" t="str">
        <f>General!$D$28</f>
        <v>MVkms</v>
      </c>
      <c r="W11" s="107" t="str">
        <f>General!$D$11</f>
        <v>000s_Units</v>
      </c>
      <c r="X11" s="77"/>
      <c r="Y11" s="107" t="s">
        <v>815</v>
      </c>
      <c r="Z11" s="77"/>
      <c r="AA11" s="77"/>
    </row>
    <row r="12" spans="2:28" ht="13.8" x14ac:dyDescent="0.25">
      <c r="B12" s="77" t="str">
        <f t="shared" si="1"/>
        <v>TRARPBU_DSL_N03</v>
      </c>
      <c r="C12" s="77" t="str">
        <f t="shared" si="2"/>
        <v>Bus NEW Euro 4&amp;5 DSL</v>
      </c>
      <c r="D12" s="77" t="str">
        <f>Commodities!$C$246</f>
        <v>TRAOILDSL</v>
      </c>
      <c r="E12" s="77" t="str">
        <f>Commodities!$N$8</f>
        <v>TRARPBU</v>
      </c>
      <c r="F12" s="144">
        <f t="shared" si="0"/>
        <v>2018</v>
      </c>
      <c r="G12" s="152">
        <f>BASE_YEAR+1</f>
        <v>2018</v>
      </c>
      <c r="H12" s="134">
        <v>120.3</v>
      </c>
      <c r="I12" s="77"/>
      <c r="J12" s="77"/>
      <c r="K12" s="134">
        <f>180*(1/0.9)</f>
        <v>200</v>
      </c>
      <c r="L12" s="120">
        <v>1.5</v>
      </c>
      <c r="M12" s="107">
        <v>25</v>
      </c>
      <c r="N12" s="122">
        <v>1E-3</v>
      </c>
      <c r="S12" s="77"/>
      <c r="T12" s="77" t="str">
        <f>Commodities!$N$8&amp;"_"&amp;RIGHT(Commodities!$C$246,3)&amp;"_"&amp;$U$3&amp;"04"</f>
        <v>TRARPBU_DSL_N04</v>
      </c>
      <c r="U12" s="77" t="s">
        <v>1076</v>
      </c>
      <c r="V12" s="107" t="str">
        <f>General!$D$28</f>
        <v>MVkms</v>
      </c>
      <c r="W12" s="107" t="str">
        <f>General!$D$11</f>
        <v>000s_Units</v>
      </c>
      <c r="X12" s="77"/>
      <c r="Y12" s="107" t="s">
        <v>815</v>
      </c>
      <c r="Z12" s="77"/>
    </row>
    <row r="13" spans="2:28" ht="13.8" x14ac:dyDescent="0.25">
      <c r="B13" s="77" t="str">
        <f t="shared" si="1"/>
        <v>TRARPBU_DSL_N04</v>
      </c>
      <c r="C13" s="77" t="str">
        <f t="shared" si="2"/>
        <v>Bus NEW Euro 6 DSL</v>
      </c>
      <c r="D13" s="77" t="str">
        <f>Commodities!$C$246</f>
        <v>TRAOILDSL</v>
      </c>
      <c r="E13" s="77" t="str">
        <f>Commodities!$N$8</f>
        <v>TRARPBU</v>
      </c>
      <c r="F13" s="147">
        <f t="shared" si="0"/>
        <v>2020</v>
      </c>
      <c r="G13" s="152">
        <f>BASE_YEAR+3</f>
        <v>2020</v>
      </c>
      <c r="H13" s="138">
        <f>H12*1.05</f>
        <v>126.315</v>
      </c>
      <c r="I13" s="77"/>
      <c r="J13" s="77"/>
      <c r="K13" s="138">
        <f>K12*1.05</f>
        <v>210</v>
      </c>
      <c r="L13" s="120">
        <v>1.5</v>
      </c>
      <c r="M13" s="107">
        <v>25</v>
      </c>
      <c r="N13" s="122">
        <v>1E-3</v>
      </c>
      <c r="S13" s="77"/>
      <c r="T13" s="77" t="str">
        <f>Commodities!$N$8&amp;"_"&amp;RIGHT(Commodities!$C$246,3)&amp;"_"&amp;$U$3&amp;"05"</f>
        <v>TRARPBU_DSL_N05</v>
      </c>
      <c r="U13" s="77" t="s">
        <v>1077</v>
      </c>
      <c r="V13" s="107" t="str">
        <f>General!$D$28</f>
        <v>MVkms</v>
      </c>
      <c r="W13" s="107" t="str">
        <f>General!$D$11</f>
        <v>000s_Units</v>
      </c>
      <c r="X13" s="77"/>
      <c r="Y13" s="107" t="s">
        <v>815</v>
      </c>
      <c r="Z13" s="77"/>
    </row>
    <row r="14" spans="2:28" ht="13.8" x14ac:dyDescent="0.25">
      <c r="B14" s="77" t="str">
        <f t="shared" si="1"/>
        <v>TRARPBU_DSL_N05</v>
      </c>
      <c r="C14" s="77" t="str">
        <f t="shared" si="2"/>
        <v>Bus NEW Post Euro 6 DSL</v>
      </c>
      <c r="D14" s="77" t="str">
        <f>Commodities!$C$246</f>
        <v>TRAOILDSL</v>
      </c>
      <c r="E14" s="77" t="str">
        <f>Commodities!$N$8</f>
        <v>TRARPBU</v>
      </c>
      <c r="F14" s="147">
        <f t="shared" si="0"/>
        <v>2025</v>
      </c>
      <c r="G14" s="79">
        <f>BASE_YEAR+8</f>
        <v>2025</v>
      </c>
      <c r="H14" s="138">
        <f>H13*1.05</f>
        <v>132.63075000000001</v>
      </c>
      <c r="I14" s="77"/>
      <c r="J14" s="77"/>
      <c r="K14" s="138">
        <f>K13*1.05</f>
        <v>220.5</v>
      </c>
      <c r="L14" s="120">
        <v>1.5</v>
      </c>
      <c r="M14" s="107">
        <v>25</v>
      </c>
      <c r="N14" s="122">
        <v>1E-3</v>
      </c>
      <c r="S14" s="125"/>
      <c r="T14" s="125" t="str">
        <f>Commodities!$N$8&amp;"_"&amp;RIGHT(Commodities!$C$246,3)&amp;"_"&amp;$U$3&amp;"_AD"</f>
        <v>TRARPBU_DSL_N_AD</v>
      </c>
      <c r="U14" s="125" t="s">
        <v>1078</v>
      </c>
      <c r="V14" s="126" t="str">
        <f>General!$D$28</f>
        <v>MVkms</v>
      </c>
      <c r="W14" s="126" t="str">
        <f>General!$D$11</f>
        <v>000s_Units</v>
      </c>
      <c r="X14" s="125"/>
      <c r="Y14" s="126" t="s">
        <v>815</v>
      </c>
      <c r="Z14" s="125"/>
    </row>
    <row r="15" spans="2:28" ht="13.8" x14ac:dyDescent="0.25">
      <c r="B15" s="125" t="str">
        <f t="shared" si="1"/>
        <v>TRARPBU_DSL_N_AD</v>
      </c>
      <c r="C15" s="125" t="str">
        <f t="shared" si="2"/>
        <v>Bus NEW Advanced DSL</v>
      </c>
      <c r="D15" s="125" t="str">
        <f>Commodities!$C$246</f>
        <v>TRAOILDSL</v>
      </c>
      <c r="E15" s="125" t="str">
        <f>Commodities!$N$8</f>
        <v>TRARPBU</v>
      </c>
      <c r="F15" s="148">
        <f t="shared" si="0"/>
        <v>2030</v>
      </c>
      <c r="G15" s="125">
        <f>BASE_YEAR+13</f>
        <v>2030</v>
      </c>
      <c r="H15" s="128">
        <f>H14*1.05</f>
        <v>139.26228750000001</v>
      </c>
      <c r="I15" s="125"/>
      <c r="J15" s="125"/>
      <c r="K15" s="128">
        <f>K14*1.05</f>
        <v>231.52500000000001</v>
      </c>
      <c r="L15" s="128">
        <v>1.5</v>
      </c>
      <c r="M15" s="126">
        <v>25</v>
      </c>
      <c r="N15" s="130">
        <v>1E-3</v>
      </c>
      <c r="S15" s="77"/>
      <c r="T15" s="77" t="str">
        <f>Commodities!$N$8&amp;"_"&amp;LEFT(RIGHT(Commodities!$C$255,6),3)&amp;"_"&amp;$U$3&amp;"04"</f>
        <v>TRARPBU_GAS_N04</v>
      </c>
      <c r="U15" s="77" t="s">
        <v>1079</v>
      </c>
      <c r="V15" s="107" t="str">
        <f>General!$D$28</f>
        <v>MVkms</v>
      </c>
      <c r="W15" s="107" t="str">
        <f>General!$D$11</f>
        <v>000s_Units</v>
      </c>
      <c r="X15" s="77"/>
      <c r="Y15" s="107" t="s">
        <v>815</v>
      </c>
      <c r="Z15" s="77"/>
    </row>
    <row r="16" spans="2:28" ht="13.8" x14ac:dyDescent="0.25">
      <c r="B16" s="77" t="str">
        <f t="shared" si="1"/>
        <v>TRARPBU_GAS_N04</v>
      </c>
      <c r="C16" s="77" t="str">
        <f t="shared" si="2"/>
        <v>Bus NEW Euro 6 GAS</v>
      </c>
      <c r="D16" s="77" t="str">
        <f>Commodities!$C$255</f>
        <v>TRAGASNAT</v>
      </c>
      <c r="E16" s="77" t="str">
        <f>Commodities!$N$8</f>
        <v>TRARPBU</v>
      </c>
      <c r="F16" s="147">
        <f t="shared" si="0"/>
        <v>2020</v>
      </c>
      <c r="G16" s="152">
        <f>BASE_YEAR+3</f>
        <v>2020</v>
      </c>
      <c r="H16" s="120">
        <v>122</v>
      </c>
      <c r="I16" s="77"/>
      <c r="J16" s="77"/>
      <c r="K16" s="120">
        <f>195*(1/0.9)</f>
        <v>216.66666666666669</v>
      </c>
      <c r="L16" s="120">
        <v>1.5</v>
      </c>
      <c r="M16" s="107">
        <v>25</v>
      </c>
      <c r="N16" s="122">
        <v>1E-3</v>
      </c>
      <c r="S16" s="77"/>
      <c r="T16" s="77" t="str">
        <f>Commodities!$N$8&amp;"_"&amp;LEFT(RIGHT(Commodities!$C$255,6),3)&amp;"_"&amp;$U$3&amp;"05"</f>
        <v>TRARPBU_GAS_N05</v>
      </c>
      <c r="U16" s="77" t="s">
        <v>1080</v>
      </c>
      <c r="V16" s="107" t="str">
        <f>General!$D$28</f>
        <v>MVkms</v>
      </c>
      <c r="W16" s="107" t="str">
        <f>General!$D$11</f>
        <v>000s_Units</v>
      </c>
      <c r="X16" s="77"/>
      <c r="Y16" s="107" t="s">
        <v>815</v>
      </c>
      <c r="Z16" s="77"/>
    </row>
    <row r="17" spans="1:26" ht="13.8" x14ac:dyDescent="0.25">
      <c r="B17" s="77" t="str">
        <f t="shared" si="1"/>
        <v>TRARPBU_GAS_N05</v>
      </c>
      <c r="C17" s="77" t="str">
        <f t="shared" si="2"/>
        <v>Bus NEW Post Euro 6 GAS</v>
      </c>
      <c r="D17" s="77" t="str">
        <f>Commodities!$C$255</f>
        <v>TRAGASNAT</v>
      </c>
      <c r="E17" s="77" t="str">
        <f>Commodities!$N$8</f>
        <v>TRARPBU</v>
      </c>
      <c r="F17" s="147">
        <f t="shared" si="0"/>
        <v>2025</v>
      </c>
      <c r="G17" s="79">
        <f>BASE_YEAR+8</f>
        <v>2025</v>
      </c>
      <c r="H17" s="120">
        <f>H16*1.05</f>
        <v>128.1</v>
      </c>
      <c r="I17" s="77"/>
      <c r="J17" s="77"/>
      <c r="K17" s="120">
        <f>K16*1.05</f>
        <v>227.50000000000003</v>
      </c>
      <c r="L17" s="120">
        <v>1.5</v>
      </c>
      <c r="M17" s="107">
        <v>25</v>
      </c>
      <c r="N17" s="122">
        <v>1E-3</v>
      </c>
      <c r="S17" s="125"/>
      <c r="T17" s="125" t="str">
        <f>Commodities!$N$8&amp;"_"&amp;LEFT(RIGHT(Commodities!$C$255,6),3)&amp;"_"&amp;$U$3&amp;"_AD"</f>
        <v>TRARPBU_GAS_N_AD</v>
      </c>
      <c r="U17" s="125" t="s">
        <v>1081</v>
      </c>
      <c r="V17" s="126" t="str">
        <f>General!$D$28</f>
        <v>MVkms</v>
      </c>
      <c r="W17" s="126" t="str">
        <f>General!$D$11</f>
        <v>000s_Units</v>
      </c>
      <c r="X17" s="125"/>
      <c r="Y17" s="126" t="s">
        <v>815</v>
      </c>
      <c r="Z17" s="125"/>
    </row>
    <row r="18" spans="1:26" ht="13.8" x14ac:dyDescent="0.25">
      <c r="B18" s="125" t="str">
        <f t="shared" si="1"/>
        <v>TRARPBU_GAS_N_AD</v>
      </c>
      <c r="C18" s="125" t="str">
        <f t="shared" si="2"/>
        <v>Bus NEW Advanced GAS</v>
      </c>
      <c r="D18" s="125" t="str">
        <f>Commodities!$C$255</f>
        <v>TRAGASNAT</v>
      </c>
      <c r="E18" s="125" t="str">
        <f>Commodities!$N$8</f>
        <v>TRARPBU</v>
      </c>
      <c r="F18" s="148">
        <f>G18</f>
        <v>2030</v>
      </c>
      <c r="G18" s="125">
        <f>BASE_YEAR+13</f>
        <v>2030</v>
      </c>
      <c r="H18" s="128">
        <f>H17*1.05</f>
        <v>134.505</v>
      </c>
      <c r="I18" s="125"/>
      <c r="J18" s="125"/>
      <c r="K18" s="128">
        <f>K17*1.05</f>
        <v>238.87500000000003</v>
      </c>
      <c r="L18" s="128">
        <v>1.5</v>
      </c>
      <c r="M18" s="126">
        <v>25</v>
      </c>
      <c r="N18" s="130">
        <v>1E-3</v>
      </c>
      <c r="S18" s="77"/>
      <c r="T18" s="77" t="str">
        <f>Commodities!$N$8&amp;"_HYB_"&amp;RIGHT(Commodities!$C$246,3)&amp;"_"&amp;$U$3&amp;"01"</f>
        <v>TRARPBU_HYB_DSL_N01</v>
      </c>
      <c r="U18" s="77" t="s">
        <v>1082</v>
      </c>
      <c r="V18" s="107" t="str">
        <f>General!$D$28</f>
        <v>MVkms</v>
      </c>
      <c r="W18" s="107" t="str">
        <f>General!$D$11</f>
        <v>000s_Units</v>
      </c>
      <c r="X18" s="79"/>
      <c r="Y18" s="119" t="s">
        <v>815</v>
      </c>
      <c r="Z18" s="77"/>
    </row>
    <row r="19" spans="1:26" ht="13.8" x14ac:dyDescent="0.25">
      <c r="B19" s="79" t="str">
        <f t="shared" si="1"/>
        <v>TRARPBU_HYB_DSL_N01</v>
      </c>
      <c r="C19" s="79" t="str">
        <f t="shared" si="2"/>
        <v>Bus NEW Hybrid DSL</v>
      </c>
      <c r="D19" s="79" t="str">
        <f>Commodities!$C$246</f>
        <v>TRAOILDSL</v>
      </c>
      <c r="E19" s="79" t="str">
        <f>Commodities!$N$8</f>
        <v>TRARPBU</v>
      </c>
      <c r="F19" s="147">
        <f>G19</f>
        <v>2020</v>
      </c>
      <c r="G19" s="152">
        <f>BASE_YEAR+3</f>
        <v>2020</v>
      </c>
      <c r="H19" s="138">
        <f>H16*1.3</f>
        <v>158.6</v>
      </c>
      <c r="I19" s="79"/>
      <c r="J19" s="79"/>
      <c r="K19" s="138">
        <f>200*(1/0.9)</f>
        <v>222.22222222222223</v>
      </c>
      <c r="L19" s="138">
        <v>1.5</v>
      </c>
      <c r="M19" s="119">
        <v>25</v>
      </c>
      <c r="N19" s="122">
        <v>1E-3</v>
      </c>
      <c r="S19" s="125"/>
      <c r="T19" s="125" t="str">
        <f>Commodities!$N$8&amp;"_HYB_"&amp;RIGHT(Commodities!$C$246,3)&amp;"_"&amp;$U$3&amp;"_AD"</f>
        <v>TRARPBU_HYB_DSL_N_AD</v>
      </c>
      <c r="U19" s="125" t="s">
        <v>1083</v>
      </c>
      <c r="V19" s="126" t="str">
        <f>General!$D$28</f>
        <v>MVkms</v>
      </c>
      <c r="W19" s="126" t="str">
        <f>General!$D$11</f>
        <v>000s_Units</v>
      </c>
      <c r="X19" s="125"/>
      <c r="Y19" s="126" t="s">
        <v>815</v>
      </c>
      <c r="Z19" s="125"/>
    </row>
    <row r="20" spans="1:26" ht="13.8" x14ac:dyDescent="0.25">
      <c r="B20" s="125" t="str">
        <f t="shared" si="1"/>
        <v>TRARPBU_HYB_DSL_N_AD</v>
      </c>
      <c r="C20" s="125" t="str">
        <f t="shared" si="2"/>
        <v>Bus NEW Advanced Hybrid DSL</v>
      </c>
      <c r="D20" s="125" t="str">
        <f>Commodities!$C$246</f>
        <v>TRAOILDSL</v>
      </c>
      <c r="E20" s="125" t="str">
        <f>Commodities!$N$8</f>
        <v>TRARPBU</v>
      </c>
      <c r="F20" s="148">
        <f t="shared" si="0"/>
        <v>2030</v>
      </c>
      <c r="G20" s="125">
        <f>BASE_YEAR+13</f>
        <v>2030</v>
      </c>
      <c r="H20" s="128">
        <f>H17*1.3</f>
        <v>166.53</v>
      </c>
      <c r="I20" s="125"/>
      <c r="J20" s="125"/>
      <c r="K20" s="128">
        <f>K19*1.05</f>
        <v>233.33333333333334</v>
      </c>
      <c r="L20" s="128">
        <v>1.5</v>
      </c>
      <c r="M20" s="126">
        <v>25</v>
      </c>
      <c r="N20" s="130">
        <v>1E-3</v>
      </c>
      <c r="S20" s="79"/>
      <c r="T20" s="77" t="str">
        <f>Commodities!$N$8&amp;"_B20_"&amp;$U$3&amp;"_IM"</f>
        <v>TRARPBU_B20_N_IM</v>
      </c>
      <c r="U20" s="77" t="s">
        <v>1084</v>
      </c>
      <c r="V20" s="107" t="str">
        <f>General!$D$28</f>
        <v>MVkms</v>
      </c>
      <c r="W20" s="107" t="str">
        <f>General!$D$11</f>
        <v>000s_Units</v>
      </c>
      <c r="X20" s="77"/>
      <c r="Y20" s="107" t="s">
        <v>815</v>
      </c>
      <c r="Z20" s="77"/>
    </row>
    <row r="21" spans="1:26" ht="13.8" x14ac:dyDescent="0.25">
      <c r="B21" s="79" t="str">
        <f t="shared" si="1"/>
        <v>TRARPBU_B20_N_IM</v>
      </c>
      <c r="C21" s="79" t="str">
        <f t="shared" si="2"/>
        <v>Bus NEW B20 Imp</v>
      </c>
      <c r="D21" s="79" t="str">
        <f>Commodities!$C$349</f>
        <v>TRABIOB20</v>
      </c>
      <c r="E21" s="79" t="str">
        <f>Commodities!$N$8</f>
        <v>TRARPBU</v>
      </c>
      <c r="F21" s="147">
        <f t="shared" si="0"/>
        <v>2025</v>
      </c>
      <c r="G21" s="79">
        <f>BASE_YEAR+8</f>
        <v>2025</v>
      </c>
      <c r="H21" s="138">
        <f>H12*1.1</f>
        <v>132.33000000000001</v>
      </c>
      <c r="I21" s="79"/>
      <c r="J21" s="79"/>
      <c r="K21" s="138">
        <f>K12*1.2</f>
        <v>240</v>
      </c>
      <c r="L21" s="138">
        <v>1.5</v>
      </c>
      <c r="M21" s="119">
        <v>25</v>
      </c>
      <c r="N21" s="122">
        <v>1E-3</v>
      </c>
      <c r="S21" s="77"/>
      <c r="T21" s="77" t="str">
        <f>Commodities!$N$8&amp;"_B20_"&amp;$U$3&amp;"_AD"</f>
        <v>TRARPBU_B20_N_AD</v>
      </c>
      <c r="U21" s="77" t="s">
        <v>1085</v>
      </c>
      <c r="V21" s="107" t="str">
        <f>General!$D$28</f>
        <v>MVkms</v>
      </c>
      <c r="W21" s="107" t="str">
        <f>General!$D$11</f>
        <v>000s_Units</v>
      </c>
      <c r="X21" s="77"/>
      <c r="Y21" s="107" t="s">
        <v>815</v>
      </c>
      <c r="Z21" s="77"/>
    </row>
    <row r="22" spans="1:26" ht="13.8" x14ac:dyDescent="0.25">
      <c r="B22" s="125" t="str">
        <f t="shared" si="1"/>
        <v>TRARPBU_B20_N_AD</v>
      </c>
      <c r="C22" s="125" t="str">
        <f t="shared" si="2"/>
        <v>Bus NEW B20 Adv</v>
      </c>
      <c r="D22" s="125" t="str">
        <f>Commodities!$C$349</f>
        <v>TRABIOB20</v>
      </c>
      <c r="E22" s="125" t="str">
        <f>Commodities!$N$8</f>
        <v>TRARPBU</v>
      </c>
      <c r="F22" s="148">
        <f t="shared" si="0"/>
        <v>2030</v>
      </c>
      <c r="G22" s="125">
        <f>BASE_YEAR+13</f>
        <v>2030</v>
      </c>
      <c r="H22" s="128">
        <f>H13*1.1</f>
        <v>138.94650000000001</v>
      </c>
      <c r="I22" s="125"/>
      <c r="J22" s="125"/>
      <c r="K22" s="128">
        <f>K13*1.2</f>
        <v>252</v>
      </c>
      <c r="L22" s="128">
        <v>1.5</v>
      </c>
      <c r="M22" s="126">
        <v>25</v>
      </c>
      <c r="N22" s="130">
        <v>1E-3</v>
      </c>
      <c r="S22" s="77"/>
      <c r="T22" s="77" t="str">
        <f>Commodities!$N$8&amp;"_B100_"&amp;$U$3&amp;"_IM"</f>
        <v>TRARPBU_B100_N_IM</v>
      </c>
      <c r="U22" s="77" t="s">
        <v>1086</v>
      </c>
      <c r="V22" s="107" t="str">
        <f>General!$D$28</f>
        <v>MVkms</v>
      </c>
      <c r="W22" s="107" t="str">
        <f>General!$D$11</f>
        <v>000s_Units</v>
      </c>
      <c r="X22" s="77"/>
      <c r="Y22" s="107" t="s">
        <v>815</v>
      </c>
      <c r="Z22" s="77"/>
    </row>
    <row r="23" spans="1:26" ht="13.8" x14ac:dyDescent="0.25">
      <c r="B23" s="79" t="str">
        <f t="shared" si="1"/>
        <v>TRARPBU_B100_N_IM</v>
      </c>
      <c r="C23" s="79" t="str">
        <f t="shared" si="2"/>
        <v>Bus NEW B100 Imp</v>
      </c>
      <c r="D23" s="79" t="str">
        <f>Commodities!$C$257</f>
        <v>TRABIODSL</v>
      </c>
      <c r="E23" s="79" t="str">
        <f>Commodities!$N$8</f>
        <v>TRARPBU</v>
      </c>
      <c r="F23" s="147">
        <f t="shared" si="0"/>
        <v>2025</v>
      </c>
      <c r="G23" s="79">
        <f>BASE_YEAR+8</f>
        <v>2025</v>
      </c>
      <c r="H23" s="138">
        <f>H12*1.15</f>
        <v>138.345</v>
      </c>
      <c r="I23" s="79"/>
      <c r="J23" s="79"/>
      <c r="K23" s="138">
        <f>K12*1.25</f>
        <v>250</v>
      </c>
      <c r="L23" s="138">
        <v>1.5</v>
      </c>
      <c r="M23" s="119">
        <v>25</v>
      </c>
      <c r="N23" s="122">
        <v>1E-3</v>
      </c>
      <c r="S23" s="125"/>
      <c r="T23" s="125" t="str">
        <f>Commodities!$N$8&amp;"_B100_"&amp;$U$3&amp;"_AD"</f>
        <v>TRARPBU_B100_N_AD</v>
      </c>
      <c r="U23" s="125" t="s">
        <v>1087</v>
      </c>
      <c r="V23" s="126" t="str">
        <f>General!$D$28</f>
        <v>MVkms</v>
      </c>
      <c r="W23" s="126" t="str">
        <f>General!$D$11</f>
        <v>000s_Units</v>
      </c>
      <c r="X23" s="125"/>
      <c r="Y23" s="126" t="s">
        <v>815</v>
      </c>
      <c r="Z23" s="125"/>
    </row>
    <row r="24" spans="1:26" ht="13.8" x14ac:dyDescent="0.25">
      <c r="B24" s="125" t="str">
        <f t="shared" si="1"/>
        <v>TRARPBU_B100_N_AD</v>
      </c>
      <c r="C24" s="125" t="str">
        <f t="shared" si="2"/>
        <v>Bus NEW B100 Adv</v>
      </c>
      <c r="D24" s="125" t="str">
        <f>Commodities!$C$257</f>
        <v>TRABIODSL</v>
      </c>
      <c r="E24" s="125" t="str">
        <f>Commodities!$N$8</f>
        <v>TRARPBU</v>
      </c>
      <c r="F24" s="148">
        <f t="shared" si="0"/>
        <v>2030</v>
      </c>
      <c r="G24" s="125">
        <f>BASE_YEAR+13</f>
        <v>2030</v>
      </c>
      <c r="H24" s="128">
        <f>H13*1.15</f>
        <v>145.26224999999999</v>
      </c>
      <c r="I24" s="125"/>
      <c r="J24" s="125"/>
      <c r="K24" s="128">
        <f>K13*1.25</f>
        <v>262.5</v>
      </c>
      <c r="L24" s="128">
        <v>1.5</v>
      </c>
      <c r="M24" s="126">
        <v>25</v>
      </c>
      <c r="N24" s="130">
        <v>1E-3</v>
      </c>
      <c r="S24" s="77"/>
      <c r="T24" s="77" t="str">
        <f>Commodities!$N$8&amp;"_H2G_"&amp;$U$3&amp;"_IM"</f>
        <v>TRARPBU_H2G_N_IM</v>
      </c>
      <c r="U24" s="77" t="s">
        <v>1088</v>
      </c>
      <c r="V24" s="107" t="str">
        <f>General!$D$28</f>
        <v>MVkms</v>
      </c>
      <c r="W24" s="107" t="str">
        <f>General!$D$11</f>
        <v>000s_Units</v>
      </c>
      <c r="X24" s="79"/>
      <c r="Y24" s="119" t="s">
        <v>815</v>
      </c>
      <c r="Z24" s="77"/>
    </row>
    <row r="25" spans="1:26" ht="13.8" x14ac:dyDescent="0.25">
      <c r="B25" s="79" t="str">
        <f t="shared" si="1"/>
        <v>TRARPBU_H2G_N_IM</v>
      </c>
      <c r="C25" s="79" t="str">
        <f t="shared" si="2"/>
        <v xml:space="preserve">Bus NEW Hydrogen Imp </v>
      </c>
      <c r="D25" s="79" t="s">
        <v>817</v>
      </c>
      <c r="E25" s="79" t="str">
        <f>Commodities!$N$8</f>
        <v>TRARPBU</v>
      </c>
      <c r="F25" s="147">
        <f t="shared" si="0"/>
        <v>2035</v>
      </c>
      <c r="G25" s="79">
        <f>BASE_YEAR+18</f>
        <v>2035</v>
      </c>
      <c r="H25" s="138">
        <f>H27*0.85</f>
        <v>103.87</v>
      </c>
      <c r="I25" s="79"/>
      <c r="J25" s="79"/>
      <c r="K25" s="138">
        <f>400*(1/0.9)</f>
        <v>444.44444444444446</v>
      </c>
      <c r="L25" s="138">
        <v>2</v>
      </c>
      <c r="M25" s="119">
        <v>25</v>
      </c>
      <c r="N25" s="122">
        <v>1E-3</v>
      </c>
      <c r="S25" s="125"/>
      <c r="T25" s="125" t="str">
        <f>Commodities!$N$8&amp;"_H2G_"&amp;$U$3&amp;"_AD"</f>
        <v>TRARPBU_H2G_N_AD</v>
      </c>
      <c r="U25" s="125" t="s">
        <v>1089</v>
      </c>
      <c r="V25" s="126" t="str">
        <f>General!$D$28</f>
        <v>MVkms</v>
      </c>
      <c r="W25" s="126" t="str">
        <f>General!$D$11</f>
        <v>000s_Units</v>
      </c>
      <c r="X25" s="125"/>
      <c r="Y25" s="126" t="s">
        <v>815</v>
      </c>
      <c r="Z25" s="125"/>
    </row>
    <row r="26" spans="1:26" ht="13.8" x14ac:dyDescent="0.25">
      <c r="B26" s="125" t="str">
        <f t="shared" si="1"/>
        <v>TRARPBU_H2G_N_AD</v>
      </c>
      <c r="C26" s="125" t="str">
        <f t="shared" si="2"/>
        <v xml:space="preserve">Bus NEW Hydrogen Adv. </v>
      </c>
      <c r="D26" s="125" t="s">
        <v>817</v>
      </c>
      <c r="E26" s="125" t="str">
        <f>Commodities!$N$8</f>
        <v>TRARPBU</v>
      </c>
      <c r="F26" s="148">
        <f t="shared" si="0"/>
        <v>2040</v>
      </c>
      <c r="G26" s="125">
        <f>BASE_YEAR+23</f>
        <v>2040</v>
      </c>
      <c r="H26" s="128">
        <f>H28*0.85</f>
        <v>109.0635</v>
      </c>
      <c r="I26" s="125"/>
      <c r="J26" s="125"/>
      <c r="K26" s="128">
        <f>K25*1.05</f>
        <v>466.66666666666669</v>
      </c>
      <c r="L26" s="128">
        <v>2</v>
      </c>
      <c r="M26" s="126">
        <v>25</v>
      </c>
      <c r="N26" s="130">
        <v>1E-3</v>
      </c>
      <c r="S26" s="77"/>
      <c r="T26" s="77" t="str">
        <f>Commodities!$N$8&amp;"_"&amp;RIGHT(Commodities!$C$343,3)&amp;"_"&amp;$U$3&amp;"_IM"</f>
        <v>TRARPBU_ELC_N_IM</v>
      </c>
      <c r="U26" s="77" t="s">
        <v>1090</v>
      </c>
      <c r="V26" s="107" t="str">
        <f>General!$D$28</f>
        <v>MVkms</v>
      </c>
      <c r="W26" s="107" t="str">
        <f>General!$D$11</f>
        <v>000s_Units</v>
      </c>
      <c r="X26" s="79"/>
      <c r="Y26" s="119" t="s">
        <v>815</v>
      </c>
      <c r="Z26" s="77"/>
    </row>
    <row r="27" spans="1:26" ht="13.8" x14ac:dyDescent="0.25">
      <c r="B27" s="79" t="str">
        <f t="shared" si="1"/>
        <v>TRARPBU_ELC_N_IM</v>
      </c>
      <c r="C27" s="79" t="str">
        <f t="shared" si="2"/>
        <v>Bus Electric NEW Improved ELC</v>
      </c>
      <c r="D27" s="79" t="str">
        <f>D42</f>
        <v>TRABATRPBU</v>
      </c>
      <c r="E27" s="79" t="str">
        <f>Commodities!$N$8</f>
        <v>TRARPBU</v>
      </c>
      <c r="F27" s="147">
        <v>2020</v>
      </c>
      <c r="G27" s="79">
        <f>BASE_YEAR+8</f>
        <v>2025</v>
      </c>
      <c r="H27" s="138">
        <v>122.2</v>
      </c>
      <c r="I27" s="79"/>
      <c r="J27" s="79"/>
      <c r="K27" s="138">
        <f>280*(1/0.9)</f>
        <v>311.11111111111114</v>
      </c>
      <c r="L27" s="138">
        <v>2</v>
      </c>
      <c r="M27" s="119">
        <v>25</v>
      </c>
      <c r="N27" s="122">
        <v>1E-3</v>
      </c>
      <c r="S27" s="125"/>
      <c r="T27" s="125" t="str">
        <f>Commodities!$N$8&amp;"_"&amp;RIGHT(Commodities!$C$343,3)&amp;"_"&amp;$U$3&amp;"_AD"</f>
        <v>TRARPBU_ELC_N_AD</v>
      </c>
      <c r="U27" s="125" t="s">
        <v>1091</v>
      </c>
      <c r="V27" s="126" t="str">
        <f>General!$D$28</f>
        <v>MVkms</v>
      </c>
      <c r="W27" s="126" t="str">
        <f>General!$D$11</f>
        <v>000s_Units</v>
      </c>
      <c r="X27" s="125"/>
      <c r="Y27" s="126" t="s">
        <v>815</v>
      </c>
      <c r="Z27" s="125"/>
    </row>
    <row r="28" spans="1:26" ht="13.8" x14ac:dyDescent="0.25">
      <c r="B28" s="125" t="str">
        <f t="shared" si="1"/>
        <v>TRARPBU_ELC_N_AD</v>
      </c>
      <c r="C28" s="125" t="str">
        <f t="shared" si="2"/>
        <v>Bus Electric NEW Advanced ELC</v>
      </c>
      <c r="D28" s="125" t="str">
        <f>D42</f>
        <v>TRABATRPBU</v>
      </c>
      <c r="E28" s="125" t="str">
        <f>Commodities!$N$8</f>
        <v>TRARPBU</v>
      </c>
      <c r="F28" s="148">
        <v>2035</v>
      </c>
      <c r="G28" s="125">
        <f>BASE_YEAR+13</f>
        <v>2030</v>
      </c>
      <c r="H28" s="128">
        <f>H27*1.05</f>
        <v>128.31</v>
      </c>
      <c r="I28" s="125"/>
      <c r="J28" s="125"/>
      <c r="K28" s="128">
        <f>K27*1.05</f>
        <v>326.66666666666669</v>
      </c>
      <c r="L28" s="128">
        <v>2</v>
      </c>
      <c r="M28" s="126">
        <v>25</v>
      </c>
      <c r="N28" s="130">
        <v>1E-3</v>
      </c>
      <c r="S28" s="77"/>
      <c r="T28" s="77" t="str">
        <f>"TRARPTR_"&amp;RIGHT(Commodities!$C$343,3)&amp;"_"&amp;$U$3&amp;"01"</f>
        <v>TRARPTR_ELC_N01</v>
      </c>
      <c r="U28" s="77" t="s">
        <v>974</v>
      </c>
      <c r="V28" s="107" t="str">
        <f>General!$D$28</f>
        <v>MVkms</v>
      </c>
      <c r="W28" s="107" t="str">
        <f>General!$D$11</f>
        <v>000s_Units</v>
      </c>
      <c r="X28" s="77"/>
      <c r="Y28" s="107" t="s">
        <v>815</v>
      </c>
      <c r="Z28" s="77"/>
    </row>
    <row r="29" spans="1:26" ht="13.8" x14ac:dyDescent="0.25">
      <c r="B29" s="79" t="str">
        <f t="shared" si="1"/>
        <v>TRARPTR_ELC_N01</v>
      </c>
      <c r="C29" s="79" t="str">
        <f t="shared" si="2"/>
        <v>Trolley NEW Electric ELC</v>
      </c>
      <c r="D29" s="79" t="str">
        <f>Commodities!$C$343</f>
        <v>TRAELC</v>
      </c>
      <c r="E29" s="79" t="str">
        <f>Commodities!$N$8</f>
        <v>TRARPBU</v>
      </c>
      <c r="F29" s="147">
        <f t="shared" si="0"/>
        <v>2018</v>
      </c>
      <c r="G29" s="152">
        <f>BASE_YEAR+1</f>
        <v>2018</v>
      </c>
      <c r="H29" s="138">
        <v>170</v>
      </c>
      <c r="I29" s="79"/>
      <c r="J29" s="79"/>
      <c r="K29" s="138">
        <f>190*(1/0.9)</f>
        <v>211.11111111111111</v>
      </c>
      <c r="L29" s="119">
        <v>1.5</v>
      </c>
      <c r="M29" s="119">
        <v>25</v>
      </c>
      <c r="N29" s="131">
        <v>1E-3</v>
      </c>
      <c r="S29" s="77"/>
      <c r="T29" s="77" t="str">
        <f>"TRARPTR_"&amp;RIGHT(Commodities!$C$343,3)&amp;"_"&amp;$U$3&amp;"_IM"</f>
        <v>TRARPTR_ELC_N_IM</v>
      </c>
      <c r="U29" s="77" t="s">
        <v>975</v>
      </c>
      <c r="V29" s="107" t="str">
        <f>General!$D$28</f>
        <v>MVkms</v>
      </c>
      <c r="W29" s="107" t="str">
        <f>General!$D$11</f>
        <v>000s_Units</v>
      </c>
      <c r="X29" s="77"/>
      <c r="Y29" s="107" t="s">
        <v>815</v>
      </c>
      <c r="Z29" s="77"/>
    </row>
    <row r="30" spans="1:26" ht="13.8" x14ac:dyDescent="0.25">
      <c r="B30" s="79" t="str">
        <f t="shared" si="1"/>
        <v>TRARPTR_ELC_N_IM</v>
      </c>
      <c r="C30" s="79" t="str">
        <f t="shared" si="2"/>
        <v>Trolley NEW Electric Improved ELC</v>
      </c>
      <c r="D30" s="79" t="str">
        <f>Commodities!$C$343</f>
        <v>TRAELC</v>
      </c>
      <c r="E30" s="79" t="str">
        <f>Commodities!$N$8</f>
        <v>TRARPBU</v>
      </c>
      <c r="F30" s="147">
        <f t="shared" si="0"/>
        <v>2025</v>
      </c>
      <c r="G30" s="79">
        <f>BASE_YEAR+8</f>
        <v>2025</v>
      </c>
      <c r="H30" s="138">
        <f>H29*1.1</f>
        <v>187.00000000000003</v>
      </c>
      <c r="I30" s="79"/>
      <c r="J30" s="79"/>
      <c r="K30" s="138">
        <f>K29*1.1</f>
        <v>232.22222222222226</v>
      </c>
      <c r="L30" s="119">
        <v>1.5</v>
      </c>
      <c r="M30" s="119">
        <v>25</v>
      </c>
      <c r="N30" s="131">
        <v>1E-3</v>
      </c>
      <c r="S30" s="125"/>
      <c r="T30" s="125" t="str">
        <f>"TRARPTR_"&amp;RIGHT(Commodities!$C$343,3)&amp;"_"&amp;$U$3&amp;"_AD"</f>
        <v>TRARPTR_ELC_N_AD</v>
      </c>
      <c r="U30" s="125" t="s">
        <v>976</v>
      </c>
      <c r="V30" s="126" t="str">
        <f>General!$D$28</f>
        <v>MVkms</v>
      </c>
      <c r="W30" s="126" t="str">
        <f>General!$D$11</f>
        <v>000s_Units</v>
      </c>
      <c r="X30" s="125"/>
      <c r="Y30" s="126" t="s">
        <v>815</v>
      </c>
      <c r="Z30" s="125"/>
    </row>
    <row r="31" spans="1:26" ht="13.8" x14ac:dyDescent="0.25">
      <c r="B31" s="79" t="str">
        <f t="shared" si="1"/>
        <v>TRARPTR_ELC_N_AD</v>
      </c>
      <c r="C31" s="79" t="str">
        <f t="shared" si="2"/>
        <v>Trolley NEW Electric Advanced ELC</v>
      </c>
      <c r="D31" s="79" t="str">
        <f>Commodities!$C$343</f>
        <v>TRAELC</v>
      </c>
      <c r="E31" s="79" t="str">
        <f>Commodities!$N$8</f>
        <v>TRARPBU</v>
      </c>
      <c r="F31" s="147">
        <v>2035</v>
      </c>
      <c r="G31" s="79">
        <f>BASE_YEAR+13</f>
        <v>2030</v>
      </c>
      <c r="H31" s="138">
        <f>H30*1.1</f>
        <v>205.70000000000005</v>
      </c>
      <c r="I31" s="79"/>
      <c r="J31" s="79"/>
      <c r="K31" s="138">
        <f>K30*1.05</f>
        <v>243.83333333333337</v>
      </c>
      <c r="L31" s="119">
        <v>1.5</v>
      </c>
      <c r="M31" s="119">
        <v>25</v>
      </c>
      <c r="N31" s="131">
        <v>1E-3</v>
      </c>
      <c r="S31" s="125"/>
      <c r="T31" s="125" t="str">
        <f>B32</f>
        <v>TRARPTR_ELC_N2_AD</v>
      </c>
      <c r="U31" s="125" t="str">
        <f>C32</f>
        <v>Trolley NEW Electric Advanced ELC2</v>
      </c>
      <c r="V31" s="126" t="str">
        <f>General!$D$28</f>
        <v>MVkms</v>
      </c>
      <c r="W31" s="126" t="str">
        <f>General!$D$11</f>
        <v>000s_Units</v>
      </c>
      <c r="X31" s="125"/>
      <c r="Y31" s="126" t="s">
        <v>815</v>
      </c>
      <c r="Z31" s="125"/>
    </row>
    <row r="32" spans="1:26" ht="13.8" x14ac:dyDescent="0.25">
      <c r="A32" s="89"/>
      <c r="B32" s="125" t="str">
        <f>CONCATENATE(LEFT(B31,13),"2_AD")</f>
        <v>TRARPTR_ELC_N2_AD</v>
      </c>
      <c r="C32" s="125" t="str">
        <f>CONCATENATE(C31,2)</f>
        <v>Trolley NEW Electric Advanced ELC2</v>
      </c>
      <c r="D32" s="125" t="str">
        <f>Commodities!$C$343</f>
        <v>TRAELC</v>
      </c>
      <c r="E32" s="125" t="str">
        <f>Commodities!$N$8</f>
        <v>TRARPBU</v>
      </c>
      <c r="F32" s="148">
        <v>2040</v>
      </c>
      <c r="G32" s="125">
        <v>2040</v>
      </c>
      <c r="H32" s="128">
        <f>H31</f>
        <v>205.70000000000005</v>
      </c>
      <c r="I32" s="125"/>
      <c r="J32" s="125"/>
      <c r="K32" s="128">
        <f>K31*0.7</f>
        <v>170.68333333333334</v>
      </c>
      <c r="L32" s="128">
        <f>L31</f>
        <v>1.5</v>
      </c>
      <c r="M32" s="126">
        <v>25</v>
      </c>
      <c r="N32" s="130">
        <v>1E-3</v>
      </c>
      <c r="O32" s="89"/>
      <c r="S32" s="125" t="s">
        <v>1098</v>
      </c>
      <c r="T32" s="125" t="s">
        <v>1116</v>
      </c>
      <c r="U32" s="125" t="s">
        <v>1100</v>
      </c>
      <c r="V32" s="126" t="s">
        <v>55</v>
      </c>
      <c r="W32" s="126" t="s">
        <v>1099</v>
      </c>
      <c r="X32" s="125" t="s">
        <v>48</v>
      </c>
      <c r="Y32" s="126" t="s">
        <v>98</v>
      </c>
      <c r="Z32" s="125"/>
    </row>
    <row r="33" spans="1:26" ht="13.8" x14ac:dyDescent="0.25">
      <c r="A33" s="89"/>
      <c r="B33" s="79"/>
      <c r="C33" s="79"/>
      <c r="D33" s="79"/>
      <c r="E33" s="79"/>
      <c r="F33" s="79"/>
      <c r="G33" s="152"/>
      <c r="H33" s="138"/>
      <c r="I33" s="79"/>
      <c r="J33" s="79"/>
      <c r="K33" s="138"/>
      <c r="L33" s="138"/>
      <c r="M33" s="119"/>
      <c r="N33" s="131"/>
      <c r="O33" s="89"/>
    </row>
    <row r="34" spans="1:26" ht="13.8" x14ac:dyDescent="0.25">
      <c r="A34" s="89"/>
      <c r="B34" s="79"/>
      <c r="C34" s="79"/>
      <c r="D34" s="79"/>
      <c r="E34" s="79"/>
      <c r="F34" s="79"/>
      <c r="G34" s="79"/>
      <c r="H34" s="138"/>
      <c r="I34" s="79"/>
      <c r="J34" s="79"/>
      <c r="K34" s="138"/>
      <c r="L34" s="138"/>
      <c r="M34" s="119"/>
      <c r="N34" s="131"/>
      <c r="O34" s="89"/>
    </row>
    <row r="35" spans="1:26" ht="13.8" x14ac:dyDescent="0.25">
      <c r="A35" s="89"/>
      <c r="B35" s="79"/>
      <c r="C35" s="79"/>
      <c r="D35" s="79"/>
      <c r="E35" s="79"/>
      <c r="F35" s="79"/>
      <c r="G35" s="79"/>
      <c r="H35" s="138"/>
      <c r="I35" s="79"/>
      <c r="J35" s="79"/>
      <c r="K35" s="138"/>
      <c r="L35" s="138"/>
      <c r="M35" s="119"/>
      <c r="N35" s="131"/>
      <c r="O35" s="89"/>
    </row>
    <row r="36" spans="1:26" ht="17.399999999999999" x14ac:dyDescent="0.3">
      <c r="A36" s="89"/>
      <c r="B36" s="78" t="s">
        <v>1092</v>
      </c>
      <c r="C36" s="158"/>
      <c r="D36" s="158"/>
      <c r="E36" s="158"/>
      <c r="F36" s="158"/>
      <c r="G36" s="158"/>
      <c r="H36" s="158"/>
      <c r="I36" s="79"/>
      <c r="J36" s="79"/>
      <c r="K36" s="138"/>
      <c r="L36" s="138"/>
      <c r="M36" s="119"/>
      <c r="N36" s="131"/>
      <c r="O36" s="89"/>
    </row>
    <row r="37" spans="1:26" ht="13.8" x14ac:dyDescent="0.25">
      <c r="A37" s="89"/>
      <c r="B37" s="158"/>
      <c r="C37" s="158"/>
      <c r="D37" s="158"/>
      <c r="E37" s="158"/>
      <c r="F37" s="158"/>
      <c r="G37" s="158"/>
      <c r="H37" s="158"/>
      <c r="I37" s="79"/>
      <c r="J37" s="79"/>
      <c r="K37" s="138"/>
      <c r="L37" s="138"/>
      <c r="M37" s="119"/>
      <c r="N37" s="131"/>
      <c r="O37" s="89"/>
      <c r="S37" s="156" t="s">
        <v>7</v>
      </c>
      <c r="T37" s="157"/>
      <c r="U37" s="157"/>
      <c r="V37" s="157"/>
      <c r="W37" s="157"/>
      <c r="X37" s="157"/>
      <c r="Y37" s="157"/>
      <c r="Z37" s="157"/>
    </row>
    <row r="38" spans="1:26" ht="13.8" x14ac:dyDescent="0.25">
      <c r="A38" s="89"/>
      <c r="E38" s="159" t="s">
        <v>0</v>
      </c>
      <c r="F38" s="160"/>
      <c r="G38" s="160"/>
      <c r="H38" s="160"/>
      <c r="I38" s="79"/>
      <c r="J38" s="79"/>
      <c r="K38" s="138"/>
      <c r="L38" s="138"/>
      <c r="M38" s="119"/>
      <c r="N38" s="131"/>
      <c r="O38" s="89"/>
      <c r="S38" s="108" t="s">
        <v>8</v>
      </c>
      <c r="T38" s="108" t="s">
        <v>6</v>
      </c>
      <c r="U38" s="108" t="s">
        <v>9</v>
      </c>
      <c r="V38" s="109" t="s">
        <v>10</v>
      </c>
      <c r="W38" s="110" t="s">
        <v>11</v>
      </c>
      <c r="X38" s="110" t="s">
        <v>12</v>
      </c>
      <c r="Y38" s="110" t="s">
        <v>13</v>
      </c>
      <c r="Z38" s="110" t="s">
        <v>14</v>
      </c>
    </row>
    <row r="39" spans="1:26" ht="14.4" thickBot="1" x14ac:dyDescent="0.3">
      <c r="A39" s="89"/>
      <c r="B39" s="90" t="s">
        <v>1</v>
      </c>
      <c r="C39" s="90" t="s">
        <v>3</v>
      </c>
      <c r="D39" s="90" t="s">
        <v>4</v>
      </c>
      <c r="E39" s="91" t="s">
        <v>816</v>
      </c>
      <c r="F39" s="90" t="s">
        <v>15</v>
      </c>
      <c r="G39" s="90" t="s">
        <v>1093</v>
      </c>
      <c r="H39" s="90" t="s">
        <v>1094</v>
      </c>
      <c r="I39" s="90" t="s">
        <v>50</v>
      </c>
      <c r="J39" s="79"/>
      <c r="K39" s="138"/>
      <c r="L39" s="138"/>
      <c r="M39" s="119"/>
      <c r="N39" s="131"/>
      <c r="O39" s="89"/>
      <c r="S39" s="115" t="s">
        <v>24</v>
      </c>
      <c r="T39" s="115" t="s">
        <v>25</v>
      </c>
      <c r="U39" s="115" t="s">
        <v>26</v>
      </c>
      <c r="V39" s="116" t="s">
        <v>10</v>
      </c>
      <c r="W39" s="115" t="s">
        <v>27</v>
      </c>
      <c r="X39" s="115" t="s">
        <v>28</v>
      </c>
      <c r="Y39" s="115" t="s">
        <v>29</v>
      </c>
      <c r="Z39" s="115" t="s">
        <v>30</v>
      </c>
    </row>
    <row r="40" spans="1:26" ht="28.2" thickBot="1" x14ac:dyDescent="0.3">
      <c r="A40" s="89"/>
      <c r="B40" s="102" t="s">
        <v>1095</v>
      </c>
      <c r="C40" s="102" t="s">
        <v>36</v>
      </c>
      <c r="D40" s="102" t="s">
        <v>37</v>
      </c>
      <c r="E40" s="103"/>
      <c r="F40" s="102"/>
      <c r="G40" s="102" t="s">
        <v>40</v>
      </c>
      <c r="H40" s="102" t="s">
        <v>1096</v>
      </c>
      <c r="I40" s="102"/>
      <c r="J40" s="79"/>
      <c r="K40" s="138"/>
      <c r="L40" s="138"/>
      <c r="M40" s="119"/>
      <c r="N40" s="131"/>
      <c r="O40" s="89"/>
      <c r="S40" s="79" t="s">
        <v>98</v>
      </c>
      <c r="T40" s="79" t="s">
        <v>1109</v>
      </c>
      <c r="U40" s="77" t="s">
        <v>1103</v>
      </c>
      <c r="V40" s="79" t="s">
        <v>55</v>
      </c>
      <c r="W40" s="79"/>
      <c r="X40" s="79" t="s">
        <v>48</v>
      </c>
      <c r="Y40" s="79"/>
      <c r="Z40" s="79"/>
    </row>
    <row r="41" spans="1:26" ht="13.8" x14ac:dyDescent="0.25">
      <c r="A41" s="89"/>
      <c r="B41" s="112" t="s">
        <v>813</v>
      </c>
      <c r="C41" s="112"/>
      <c r="D41" s="112"/>
      <c r="E41" s="161"/>
      <c r="F41" s="112"/>
      <c r="G41" s="112" t="s">
        <v>1097</v>
      </c>
      <c r="H41" s="112" t="s">
        <v>47</v>
      </c>
      <c r="I41" s="112"/>
      <c r="J41" s="89"/>
      <c r="K41" s="89"/>
      <c r="L41" s="89"/>
      <c r="M41" s="89"/>
      <c r="N41" s="89"/>
      <c r="O41" s="89"/>
    </row>
    <row r="42" spans="1:26" ht="13.8" x14ac:dyDescent="0.25">
      <c r="B42" s="174" t="str">
        <f>T32</f>
        <v>BAT_TRARPBU_N01</v>
      </c>
      <c r="C42" s="107" t="str">
        <f>Commodities!$C$343</f>
        <v>TRAELC</v>
      </c>
      <c r="D42" s="107" t="str">
        <f>T40</f>
        <v>TRABATRPBU</v>
      </c>
      <c r="E42" s="124">
        <f>F42</f>
        <v>2018</v>
      </c>
      <c r="F42" s="119">
        <f>BASE_YEAR+1</f>
        <v>2018</v>
      </c>
      <c r="G42" s="119">
        <v>0.95</v>
      </c>
      <c r="H42" s="119">
        <v>10</v>
      </c>
      <c r="I42" s="119">
        <v>3.5999999999999999E-3</v>
      </c>
    </row>
    <row r="48" spans="1:26" ht="17.25" customHeight="1" x14ac:dyDescent="0.25"/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139"/>
  <sheetViews>
    <sheetView zoomScale="70" zoomScaleNormal="70" workbookViewId="0">
      <selection sqref="A1:XFD1048576"/>
    </sheetView>
  </sheetViews>
  <sheetFormatPr defaultRowHeight="13.2" x14ac:dyDescent="0.25"/>
  <cols>
    <col min="1" max="1" width="5" style="137" customWidth="1"/>
    <col min="2" max="2" width="32.88671875" style="137" customWidth="1"/>
    <col min="3" max="3" width="40.44140625" style="137" customWidth="1"/>
    <col min="4" max="4" width="18" style="137" bestFit="1" customWidth="1"/>
    <col min="5" max="6" width="15" style="137" customWidth="1"/>
    <col min="7" max="7" width="13.6640625" style="123" customWidth="1"/>
    <col min="8" max="8" width="20.33203125" style="137" customWidth="1"/>
    <col min="9" max="9" width="14.88671875" style="137" customWidth="1"/>
    <col min="10" max="10" width="19.109375" style="137" bestFit="1" customWidth="1"/>
    <col min="11" max="11" width="15.6640625" style="137" bestFit="1" customWidth="1"/>
    <col min="12" max="12" width="8.88671875" style="137"/>
    <col min="13" max="13" width="18.88671875" style="137" bestFit="1" customWidth="1"/>
    <col min="14" max="14" width="23" style="137" customWidth="1"/>
    <col min="15" max="18" width="8.88671875" style="137"/>
    <col min="19" max="19" width="11" style="137" customWidth="1"/>
    <col min="20" max="20" width="32.5546875" style="137" customWidth="1"/>
    <col min="21" max="21" width="41.109375" style="137" bestFit="1" customWidth="1"/>
    <col min="22" max="22" width="12.109375" style="137" bestFit="1" customWidth="1"/>
    <col min="23" max="23" width="14.6640625" style="137" customWidth="1"/>
    <col min="24" max="24" width="17.6640625" style="137" customWidth="1"/>
    <col min="25" max="25" width="18.5546875" style="137" bestFit="1" customWidth="1"/>
    <col min="26" max="26" width="17.33203125" style="137" customWidth="1"/>
    <col min="27" max="16384" width="8.88671875" style="137"/>
  </cols>
  <sheetData>
    <row r="1" spans="2:27" s="77" customFormat="1" ht="17.399999999999999" x14ac:dyDescent="0.3">
      <c r="B1" s="78" t="s">
        <v>825</v>
      </c>
      <c r="C1" s="78"/>
      <c r="D1" s="78"/>
      <c r="E1" s="78"/>
      <c r="F1" s="78"/>
      <c r="G1" s="107"/>
      <c r="O1" s="79"/>
      <c r="S1" s="77" t="s">
        <v>807</v>
      </c>
    </row>
    <row r="2" spans="2:27" s="77" customFormat="1" ht="17.399999999999999" x14ac:dyDescent="0.3">
      <c r="B2" s="78" t="s">
        <v>826</v>
      </c>
      <c r="C2" s="78"/>
      <c r="G2" s="107"/>
      <c r="O2" s="79"/>
    </row>
    <row r="3" spans="2:27" ht="13.8" x14ac:dyDescent="0.25">
      <c r="S3" s="84" t="s">
        <v>808</v>
      </c>
      <c r="T3" s="85" t="s">
        <v>819</v>
      </c>
      <c r="U3" s="85" t="s">
        <v>901</v>
      </c>
      <c r="V3" s="84"/>
      <c r="W3" s="84"/>
      <c r="X3" s="84"/>
      <c r="Y3" s="84"/>
      <c r="Z3" s="84"/>
      <c r="AA3" s="77"/>
    </row>
    <row r="4" spans="2:27" ht="13.8" x14ac:dyDescent="0.25">
      <c r="B4" s="77"/>
      <c r="C4" s="77"/>
      <c r="D4" s="77"/>
      <c r="E4" s="86"/>
      <c r="F4" s="87" t="s">
        <v>0</v>
      </c>
      <c r="G4" s="140"/>
      <c r="H4" s="82"/>
      <c r="I4" s="77"/>
      <c r="J4" s="77"/>
      <c r="K4" s="77"/>
      <c r="L4" s="77"/>
      <c r="M4" s="77"/>
      <c r="N4" s="77"/>
      <c r="S4" s="88" t="s">
        <v>18</v>
      </c>
      <c r="T4" s="84"/>
      <c r="U4" s="84"/>
      <c r="V4" s="84"/>
      <c r="W4" s="84"/>
      <c r="X4" s="84"/>
      <c r="Y4" s="84"/>
      <c r="Z4" s="84"/>
      <c r="AA4" s="77"/>
    </row>
    <row r="5" spans="2:27" ht="13.8" x14ac:dyDescent="0.25">
      <c r="B5" s="90" t="s">
        <v>1</v>
      </c>
      <c r="C5" s="90" t="s">
        <v>809</v>
      </c>
      <c r="D5" s="90" t="s">
        <v>3</v>
      </c>
      <c r="E5" s="90" t="s">
        <v>4</v>
      </c>
      <c r="F5" s="91" t="s">
        <v>816</v>
      </c>
      <c r="G5" s="94" t="s">
        <v>15</v>
      </c>
      <c r="H5" s="93" t="s">
        <v>17</v>
      </c>
      <c r="I5" s="93" t="s">
        <v>38</v>
      </c>
      <c r="J5" s="93" t="s">
        <v>74</v>
      </c>
      <c r="K5" s="93" t="s">
        <v>43</v>
      </c>
      <c r="L5" s="93" t="s">
        <v>5</v>
      </c>
      <c r="M5" s="93" t="s">
        <v>49</v>
      </c>
      <c r="N5" s="93" t="s">
        <v>50</v>
      </c>
      <c r="S5" s="96" t="s">
        <v>16</v>
      </c>
      <c r="T5" s="96" t="s">
        <v>1</v>
      </c>
      <c r="U5" s="96" t="s">
        <v>2</v>
      </c>
      <c r="V5" s="96" t="s">
        <v>19</v>
      </c>
      <c r="W5" s="96" t="s">
        <v>20</v>
      </c>
      <c r="X5" s="96" t="s">
        <v>21</v>
      </c>
      <c r="Y5" s="96" t="s">
        <v>22</v>
      </c>
      <c r="Z5" s="96" t="s">
        <v>23</v>
      </c>
      <c r="AA5" s="77"/>
    </row>
    <row r="6" spans="2:27" ht="29.25" customHeight="1" thickBot="1" x14ac:dyDescent="0.3">
      <c r="B6" s="102" t="s">
        <v>824</v>
      </c>
      <c r="C6" s="102" t="s">
        <v>32</v>
      </c>
      <c r="D6" s="102" t="s">
        <v>36</v>
      </c>
      <c r="E6" s="102" t="s">
        <v>37</v>
      </c>
      <c r="F6" s="103"/>
      <c r="G6" s="104" t="s">
        <v>42</v>
      </c>
      <c r="H6" s="102" t="s">
        <v>40</v>
      </c>
      <c r="I6" s="102" t="s">
        <v>72</v>
      </c>
      <c r="J6" s="102" t="s">
        <v>75</v>
      </c>
      <c r="K6" s="104" t="s">
        <v>44</v>
      </c>
      <c r="L6" s="102" t="s">
        <v>45</v>
      </c>
      <c r="M6" s="102" t="s">
        <v>79</v>
      </c>
      <c r="N6" s="102" t="s">
        <v>41</v>
      </c>
      <c r="S6" s="106" t="s">
        <v>810</v>
      </c>
      <c r="T6" s="106" t="s">
        <v>31</v>
      </c>
      <c r="U6" s="106" t="s">
        <v>32</v>
      </c>
      <c r="V6" s="106" t="s">
        <v>33</v>
      </c>
      <c r="W6" s="106" t="s">
        <v>34</v>
      </c>
      <c r="X6" s="106" t="s">
        <v>811</v>
      </c>
      <c r="Y6" s="106" t="s">
        <v>812</v>
      </c>
      <c r="Z6" s="106" t="s">
        <v>35</v>
      </c>
      <c r="AA6" s="107"/>
    </row>
    <row r="7" spans="2:27" ht="13.8" x14ac:dyDescent="0.25">
      <c r="B7" s="175"/>
      <c r="C7" s="176"/>
      <c r="D7" s="176"/>
      <c r="E7" s="176" t="s">
        <v>813</v>
      </c>
      <c r="F7" s="177"/>
      <c r="G7" s="176"/>
      <c r="H7" s="176" t="str">
        <f>General!$D$12</f>
        <v>MVkms/PJ</v>
      </c>
      <c r="I7" s="176" t="str">
        <f>General!$D$14</f>
        <v>km/year</v>
      </c>
      <c r="J7" s="176" t="str">
        <f>General!$D$15</f>
        <v>passenger/vehicle</v>
      </c>
      <c r="K7" s="176" t="str">
        <f>General!$D$30</f>
        <v>000USD/unit</v>
      </c>
      <c r="L7" s="176" t="str">
        <f>General!$D$17</f>
        <v>k$/Unit</v>
      </c>
      <c r="M7" s="176" t="str">
        <f>General!$D$20</f>
        <v>Years</v>
      </c>
      <c r="N7" s="176" t="str">
        <f>General!$D$21</f>
        <v>(milion_vkm)/(thousand_vkm)</v>
      </c>
      <c r="S7" s="79" t="s">
        <v>814</v>
      </c>
      <c r="T7" s="77" t="str">
        <f>Commodities!$N$9&amp;"_"&amp;RIGHT(Commodities!$C$246,3)&amp;"_"&amp;$T$3&amp;"03"</f>
        <v>TRARHDV_DSL_N03</v>
      </c>
      <c r="U7" s="77" t="s">
        <v>977</v>
      </c>
      <c r="V7" s="107" t="str">
        <f>General!$D$28</f>
        <v>MVkms</v>
      </c>
      <c r="W7" s="107" t="str">
        <f>General!$D$11</f>
        <v>000s_Units</v>
      </c>
      <c r="X7" s="77"/>
      <c r="Y7" s="107" t="s">
        <v>815</v>
      </c>
      <c r="Z7" s="77"/>
      <c r="AA7" s="77"/>
    </row>
    <row r="8" spans="2:27" ht="13.8" x14ac:dyDescent="0.25">
      <c r="B8" s="77" t="str">
        <f t="shared" ref="B8:B11" si="0">T7</f>
        <v>TRARHDV_DSL_N03</v>
      </c>
      <c r="C8" s="77" t="str">
        <f t="shared" ref="C8:C11" si="1">U7</f>
        <v>HDV NEW Euro 4&amp;5 DSL</v>
      </c>
      <c r="D8" s="77" t="str">
        <f>Commodities!$C$246</f>
        <v>TRAOILDSL</v>
      </c>
      <c r="E8" s="77" t="str">
        <f>Commodities!$N$9</f>
        <v>TRARHDV</v>
      </c>
      <c r="F8" s="147">
        <f t="shared" ref="F8:F13" si="2">G8</f>
        <v>2018</v>
      </c>
      <c r="G8" s="119">
        <f>BASE_YEAR+1</f>
        <v>2018</v>
      </c>
      <c r="H8" s="120">
        <f>'Reference Data'!K17</f>
        <v>216.60170637091466</v>
      </c>
      <c r="I8" s="77"/>
      <c r="J8" s="77"/>
      <c r="K8" s="120">
        <f>'Reference Data'!C17/1000</f>
        <v>69.224066203978666</v>
      </c>
      <c r="L8" s="120">
        <v>2</v>
      </c>
      <c r="M8" s="107">
        <v>20</v>
      </c>
      <c r="N8" s="122">
        <v>1E-3</v>
      </c>
      <c r="S8" s="77"/>
      <c r="T8" s="77" t="str">
        <f>Commodities!$N$9&amp;"_"&amp;RIGHT(Commodities!$C$246,3)&amp;"_"&amp;$T$3&amp;"04"</f>
        <v>TRARHDV_DSL_N04</v>
      </c>
      <c r="U8" s="77" t="s">
        <v>978</v>
      </c>
      <c r="V8" s="107" t="str">
        <f>General!$D$28</f>
        <v>MVkms</v>
      </c>
      <c r="W8" s="107" t="str">
        <f>General!$D$11</f>
        <v>000s_Units</v>
      </c>
      <c r="X8" s="77"/>
      <c r="Y8" s="107" t="s">
        <v>815</v>
      </c>
      <c r="Z8" s="77"/>
    </row>
    <row r="9" spans="2:27" ht="13.8" x14ac:dyDescent="0.25">
      <c r="B9" s="77" t="str">
        <f t="shared" si="0"/>
        <v>TRARHDV_DSL_N04</v>
      </c>
      <c r="C9" s="77" t="str">
        <f t="shared" si="1"/>
        <v>HDV NEW Euro 6 DSL</v>
      </c>
      <c r="D9" s="77" t="str">
        <f>Commodities!$C$246</f>
        <v>TRAOILDSL</v>
      </c>
      <c r="E9" s="77" t="str">
        <f>Commodities!$N$9</f>
        <v>TRARHDV</v>
      </c>
      <c r="F9" s="147">
        <f t="shared" si="2"/>
        <v>2020</v>
      </c>
      <c r="G9" s="119">
        <f>BASE_YEAR+3</f>
        <v>2020</v>
      </c>
      <c r="H9" s="120">
        <f>'Reference Data'!L17</f>
        <v>235.43663735968983</v>
      </c>
      <c r="I9" s="77"/>
      <c r="J9" s="77"/>
      <c r="K9" s="120">
        <f>'Reference Data'!D17/1000</f>
        <v>71.546732870645343</v>
      </c>
      <c r="L9" s="120">
        <v>2</v>
      </c>
      <c r="M9" s="107">
        <v>20</v>
      </c>
      <c r="N9" s="122">
        <v>1E-3</v>
      </c>
      <c r="S9" s="77"/>
      <c r="T9" s="77" t="str">
        <f>Commodities!$N$9&amp;"_"&amp;RIGHT(Commodities!$C$246,3)&amp;"_"&amp;$T$3&amp;"05"</f>
        <v>TRARHDV_DSL_N05</v>
      </c>
      <c r="U9" s="77" t="s">
        <v>979</v>
      </c>
      <c r="V9" s="107" t="str">
        <f>General!$D$28</f>
        <v>MVkms</v>
      </c>
      <c r="W9" s="107" t="str">
        <f>General!$D$11</f>
        <v>000s_Units</v>
      </c>
      <c r="X9" s="77"/>
      <c r="Y9" s="107" t="s">
        <v>815</v>
      </c>
      <c r="Z9" s="77"/>
    </row>
    <row r="10" spans="2:27" ht="13.8" x14ac:dyDescent="0.25">
      <c r="B10" s="77" t="str">
        <f t="shared" si="0"/>
        <v>TRARHDV_DSL_N05</v>
      </c>
      <c r="C10" s="77" t="str">
        <f t="shared" si="1"/>
        <v>HDV NEW Post Euro 6 DSL</v>
      </c>
      <c r="D10" s="77" t="str">
        <f>Commodities!$C$246</f>
        <v>TRAOILDSL</v>
      </c>
      <c r="E10" s="77" t="str">
        <f>Commodities!$N$9</f>
        <v>TRARHDV</v>
      </c>
      <c r="F10" s="147">
        <f t="shared" si="2"/>
        <v>2025</v>
      </c>
      <c r="G10" s="119">
        <f>BASE_YEAR+8</f>
        <v>2025</v>
      </c>
      <c r="H10" s="120">
        <f>'Reference Data'!M17</f>
        <v>264.14842240355443</v>
      </c>
      <c r="I10" s="77"/>
      <c r="J10" s="77"/>
      <c r="K10" s="120">
        <f>'Reference Data'!E17/1000</f>
        <v>75.733751326249262</v>
      </c>
      <c r="L10" s="120">
        <v>2</v>
      </c>
      <c r="M10" s="107">
        <v>20</v>
      </c>
      <c r="N10" s="122">
        <v>1E-3</v>
      </c>
      <c r="S10" s="125"/>
      <c r="T10" s="125" t="str">
        <f>Commodities!$N$9&amp;"_"&amp;RIGHT(Commodities!$C$246,3)&amp;"_"&amp;$T$3&amp;"_AD"</f>
        <v>TRARHDV_DSL_N_AD</v>
      </c>
      <c r="U10" s="125" t="s">
        <v>980</v>
      </c>
      <c r="V10" s="126" t="str">
        <f>General!$D$28</f>
        <v>MVkms</v>
      </c>
      <c r="W10" s="126" t="str">
        <f>General!$D$11</f>
        <v>000s_Units</v>
      </c>
      <c r="X10" s="125"/>
      <c r="Y10" s="126" t="s">
        <v>815</v>
      </c>
      <c r="Z10" s="125"/>
    </row>
    <row r="11" spans="2:27" ht="13.8" x14ac:dyDescent="0.25">
      <c r="B11" s="125" t="str">
        <f t="shared" si="0"/>
        <v>TRARHDV_DSL_N_AD</v>
      </c>
      <c r="C11" s="125" t="str">
        <f t="shared" si="1"/>
        <v>HDV NEW Advanced DSL</v>
      </c>
      <c r="D11" s="125" t="str">
        <f>Commodities!$C$246</f>
        <v>TRAOILDSL</v>
      </c>
      <c r="E11" s="125" t="str">
        <f>Commodities!$N$9</f>
        <v>TRARHDV</v>
      </c>
      <c r="F11" s="148">
        <f t="shared" si="2"/>
        <v>2030</v>
      </c>
      <c r="G11" s="126">
        <f>BASE_YEAR+13</f>
        <v>2030</v>
      </c>
      <c r="H11" s="128">
        <f>'Reference Data'!N17</f>
        <v>309.4310091013067</v>
      </c>
      <c r="I11" s="125"/>
      <c r="J11" s="125"/>
      <c r="K11" s="128">
        <f>'Reference Data'!F17/1000</f>
        <v>87.46861287064533</v>
      </c>
      <c r="L11" s="128">
        <v>2</v>
      </c>
      <c r="M11" s="126">
        <v>20</v>
      </c>
      <c r="N11" s="130">
        <v>1E-3</v>
      </c>
      <c r="S11" s="77"/>
      <c r="T11" s="77" t="str">
        <f>Commodities!$N$9&amp;"_"&amp;LEFT(RIGHT(Commodities!$C$255,6),3)&amp;"_"&amp;$T$3&amp;"04"</f>
        <v>TRARHDV_GAS_N04</v>
      </c>
      <c r="U11" s="77" t="s">
        <v>981</v>
      </c>
      <c r="V11" s="107" t="str">
        <f>General!$D$28</f>
        <v>MVkms</v>
      </c>
      <c r="W11" s="107" t="str">
        <f>General!$D$11</f>
        <v>000s_Units</v>
      </c>
      <c r="X11" s="77"/>
      <c r="Y11" s="107" t="s">
        <v>815</v>
      </c>
      <c r="Z11" s="77"/>
    </row>
    <row r="12" spans="2:27" ht="13.8" x14ac:dyDescent="0.25">
      <c r="B12" s="77" t="str">
        <f>T14</f>
        <v>TRARHDV_HYB_DSL_N04</v>
      </c>
      <c r="C12" s="77" t="str">
        <f>U14</f>
        <v>HDV NEW Hybrid DSL</v>
      </c>
      <c r="D12" s="77" t="str">
        <f>D8</f>
        <v>TRAOILDSL</v>
      </c>
      <c r="E12" s="77" t="str">
        <f>E8</f>
        <v>TRARHDV</v>
      </c>
      <c r="F12" s="147">
        <f t="shared" si="2"/>
        <v>2020</v>
      </c>
      <c r="G12" s="119">
        <v>2020</v>
      </c>
      <c r="H12" s="120">
        <f>'Reference Data'!L18</f>
        <v>320.89141684579948</v>
      </c>
      <c r="I12" s="77"/>
      <c r="J12" s="77"/>
      <c r="K12" s="120">
        <f>'Reference Data'!D18/1000</f>
        <v>98.384934454840405</v>
      </c>
      <c r="L12" s="120">
        <v>2</v>
      </c>
      <c r="M12" s="107">
        <v>20</v>
      </c>
      <c r="N12" s="122">
        <v>1E-3</v>
      </c>
      <c r="S12" s="77"/>
      <c r="T12" s="77" t="str">
        <f>Commodities!$N$9&amp;"_"&amp;LEFT(RIGHT(Commodities!$C$255,6),3)&amp;"_"&amp;$T$3&amp;"05"</f>
        <v>TRARHDV_GAS_N05</v>
      </c>
      <c r="U12" s="77" t="s">
        <v>982</v>
      </c>
      <c r="V12" s="107" t="str">
        <f>General!$D$28</f>
        <v>MVkms</v>
      </c>
      <c r="W12" s="107" t="str">
        <f>General!$D$11</f>
        <v>000s_Units</v>
      </c>
      <c r="X12" s="77"/>
      <c r="Y12" s="107" t="s">
        <v>815</v>
      </c>
      <c r="Z12" s="77"/>
    </row>
    <row r="13" spans="2:27" ht="13.8" x14ac:dyDescent="0.25">
      <c r="B13" s="125" t="str">
        <f>T15</f>
        <v>TRARHDV_HYB_DSL_N05</v>
      </c>
      <c r="C13" s="125" t="str">
        <f>U15</f>
        <v>HDV NEW Advanced Hybrid DSL</v>
      </c>
      <c r="D13" s="125" t="str">
        <f>D9</f>
        <v>TRAOILDSL</v>
      </c>
      <c r="E13" s="125" t="str">
        <f>E9</f>
        <v>TRARHDV</v>
      </c>
      <c r="F13" s="148">
        <f t="shared" si="2"/>
        <v>2030</v>
      </c>
      <c r="G13" s="126">
        <v>2030</v>
      </c>
      <c r="H13" s="128">
        <f>'Reference Data'!M18</f>
        <v>361.00284395152431</v>
      </c>
      <c r="I13" s="125"/>
      <c r="J13" s="125"/>
      <c r="K13" s="128">
        <f>'Reference Data'!D18/1000</f>
        <v>98.384934454840405</v>
      </c>
      <c r="L13" s="128">
        <v>2</v>
      </c>
      <c r="M13" s="126">
        <v>20</v>
      </c>
      <c r="N13" s="130">
        <v>1E-3</v>
      </c>
      <c r="S13" s="125"/>
      <c r="T13" s="125" t="str">
        <f>Commodities!$N$9&amp;"_"&amp;LEFT(RIGHT(Commodities!$C$255,6),3)&amp;"_"&amp;$T$3&amp;"_AD"</f>
        <v>TRARHDV_GAS_N_AD</v>
      </c>
      <c r="U13" s="125" t="s">
        <v>983</v>
      </c>
      <c r="V13" s="126" t="str">
        <f>General!$D$28</f>
        <v>MVkms</v>
      </c>
      <c r="W13" s="126" t="str">
        <f>General!$D$11</f>
        <v>000s_Units</v>
      </c>
      <c r="X13" s="125"/>
      <c r="Y13" s="126" t="s">
        <v>815</v>
      </c>
      <c r="Z13" s="125"/>
    </row>
    <row r="14" spans="2:27" ht="13.8" x14ac:dyDescent="0.25">
      <c r="B14" s="77" t="str">
        <f t="shared" ref="B14:C16" si="3">T11</f>
        <v>TRARHDV_GAS_N04</v>
      </c>
      <c r="C14" s="77" t="str">
        <f t="shared" si="3"/>
        <v>HDV NEW Euro 6 GAS</v>
      </c>
      <c r="D14" s="77" t="str">
        <f>Commodities!$C$255</f>
        <v>TRAGASNAT</v>
      </c>
      <c r="E14" s="77" t="str">
        <f>Commodities!$N$9</f>
        <v>TRARHDV</v>
      </c>
      <c r="F14" s="147">
        <f t="shared" ref="F14:F22" si="4">G14</f>
        <v>2018</v>
      </c>
      <c r="G14" s="119">
        <f>BASE_YEAR+1</f>
        <v>2018</v>
      </c>
      <c r="H14" s="120">
        <f>H8*1.05</f>
        <v>227.4317916894604</v>
      </c>
      <c r="I14" s="77"/>
      <c r="J14" s="77"/>
      <c r="K14" s="120">
        <f>'Reference Data'!C19/1000</f>
        <v>77.926109091501488</v>
      </c>
      <c r="L14" s="120">
        <v>2</v>
      </c>
      <c r="M14" s="107">
        <v>15</v>
      </c>
      <c r="N14" s="122">
        <v>1E-3</v>
      </c>
      <c r="S14" s="79"/>
      <c r="T14" s="77" t="str">
        <f>Commodities!$N$9&amp;"_HYB_"&amp;RIGHT(Commodities!$C$246,3)&amp;"_"&amp;$T$3&amp;"04"</f>
        <v>TRARHDV_HYB_DSL_N04</v>
      </c>
      <c r="U14" s="77" t="s">
        <v>1188</v>
      </c>
      <c r="V14" s="107" t="str">
        <f>General!$D$28</f>
        <v>MVkms</v>
      </c>
      <c r="W14" s="107" t="str">
        <f>General!$D$11</f>
        <v>000s_Units</v>
      </c>
      <c r="X14" s="77"/>
      <c r="Y14" s="107" t="s">
        <v>815</v>
      </c>
      <c r="Z14" s="77"/>
    </row>
    <row r="15" spans="2:27" ht="13.8" x14ac:dyDescent="0.25">
      <c r="B15" s="77" t="str">
        <f t="shared" si="3"/>
        <v>TRARHDV_GAS_N05</v>
      </c>
      <c r="C15" s="77" t="str">
        <f t="shared" si="3"/>
        <v>HDV NEW Post Euro 6 GAS</v>
      </c>
      <c r="D15" s="77" t="str">
        <f>Commodities!$C$255</f>
        <v>TRAGASNAT</v>
      </c>
      <c r="E15" s="77" t="str">
        <f>Commodities!$N$9</f>
        <v>TRARHDV</v>
      </c>
      <c r="F15" s="147">
        <f t="shared" si="4"/>
        <v>2025</v>
      </c>
      <c r="G15" s="119">
        <f>BASE_YEAR+8</f>
        <v>2025</v>
      </c>
      <c r="H15" s="120">
        <f>H10*1.05</f>
        <v>277.35584352373218</v>
      </c>
      <c r="I15" s="77"/>
      <c r="J15" s="77"/>
      <c r="K15" s="120">
        <f>'Reference Data'!D19/1000</f>
        <v>80.248775758168151</v>
      </c>
      <c r="L15" s="120">
        <v>2</v>
      </c>
      <c r="M15" s="107">
        <v>15</v>
      </c>
      <c r="N15" s="122">
        <v>1E-3</v>
      </c>
      <c r="S15" s="125"/>
      <c r="T15" s="125" t="str">
        <f>Commodities!$N$9&amp;"_HYB_"&amp;RIGHT(Commodities!$C$246,3)&amp;"_"&amp;$T$3&amp;"05"</f>
        <v>TRARHDV_HYB_DSL_N05</v>
      </c>
      <c r="U15" s="125" t="s">
        <v>1189</v>
      </c>
      <c r="V15" s="126" t="str">
        <f>General!$D$28</f>
        <v>MVkms</v>
      </c>
      <c r="W15" s="126" t="str">
        <f>General!$D$11</f>
        <v>000s_Units</v>
      </c>
      <c r="X15" s="125"/>
      <c r="Y15" s="126" t="s">
        <v>815</v>
      </c>
      <c r="Z15" s="125"/>
    </row>
    <row r="16" spans="2:27" ht="13.8" x14ac:dyDescent="0.25">
      <c r="B16" s="125" t="str">
        <f t="shared" si="3"/>
        <v>TRARHDV_GAS_N_AD</v>
      </c>
      <c r="C16" s="125" t="str">
        <f t="shared" si="3"/>
        <v>HDV NEW Advanced GAS</v>
      </c>
      <c r="D16" s="125" t="str">
        <f>Commodities!$C$255</f>
        <v>TRAGASNAT</v>
      </c>
      <c r="E16" s="125" t="str">
        <f>Commodities!$N$9</f>
        <v>TRARHDV</v>
      </c>
      <c r="F16" s="148">
        <f t="shared" si="4"/>
        <v>2035</v>
      </c>
      <c r="G16" s="126">
        <f>BASE_YEAR+18</f>
        <v>2035</v>
      </c>
      <c r="H16" s="128">
        <f>H11*1.05</f>
        <v>324.90255955637207</v>
      </c>
      <c r="I16" s="125"/>
      <c r="J16" s="125"/>
      <c r="K16" s="128">
        <f>'Reference Data'!E19/1000</f>
        <v>84.435794213772084</v>
      </c>
      <c r="L16" s="128">
        <v>2</v>
      </c>
      <c r="M16" s="126">
        <v>15</v>
      </c>
      <c r="N16" s="130">
        <v>1E-3</v>
      </c>
      <c r="S16" s="79"/>
      <c r="T16" s="77" t="str">
        <f>Commodities!$N$9&amp;"_B20_"&amp;$T$3&amp;"_IM"</f>
        <v>TRARHDV_B20_N_IM</v>
      </c>
      <c r="U16" s="77" t="s">
        <v>1035</v>
      </c>
      <c r="V16" s="107" t="str">
        <f>General!$D$28</f>
        <v>MVkms</v>
      </c>
      <c r="W16" s="107" t="str">
        <f>General!$D$11</f>
        <v>000s_Units</v>
      </c>
      <c r="X16" s="77"/>
      <c r="Y16" s="107" t="s">
        <v>815</v>
      </c>
      <c r="Z16" s="77"/>
    </row>
    <row r="17" spans="1:26" ht="13.8" x14ac:dyDescent="0.25">
      <c r="B17" s="79" t="str">
        <f t="shared" ref="B17:C22" si="5">T16</f>
        <v>TRARHDV_B20_N_IM</v>
      </c>
      <c r="C17" s="79" t="str">
        <f t="shared" si="5"/>
        <v>HDV NEW B20 Imp</v>
      </c>
      <c r="D17" s="79" t="str">
        <f>Commodities!C349</f>
        <v>TRABIOB20</v>
      </c>
      <c r="E17" s="79" t="str">
        <f>Commodities!$N$9</f>
        <v>TRARHDV</v>
      </c>
      <c r="F17" s="147">
        <f t="shared" si="4"/>
        <v>2025</v>
      </c>
      <c r="G17" s="119">
        <f>BASE_YEAR+8</f>
        <v>2025</v>
      </c>
      <c r="H17" s="138">
        <f>H10</f>
        <v>264.14842240355443</v>
      </c>
      <c r="I17" s="79"/>
      <c r="J17" s="79"/>
      <c r="K17" s="138">
        <f>K10*1.2</f>
        <v>90.880501591499112</v>
      </c>
      <c r="L17" s="138">
        <v>2</v>
      </c>
      <c r="M17" s="119">
        <v>20</v>
      </c>
      <c r="N17" s="122">
        <v>1E-3</v>
      </c>
      <c r="S17" s="125"/>
      <c r="T17" s="125" t="str">
        <f>Commodities!$N$9&amp;"_B20_"&amp;$T$3&amp;"_AD"</f>
        <v>TRARHDV_B20_N_AD</v>
      </c>
      <c r="U17" s="125" t="s">
        <v>1036</v>
      </c>
      <c r="V17" s="126" t="str">
        <f>General!$D$28</f>
        <v>MVkms</v>
      </c>
      <c r="W17" s="126" t="str">
        <f>General!$D$11</f>
        <v>000s_Units</v>
      </c>
      <c r="X17" s="125"/>
      <c r="Y17" s="126" t="s">
        <v>815</v>
      </c>
      <c r="Z17" s="125"/>
    </row>
    <row r="18" spans="1:26" ht="13.8" x14ac:dyDescent="0.25">
      <c r="B18" s="125" t="str">
        <f t="shared" si="5"/>
        <v>TRARHDV_B20_N_AD</v>
      </c>
      <c r="C18" s="125" t="str">
        <f t="shared" si="5"/>
        <v>HDV NEW B20 Adv</v>
      </c>
      <c r="D18" s="125" t="str">
        <f>D17</f>
        <v>TRABIOB20</v>
      </c>
      <c r="E18" s="125" t="str">
        <f>Commodities!$N$9</f>
        <v>TRARHDV</v>
      </c>
      <c r="F18" s="148">
        <f t="shared" si="4"/>
        <v>2030</v>
      </c>
      <c r="G18" s="126">
        <f>BASE_YEAR+13</f>
        <v>2030</v>
      </c>
      <c r="H18" s="128">
        <f>H11</f>
        <v>309.4310091013067</v>
      </c>
      <c r="I18" s="125"/>
      <c r="J18" s="125"/>
      <c r="K18" s="128">
        <f>K11*1.2</f>
        <v>104.9623354447744</v>
      </c>
      <c r="L18" s="128">
        <v>2</v>
      </c>
      <c r="M18" s="126">
        <v>20</v>
      </c>
      <c r="N18" s="130">
        <v>1E-3</v>
      </c>
      <c r="S18" s="77"/>
      <c r="T18" s="77" t="str">
        <f>Commodities!$N$9&amp;"_B100_"&amp;$T$3&amp;"_IM"</f>
        <v>TRARHDV_B100_N_IM</v>
      </c>
      <c r="U18" s="77" t="s">
        <v>1037</v>
      </c>
      <c r="V18" s="107" t="str">
        <f>General!$D$28</f>
        <v>MVkms</v>
      </c>
      <c r="W18" s="107" t="str">
        <f>General!$D$11</f>
        <v>000s_Units</v>
      </c>
      <c r="X18" s="77"/>
      <c r="Y18" s="107" t="s">
        <v>815</v>
      </c>
      <c r="Z18" s="77"/>
    </row>
    <row r="19" spans="1:26" ht="13.8" x14ac:dyDescent="0.25">
      <c r="B19" s="79" t="str">
        <f t="shared" si="5"/>
        <v>TRARHDV_B100_N_IM</v>
      </c>
      <c r="C19" s="79" t="str">
        <f t="shared" si="5"/>
        <v>HDV NEW B100 Imp</v>
      </c>
      <c r="D19" s="79" t="str">
        <f>Commodities!C257</f>
        <v>TRABIODSL</v>
      </c>
      <c r="E19" s="79" t="str">
        <f>Commodities!$N$9</f>
        <v>TRARHDV</v>
      </c>
      <c r="F19" s="147">
        <f t="shared" si="4"/>
        <v>2025</v>
      </c>
      <c r="G19" s="119">
        <f>BASE_YEAR+8</f>
        <v>2025</v>
      </c>
      <c r="H19" s="138">
        <f>H17</f>
        <v>264.14842240355443</v>
      </c>
      <c r="I19" s="79"/>
      <c r="J19" s="79"/>
      <c r="K19" s="138">
        <f>K10*1.2</f>
        <v>90.880501591499112</v>
      </c>
      <c r="L19" s="138">
        <v>2</v>
      </c>
      <c r="M19" s="119">
        <v>20</v>
      </c>
      <c r="N19" s="122">
        <v>1E-3</v>
      </c>
      <c r="S19" s="125"/>
      <c r="T19" s="125" t="str">
        <f>Commodities!$N$9&amp;"_B100_"&amp;$T$3&amp;"_AD"</f>
        <v>TRARHDV_B100_N_AD</v>
      </c>
      <c r="U19" s="125" t="s">
        <v>1038</v>
      </c>
      <c r="V19" s="126" t="str">
        <f>General!$D$28</f>
        <v>MVkms</v>
      </c>
      <c r="W19" s="126" t="str">
        <f>General!$D$11</f>
        <v>000s_Units</v>
      </c>
      <c r="X19" s="125"/>
      <c r="Y19" s="126" t="s">
        <v>815</v>
      </c>
      <c r="Z19" s="125"/>
    </row>
    <row r="20" spans="1:26" ht="13.8" x14ac:dyDescent="0.25">
      <c r="B20" s="125" t="str">
        <f t="shared" si="5"/>
        <v>TRARHDV_B100_N_AD</v>
      </c>
      <c r="C20" s="125" t="str">
        <f t="shared" si="5"/>
        <v>HDV NEW B100 Adv</v>
      </c>
      <c r="D20" s="125" t="str">
        <f>D19</f>
        <v>TRABIODSL</v>
      </c>
      <c r="E20" s="125" t="str">
        <f>Commodities!$N$9</f>
        <v>TRARHDV</v>
      </c>
      <c r="F20" s="148">
        <f t="shared" si="4"/>
        <v>2030</v>
      </c>
      <c r="G20" s="126">
        <f>BASE_YEAR+13</f>
        <v>2030</v>
      </c>
      <c r="H20" s="128">
        <f>H18</f>
        <v>309.4310091013067</v>
      </c>
      <c r="I20" s="125"/>
      <c r="J20" s="125"/>
      <c r="K20" s="128">
        <f>K11*1.2</f>
        <v>104.9623354447744</v>
      </c>
      <c r="L20" s="128">
        <v>2</v>
      </c>
      <c r="M20" s="126">
        <v>20</v>
      </c>
      <c r="N20" s="130">
        <v>1E-3</v>
      </c>
      <c r="S20" s="77"/>
      <c r="T20" s="77" t="str">
        <f>Commodities!$N$9&amp;"_H2G_"&amp;$T$3&amp;"_IM"</f>
        <v>TRARHDV_H2G_N_IM</v>
      </c>
      <c r="U20" s="77" t="s">
        <v>984</v>
      </c>
      <c r="V20" s="107" t="str">
        <f>General!$D$28</f>
        <v>MVkms</v>
      </c>
      <c r="W20" s="107" t="str">
        <f>General!$D$11</f>
        <v>000s_Units</v>
      </c>
      <c r="X20" s="79"/>
      <c r="Y20" s="119" t="s">
        <v>815</v>
      </c>
      <c r="Z20" s="77"/>
    </row>
    <row r="21" spans="1:26" ht="13.8" x14ac:dyDescent="0.25">
      <c r="B21" s="79" t="str">
        <f t="shared" si="5"/>
        <v>TRARHDV_H2G_N_IM</v>
      </c>
      <c r="C21" s="79" t="str">
        <f t="shared" si="5"/>
        <v xml:space="preserve">HDV NEW Hydrogen Imp </v>
      </c>
      <c r="D21" s="79" t="s">
        <v>817</v>
      </c>
      <c r="E21" s="79" t="str">
        <f>Commodities!$N$9</f>
        <v>TRARHDV</v>
      </c>
      <c r="F21" s="147">
        <f t="shared" si="4"/>
        <v>2035</v>
      </c>
      <c r="G21" s="119">
        <f>BASE_YEAR+18</f>
        <v>2035</v>
      </c>
      <c r="H21" s="120">
        <f>H53</f>
        <v>420</v>
      </c>
      <c r="I21" s="79"/>
      <c r="J21" s="79"/>
      <c r="K21" s="138">
        <f>K8*2</f>
        <v>138.44813240795733</v>
      </c>
      <c r="L21" s="138">
        <v>2</v>
      </c>
      <c r="M21" s="119">
        <v>20</v>
      </c>
      <c r="N21" s="122">
        <v>1E-3</v>
      </c>
      <c r="S21" s="125"/>
      <c r="T21" s="125" t="str">
        <f>Commodities!$N$9&amp;"_H2G_"&amp;$T$3&amp;"_AD"</f>
        <v>TRARHDV_H2G_N_AD</v>
      </c>
      <c r="U21" s="125" t="s">
        <v>985</v>
      </c>
      <c r="V21" s="126" t="str">
        <f>General!$D$28</f>
        <v>MVkms</v>
      </c>
      <c r="W21" s="126" t="str">
        <f>General!$D$11</f>
        <v>000s_Units</v>
      </c>
      <c r="X21" s="125"/>
      <c r="Y21" s="126" t="s">
        <v>815</v>
      </c>
      <c r="Z21" s="125"/>
    </row>
    <row r="22" spans="1:26" ht="13.8" x14ac:dyDescent="0.25">
      <c r="B22" s="125" t="str">
        <f t="shared" si="5"/>
        <v>TRARHDV_H2G_N_AD</v>
      </c>
      <c r="C22" s="125" t="str">
        <f t="shared" si="5"/>
        <v xml:space="preserve">HDV NEW Hydrogen Adv. </v>
      </c>
      <c r="D22" s="125" t="s">
        <v>817</v>
      </c>
      <c r="E22" s="125" t="str">
        <f>Commodities!$N$9</f>
        <v>TRARHDV</v>
      </c>
      <c r="F22" s="148">
        <f t="shared" si="4"/>
        <v>2040</v>
      </c>
      <c r="G22" s="126">
        <f>BASE_YEAR+23</f>
        <v>2040</v>
      </c>
      <c r="H22" s="128">
        <f>H21*1.1</f>
        <v>462.00000000000006</v>
      </c>
      <c r="I22" s="125"/>
      <c r="J22" s="125"/>
      <c r="K22" s="128">
        <f>K10*2</f>
        <v>151.46750265249852</v>
      </c>
      <c r="L22" s="128">
        <v>2</v>
      </c>
      <c r="M22" s="126">
        <v>20</v>
      </c>
      <c r="N22" s="130">
        <v>1E-3</v>
      </c>
      <c r="S22" s="79"/>
      <c r="T22" s="77" t="str">
        <f>Commodities!$N$10&amp;"_"&amp;RIGHT(Commodities!$C$246,3)&amp;"_"&amp;$T$3&amp;"03"</f>
        <v>TRARLDV_DSL_N03</v>
      </c>
      <c r="U22" s="77" t="s">
        <v>986</v>
      </c>
      <c r="V22" s="107" t="str">
        <f>General!$D$28</f>
        <v>MVkms</v>
      </c>
      <c r="W22" s="107" t="str">
        <f>General!$D$11</f>
        <v>000s_Units</v>
      </c>
      <c r="X22" s="77"/>
      <c r="Y22" s="107" t="s">
        <v>815</v>
      </c>
      <c r="Z22" s="77"/>
    </row>
    <row r="23" spans="1:26" ht="13.8" x14ac:dyDescent="0.25">
      <c r="S23" s="77"/>
      <c r="T23" s="77" t="str">
        <f>Commodities!$N$10&amp;"_"&amp;RIGHT(Commodities!$C$246,3)&amp;"_"&amp;$T$3&amp;"04"</f>
        <v>TRARLDV_DSL_N04</v>
      </c>
      <c r="U23" s="77" t="s">
        <v>987</v>
      </c>
      <c r="V23" s="107" t="str">
        <f>General!$D$28</f>
        <v>MVkms</v>
      </c>
      <c r="W23" s="107" t="str">
        <f>General!$D$11</f>
        <v>000s_Units</v>
      </c>
      <c r="X23" s="77"/>
      <c r="Y23" s="107" t="s">
        <v>815</v>
      </c>
      <c r="Z23" s="77"/>
    </row>
    <row r="24" spans="1:26" ht="13.8" x14ac:dyDescent="0.25">
      <c r="A24" s="89"/>
      <c r="S24" s="77"/>
      <c r="T24" s="77" t="str">
        <f>Commodities!$N$10&amp;"_"&amp;RIGHT(Commodities!$C$246,3)&amp;"_"&amp;$T$3&amp;"05"</f>
        <v>TRARLDV_DSL_N05</v>
      </c>
      <c r="U24" s="77" t="s">
        <v>988</v>
      </c>
      <c r="V24" s="107" t="str">
        <f>General!$D$28</f>
        <v>MVkms</v>
      </c>
      <c r="W24" s="107" t="str">
        <f>General!$D$11</f>
        <v>000s_Units</v>
      </c>
      <c r="X24" s="77"/>
      <c r="Y24" s="107" t="s">
        <v>815</v>
      </c>
      <c r="Z24" s="77"/>
    </row>
    <row r="25" spans="1:26" ht="13.8" x14ac:dyDescent="0.25">
      <c r="A25" s="89"/>
      <c r="B25" s="79"/>
      <c r="C25" s="79"/>
      <c r="D25" s="79"/>
      <c r="E25" s="79"/>
      <c r="F25" s="79"/>
      <c r="G25" s="119"/>
      <c r="H25" s="119"/>
      <c r="I25" s="79"/>
      <c r="J25" s="79"/>
      <c r="K25" s="79"/>
      <c r="L25" s="79"/>
      <c r="M25" s="119"/>
      <c r="N25" s="131"/>
      <c r="S25" s="125"/>
      <c r="T25" s="125" t="str">
        <f>Commodities!$N$10&amp;"_"&amp;RIGHT(Commodities!$C$246,3)&amp;"_"&amp;$T$3&amp;"_AD"</f>
        <v>TRARLDV_DSL_N_AD</v>
      </c>
      <c r="U25" s="125" t="s">
        <v>989</v>
      </c>
      <c r="V25" s="126" t="str">
        <f>General!$D$28</f>
        <v>MVkms</v>
      </c>
      <c r="W25" s="126" t="str">
        <f>General!$D$11</f>
        <v>000s_Units</v>
      </c>
      <c r="X25" s="125"/>
      <c r="Y25" s="126" t="s">
        <v>815</v>
      </c>
      <c r="Z25" s="125"/>
    </row>
    <row r="26" spans="1:26" ht="13.8" x14ac:dyDescent="0.25">
      <c r="A26" s="89"/>
      <c r="B26" s="79"/>
      <c r="C26" s="79"/>
      <c r="D26" s="79"/>
      <c r="E26" s="79"/>
      <c r="F26" s="79"/>
      <c r="G26" s="119"/>
      <c r="H26" s="119"/>
      <c r="I26" s="79"/>
      <c r="J26" s="79"/>
      <c r="K26" s="79"/>
      <c r="L26" s="79"/>
      <c r="M26" s="119"/>
      <c r="N26" s="131"/>
      <c r="S26" s="79"/>
      <c r="T26" s="77" t="str">
        <f>Commodities!$N$10&amp;"_"&amp;RIGHT(Commodities!$C$247,3)&amp;"_"&amp;$T$3&amp;"03"</f>
        <v>TRARLDV_GSL_N03</v>
      </c>
      <c r="U26" s="77" t="s">
        <v>990</v>
      </c>
      <c r="V26" s="107" t="str">
        <f>General!$D$28</f>
        <v>MVkms</v>
      </c>
      <c r="W26" s="107" t="str">
        <f>General!$D$11</f>
        <v>000s_Units</v>
      </c>
      <c r="X26" s="77"/>
      <c r="Y26" s="107" t="s">
        <v>815</v>
      </c>
      <c r="Z26" s="77"/>
    </row>
    <row r="27" spans="1:26" ht="17.399999999999999" x14ac:dyDescent="0.3">
      <c r="A27" s="89"/>
      <c r="B27" s="78" t="s">
        <v>825</v>
      </c>
      <c r="C27" s="78"/>
      <c r="S27" s="77"/>
      <c r="T27" s="77" t="str">
        <f>Commodities!$N$10&amp;"_"&amp;RIGHT(Commodities!$C$247,3)&amp;"_"&amp;$T$3&amp;"04"</f>
        <v>TRARLDV_GSL_N04</v>
      </c>
      <c r="U27" s="77" t="s">
        <v>991</v>
      </c>
      <c r="V27" s="107" t="str">
        <f>General!$D$28</f>
        <v>MVkms</v>
      </c>
      <c r="W27" s="107" t="str">
        <f>General!$D$11</f>
        <v>000s_Units</v>
      </c>
      <c r="X27" s="77"/>
      <c r="Y27" s="107" t="s">
        <v>815</v>
      </c>
      <c r="Z27" s="77"/>
    </row>
    <row r="28" spans="1:26" ht="17.399999999999999" x14ac:dyDescent="0.3">
      <c r="A28" s="89"/>
      <c r="B28" s="78" t="s">
        <v>827</v>
      </c>
      <c r="C28" s="78"/>
      <c r="D28" s="77"/>
      <c r="E28" s="77"/>
      <c r="F28" s="77"/>
      <c r="G28" s="107"/>
      <c r="H28" s="77"/>
      <c r="I28" s="77"/>
      <c r="J28" s="77"/>
      <c r="K28" s="77"/>
      <c r="L28" s="77"/>
      <c r="M28" s="77"/>
      <c r="N28" s="77"/>
      <c r="S28" s="77"/>
      <c r="T28" s="77" t="str">
        <f>Commodities!$N$10&amp;"_"&amp;RIGHT(Commodities!$C$247,3)&amp;"_"&amp;$T$3&amp;"05"</f>
        <v>TRARLDV_GSL_N05</v>
      </c>
      <c r="U28" s="77" t="s">
        <v>992</v>
      </c>
      <c r="V28" s="107" t="str">
        <f>General!$D$28</f>
        <v>MVkms</v>
      </c>
      <c r="W28" s="107" t="str">
        <f>General!$D$11</f>
        <v>000s_Units</v>
      </c>
      <c r="X28" s="77"/>
      <c r="Y28" s="107" t="s">
        <v>815</v>
      </c>
      <c r="Z28" s="77"/>
    </row>
    <row r="29" spans="1:26" ht="13.8" x14ac:dyDescent="0.25">
      <c r="A29" s="89"/>
      <c r="S29" s="125"/>
      <c r="T29" s="125" t="str">
        <f>Commodities!$N$10&amp;"_"&amp;RIGHT(Commodities!$C$247,3)&amp;"_"&amp;$T$3&amp;"_AD"</f>
        <v>TRARLDV_GSL_N_AD</v>
      </c>
      <c r="U29" s="125" t="s">
        <v>993</v>
      </c>
      <c r="V29" s="126" t="str">
        <f>General!$D$28</f>
        <v>MVkms</v>
      </c>
      <c r="W29" s="126" t="str">
        <f>General!$D$11</f>
        <v>000s_Units</v>
      </c>
      <c r="X29" s="125"/>
      <c r="Y29" s="126" t="s">
        <v>815</v>
      </c>
      <c r="Z29" s="125"/>
    </row>
    <row r="30" spans="1:26" ht="13.8" x14ac:dyDescent="0.25">
      <c r="A30" s="89"/>
      <c r="B30" s="77"/>
      <c r="C30" s="77"/>
      <c r="D30" s="77"/>
      <c r="E30" s="86"/>
      <c r="F30" s="87" t="s">
        <v>0</v>
      </c>
      <c r="G30" s="140"/>
      <c r="H30" s="82"/>
      <c r="I30" s="77"/>
      <c r="J30" s="77"/>
      <c r="K30" s="77"/>
      <c r="L30" s="77"/>
      <c r="M30" s="77"/>
      <c r="N30" s="77"/>
      <c r="S30" s="77"/>
      <c r="T30" s="77" t="str">
        <f>Commodities!$N$10&amp;"_"&amp;LEFT(RIGHT(Commodities!$C$255,6),3)&amp;"_"&amp;$T$3&amp;"04"</f>
        <v>TRARLDV_GAS_N04</v>
      </c>
      <c r="U30" s="77" t="s">
        <v>994</v>
      </c>
      <c r="V30" s="107" t="str">
        <f>General!$D$28</f>
        <v>MVkms</v>
      </c>
      <c r="W30" s="107" t="str">
        <f>General!$D$11</f>
        <v>000s_Units</v>
      </c>
      <c r="X30" s="77"/>
      <c r="Y30" s="107" t="s">
        <v>815</v>
      </c>
      <c r="Z30" s="77"/>
    </row>
    <row r="31" spans="1:26" ht="13.8" x14ac:dyDescent="0.25">
      <c r="A31" s="89"/>
      <c r="B31" s="90" t="s">
        <v>1</v>
      </c>
      <c r="C31" s="90" t="s">
        <v>809</v>
      </c>
      <c r="D31" s="90" t="s">
        <v>3</v>
      </c>
      <c r="E31" s="90" t="s">
        <v>4</v>
      </c>
      <c r="F31" s="91" t="s">
        <v>816</v>
      </c>
      <c r="G31" s="94" t="s">
        <v>15</v>
      </c>
      <c r="H31" s="93" t="s">
        <v>17</v>
      </c>
      <c r="I31" s="93" t="s">
        <v>38</v>
      </c>
      <c r="J31" s="93" t="s">
        <v>74</v>
      </c>
      <c r="K31" s="93" t="s">
        <v>43</v>
      </c>
      <c r="L31" s="93" t="s">
        <v>5</v>
      </c>
      <c r="M31" s="93" t="s">
        <v>49</v>
      </c>
      <c r="N31" s="93" t="s">
        <v>50</v>
      </c>
      <c r="S31" s="77"/>
      <c r="T31" s="77" t="str">
        <f>Commodities!$N$10&amp;"_"&amp;LEFT(RIGHT(Commodities!$C$255,6),3)&amp;"_"&amp;$T$3&amp;"05"</f>
        <v>TRARLDV_GAS_N05</v>
      </c>
      <c r="U31" s="77" t="s">
        <v>995</v>
      </c>
      <c r="V31" s="107" t="str">
        <f>General!$D$28</f>
        <v>MVkms</v>
      </c>
      <c r="W31" s="107" t="str">
        <f>General!$D$11</f>
        <v>000s_Units</v>
      </c>
      <c r="X31" s="77"/>
      <c r="Y31" s="107" t="s">
        <v>815</v>
      </c>
      <c r="Z31" s="77"/>
    </row>
    <row r="32" spans="1:26" ht="17.25" customHeight="1" thickBot="1" x14ac:dyDescent="0.3">
      <c r="A32" s="89"/>
      <c r="B32" s="102" t="s">
        <v>824</v>
      </c>
      <c r="C32" s="102" t="s">
        <v>32</v>
      </c>
      <c r="D32" s="102" t="s">
        <v>36</v>
      </c>
      <c r="E32" s="102" t="s">
        <v>37</v>
      </c>
      <c r="F32" s="103"/>
      <c r="G32" s="104" t="s">
        <v>42</v>
      </c>
      <c r="H32" s="102" t="s">
        <v>40</v>
      </c>
      <c r="I32" s="102" t="s">
        <v>72</v>
      </c>
      <c r="J32" s="102" t="s">
        <v>75</v>
      </c>
      <c r="K32" s="104" t="s">
        <v>44</v>
      </c>
      <c r="L32" s="102" t="s">
        <v>45</v>
      </c>
      <c r="M32" s="102" t="s">
        <v>79</v>
      </c>
      <c r="N32" s="102" t="s">
        <v>41</v>
      </c>
      <c r="S32" s="125"/>
      <c r="T32" s="125" t="str">
        <f>Commodities!$N$10&amp;"_"&amp;LEFT(RIGHT(Commodities!$C$255,6),3)&amp;"_"&amp;$T$3&amp;"_AD"</f>
        <v>TRARLDV_GAS_N_AD</v>
      </c>
      <c r="U32" s="125" t="s">
        <v>996</v>
      </c>
      <c r="V32" s="126" t="str">
        <f>General!$D$28</f>
        <v>MVkms</v>
      </c>
      <c r="W32" s="126" t="str">
        <f>General!$D$11</f>
        <v>000s_Units</v>
      </c>
      <c r="X32" s="125"/>
      <c r="Y32" s="126" t="s">
        <v>815</v>
      </c>
      <c r="Z32" s="125"/>
    </row>
    <row r="33" spans="1:26" ht="13.8" x14ac:dyDescent="0.25">
      <c r="A33" s="89"/>
      <c r="B33" s="112"/>
      <c r="C33" s="113"/>
      <c r="D33" s="113"/>
      <c r="E33" s="113" t="s">
        <v>813</v>
      </c>
      <c r="F33" s="114"/>
      <c r="G33" s="113"/>
      <c r="H33" s="113" t="str">
        <f>General!$D$12</f>
        <v>MVkms/PJ</v>
      </c>
      <c r="I33" s="113" t="str">
        <f>General!$D$14</f>
        <v>km/year</v>
      </c>
      <c r="J33" s="113" t="str">
        <f>General!$D$15</f>
        <v>passenger/vehicle</v>
      </c>
      <c r="K33" s="113" t="str">
        <f>General!$D$30</f>
        <v>000USD/unit</v>
      </c>
      <c r="L33" s="113" t="str">
        <f>General!$D$17</f>
        <v>k$/Unit</v>
      </c>
      <c r="M33" s="113" t="str">
        <f>General!$D$20</f>
        <v>Years</v>
      </c>
      <c r="N33" s="113" t="str">
        <f>General!$D$21</f>
        <v>(milion_vkm)/(thousand_vkm)</v>
      </c>
      <c r="S33" s="77"/>
      <c r="T33" s="77" t="str">
        <f>Commodities!$N$10&amp;"_HYB_"&amp;RIGHT(Commodities!$C$246,3)&amp;"_"&amp;$T$3&amp;"01"</f>
        <v>TRARLDV_HYB_DSL_N01</v>
      </c>
      <c r="U33" s="77" t="s">
        <v>997</v>
      </c>
      <c r="V33" s="107" t="str">
        <f>General!$D$28</f>
        <v>MVkms</v>
      </c>
      <c r="W33" s="107" t="str">
        <f>General!$D$11</f>
        <v>000s_Units</v>
      </c>
      <c r="X33" s="79"/>
      <c r="Y33" s="119" t="s">
        <v>815</v>
      </c>
      <c r="Z33" s="77"/>
    </row>
    <row r="34" spans="1:26" ht="13.8" x14ac:dyDescent="0.25">
      <c r="A34" s="89"/>
      <c r="B34" s="77" t="str">
        <f t="shared" ref="B34:B57" si="6">T22</f>
        <v>TRARLDV_DSL_N03</v>
      </c>
      <c r="C34" s="77" t="str">
        <f t="shared" ref="C34:C57" si="7">U22</f>
        <v>LDV NEW Euro 4&amp;5 DSL</v>
      </c>
      <c r="D34" s="77" t="str">
        <f>Commodities!$C$246</f>
        <v>TRAOILDSL</v>
      </c>
      <c r="E34" s="77" t="str">
        <f>Commodities!$N$10</f>
        <v>TRARLDV</v>
      </c>
      <c r="F34" s="147">
        <f t="shared" ref="F34:F57" si="8">G34</f>
        <v>2018</v>
      </c>
      <c r="G34" s="119">
        <f>BASE_YEAR+1</f>
        <v>2018</v>
      </c>
      <c r="H34" s="120">
        <f>'Reference Data'!K26</f>
        <v>260</v>
      </c>
      <c r="I34" s="77"/>
      <c r="J34" s="77"/>
      <c r="K34" s="120">
        <f>'Reference Data'!C26/1000</f>
        <v>23.43797738411331</v>
      </c>
      <c r="L34" s="77">
        <v>1</v>
      </c>
      <c r="M34" s="107">
        <v>20</v>
      </c>
      <c r="N34" s="122">
        <v>1E-3</v>
      </c>
      <c r="S34" s="125"/>
      <c r="T34" s="125" t="str">
        <f>Commodities!$N$10&amp;"_HYB_"&amp;RIGHT(Commodities!$C$246,3)&amp;"_"&amp;$T$3&amp;"_AD"</f>
        <v>TRARLDV_HYB_DSL_N_AD</v>
      </c>
      <c r="U34" s="125" t="s">
        <v>998</v>
      </c>
      <c r="V34" s="126" t="str">
        <f>General!$D$28</f>
        <v>MVkms</v>
      </c>
      <c r="W34" s="126" t="str">
        <f>General!$D$11</f>
        <v>000s_Units</v>
      </c>
      <c r="X34" s="125"/>
      <c r="Y34" s="126" t="s">
        <v>815</v>
      </c>
      <c r="Z34" s="125"/>
    </row>
    <row r="35" spans="1:26" ht="13.8" x14ac:dyDescent="0.25">
      <c r="A35" s="89"/>
      <c r="B35" s="77" t="str">
        <f t="shared" si="6"/>
        <v>TRARLDV_DSL_N04</v>
      </c>
      <c r="C35" s="77" t="str">
        <f t="shared" si="7"/>
        <v>LDV NEW Euro 6 DSL</v>
      </c>
      <c r="D35" s="77" t="str">
        <f>Commodities!$C$246</f>
        <v>TRAOILDSL</v>
      </c>
      <c r="E35" s="77" t="str">
        <f>Commodities!$N$10</f>
        <v>TRARLDV</v>
      </c>
      <c r="F35" s="147">
        <f t="shared" si="8"/>
        <v>2020</v>
      </c>
      <c r="G35" s="119">
        <f>BASE_YEAR+3</f>
        <v>2020</v>
      </c>
      <c r="H35" s="120">
        <f>'Reference Data'!L26</f>
        <v>325</v>
      </c>
      <c r="I35" s="77"/>
      <c r="J35" s="77"/>
      <c r="K35" s="138">
        <f>'Reference Data'!D26/1000</f>
        <v>24.226522717446642</v>
      </c>
      <c r="L35" s="77">
        <v>1</v>
      </c>
      <c r="M35" s="107">
        <v>20</v>
      </c>
      <c r="N35" s="122">
        <v>1E-3</v>
      </c>
      <c r="S35" s="79"/>
      <c r="T35" s="77" t="str">
        <f>Commodities!$N$10&amp;"_HYB_"&amp;RIGHT(Commodities!$C$247,3)&amp;"_"&amp;$T$3&amp;"01"</f>
        <v>TRARLDV_HYB_GSL_N01</v>
      </c>
      <c r="U35" s="77" t="s">
        <v>999</v>
      </c>
      <c r="V35" s="107" t="str">
        <f>General!$D$28</f>
        <v>MVkms</v>
      </c>
      <c r="W35" s="107" t="str">
        <f>General!$D$11</f>
        <v>000s_Units</v>
      </c>
      <c r="X35" s="79"/>
      <c r="Y35" s="119" t="s">
        <v>815</v>
      </c>
      <c r="Z35" s="79"/>
    </row>
    <row r="36" spans="1:26" ht="13.8" x14ac:dyDescent="0.25">
      <c r="A36" s="89"/>
      <c r="B36" s="77" t="str">
        <f t="shared" si="6"/>
        <v>TRARLDV_DSL_N05</v>
      </c>
      <c r="C36" s="77" t="str">
        <f t="shared" si="7"/>
        <v>LDV NEW Post Euro 6 DSL</v>
      </c>
      <c r="D36" s="77" t="str">
        <f>Commodities!$C$246</f>
        <v>TRAOILDSL</v>
      </c>
      <c r="E36" s="77" t="str">
        <f>Commodities!$N$10</f>
        <v>TRARLDV</v>
      </c>
      <c r="F36" s="147">
        <f t="shared" si="8"/>
        <v>2025</v>
      </c>
      <c r="G36" s="119">
        <f>BASE_YEAR+8</f>
        <v>2025</v>
      </c>
      <c r="H36" s="120">
        <f>'Reference Data'!M26</f>
        <v>419.35483870967744</v>
      </c>
      <c r="I36" s="77"/>
      <c r="J36" s="77"/>
      <c r="K36" s="138">
        <f>'Reference Data'!E26/1000</f>
        <v>25.788516050779975</v>
      </c>
      <c r="L36" s="77">
        <v>1</v>
      </c>
      <c r="M36" s="107">
        <v>20</v>
      </c>
      <c r="N36" s="122">
        <v>1E-3</v>
      </c>
      <c r="S36" s="125"/>
      <c r="T36" s="125" t="str">
        <f>Commodities!$N$10&amp;"_HYB_"&amp;RIGHT(Commodities!$C$247,3)&amp;"_"&amp;$T$3&amp;"_AD"</f>
        <v>TRARLDV_HYB_GSL_N_AD</v>
      </c>
      <c r="U36" s="125" t="s">
        <v>1000</v>
      </c>
      <c r="V36" s="126" t="str">
        <f>General!$D$28</f>
        <v>MVkms</v>
      </c>
      <c r="W36" s="126" t="str">
        <f>General!$D$11</f>
        <v>000s_Units</v>
      </c>
      <c r="X36" s="125"/>
      <c r="Y36" s="126" t="s">
        <v>815</v>
      </c>
      <c r="Z36" s="125"/>
    </row>
    <row r="37" spans="1:26" ht="13.8" x14ac:dyDescent="0.25">
      <c r="A37" s="89"/>
      <c r="B37" s="125" t="str">
        <f t="shared" si="6"/>
        <v>TRARLDV_DSL_N_AD</v>
      </c>
      <c r="C37" s="125" t="str">
        <f t="shared" si="7"/>
        <v>LDV NEW Advanced DSL</v>
      </c>
      <c r="D37" s="125" t="str">
        <f>Commodities!$C$246</f>
        <v>TRAOILDSL</v>
      </c>
      <c r="E37" s="125" t="str">
        <f>Commodities!$N$10</f>
        <v>TRARLDV</v>
      </c>
      <c r="F37" s="148">
        <f t="shared" si="8"/>
        <v>2030</v>
      </c>
      <c r="G37" s="126">
        <f>BASE_YEAR+13</f>
        <v>2030</v>
      </c>
      <c r="H37" s="128">
        <f>'Reference Data'!N26</f>
        <v>472.72727272727275</v>
      </c>
      <c r="I37" s="125"/>
      <c r="J37" s="125"/>
      <c r="K37" s="128">
        <f>'Reference Data'!F26/1000</f>
        <v>27.78252538411331</v>
      </c>
      <c r="L37" s="125">
        <v>1</v>
      </c>
      <c r="M37" s="126">
        <v>20</v>
      </c>
      <c r="N37" s="130">
        <v>1E-3</v>
      </c>
      <c r="S37" s="79"/>
      <c r="T37" s="77" t="str">
        <f>Commodities!$N$10&amp;"_B20_"&amp;$T$3&amp;"_IM"</f>
        <v>TRARLDV_B20_N_IM</v>
      </c>
      <c r="U37" s="77" t="s">
        <v>1039</v>
      </c>
      <c r="V37" s="107" t="str">
        <f>General!$D$28</f>
        <v>MVkms</v>
      </c>
      <c r="W37" s="107" t="str">
        <f>General!$D$11</f>
        <v>000s_Units</v>
      </c>
      <c r="X37" s="77"/>
      <c r="Y37" s="107" t="s">
        <v>815</v>
      </c>
      <c r="Z37" s="77"/>
    </row>
    <row r="38" spans="1:26" ht="13.8" x14ac:dyDescent="0.25">
      <c r="A38" s="89"/>
      <c r="B38" s="77" t="str">
        <f t="shared" si="6"/>
        <v>TRARLDV_GSL_N03</v>
      </c>
      <c r="C38" s="77" t="str">
        <f t="shared" si="7"/>
        <v>LDV NEW Euro 4&amp;5 GSL</v>
      </c>
      <c r="D38" s="77" t="str">
        <f>Commodities!$C$247</f>
        <v>TRAOILGSL</v>
      </c>
      <c r="E38" s="77" t="str">
        <f>Commodities!$N$10</f>
        <v>TRARLDV</v>
      </c>
      <c r="F38" s="147">
        <f>G38</f>
        <v>2018</v>
      </c>
      <c r="G38" s="119">
        <f>BASE_YEAR+1</f>
        <v>2018</v>
      </c>
      <c r="H38" s="138">
        <f>'Reference Data'!K25</f>
        <v>208</v>
      </c>
      <c r="I38" s="79"/>
      <c r="J38" s="79"/>
      <c r="K38" s="138">
        <f>'Reference Data'!C25/1000</f>
        <v>18.750381907290645</v>
      </c>
      <c r="L38" s="77">
        <v>1</v>
      </c>
      <c r="M38" s="119">
        <v>20</v>
      </c>
      <c r="N38" s="122">
        <v>1E-3</v>
      </c>
      <c r="S38" s="77"/>
      <c r="T38" s="77" t="str">
        <f>Commodities!$N$10&amp;"_B20_"&amp;$T$3&amp;"_AD"</f>
        <v>TRARLDV_B20_N_AD</v>
      </c>
      <c r="U38" s="77" t="s">
        <v>1040</v>
      </c>
      <c r="V38" s="107" t="str">
        <f>General!$D$28</f>
        <v>MVkms</v>
      </c>
      <c r="W38" s="107" t="str">
        <f>General!$D$11</f>
        <v>000s_Units</v>
      </c>
      <c r="X38" s="77"/>
      <c r="Y38" s="107" t="s">
        <v>815</v>
      </c>
      <c r="Z38" s="77"/>
    </row>
    <row r="39" spans="1:26" ht="13.8" x14ac:dyDescent="0.25">
      <c r="A39" s="89"/>
      <c r="B39" s="77" t="str">
        <f t="shared" si="6"/>
        <v>TRARLDV_GSL_N04</v>
      </c>
      <c r="C39" s="77" t="str">
        <f t="shared" si="7"/>
        <v>LDV NEW Euro 6 GSL</v>
      </c>
      <c r="D39" s="77" t="str">
        <f>Commodities!$C$247</f>
        <v>TRAOILGSL</v>
      </c>
      <c r="E39" s="77" t="str">
        <f>Commodities!$N$10</f>
        <v>TRARLDV</v>
      </c>
      <c r="F39" s="147">
        <f>G39</f>
        <v>2020</v>
      </c>
      <c r="G39" s="119">
        <f>BASE_YEAR+3</f>
        <v>2020</v>
      </c>
      <c r="H39" s="138">
        <f>'Reference Data'!L25</f>
        <v>259.99999999999994</v>
      </c>
      <c r="I39" s="79"/>
      <c r="J39" s="79"/>
      <c r="K39" s="138">
        <f>'Reference Data'!D25/1000</f>
        <v>19.31362857395731</v>
      </c>
      <c r="L39" s="77">
        <v>1</v>
      </c>
      <c r="M39" s="119">
        <v>20</v>
      </c>
      <c r="N39" s="122">
        <v>1E-3</v>
      </c>
      <c r="S39" s="77"/>
      <c r="T39" s="77" t="str">
        <f>Commodities!$N$10&amp;"_B100_"&amp;$T$3&amp;"_IM"</f>
        <v>TRARLDV_B100_N_IM</v>
      </c>
      <c r="U39" s="77" t="s">
        <v>1041</v>
      </c>
      <c r="V39" s="107" t="str">
        <f>General!$D$28</f>
        <v>MVkms</v>
      </c>
      <c r="W39" s="107" t="str">
        <f>General!$D$11</f>
        <v>000s_Units</v>
      </c>
      <c r="X39" s="77"/>
      <c r="Y39" s="107" t="s">
        <v>815</v>
      </c>
      <c r="Z39" s="77"/>
    </row>
    <row r="40" spans="1:26" ht="13.8" x14ac:dyDescent="0.25">
      <c r="A40" s="89"/>
      <c r="B40" s="77" t="str">
        <f t="shared" si="6"/>
        <v>TRARLDV_GSL_N05</v>
      </c>
      <c r="C40" s="77" t="str">
        <f t="shared" si="7"/>
        <v>LDV NEW Post Euro 6 GSL</v>
      </c>
      <c r="D40" s="77" t="str">
        <f>Commodities!$C$247</f>
        <v>TRAOILGSL</v>
      </c>
      <c r="E40" s="77" t="str">
        <f>Commodities!$N$10</f>
        <v>TRARLDV</v>
      </c>
      <c r="F40" s="147">
        <f>G40</f>
        <v>2025</v>
      </c>
      <c r="G40" s="119">
        <f>BASE_YEAR+8</f>
        <v>2025</v>
      </c>
      <c r="H40" s="138">
        <f>'Reference Data'!M25</f>
        <v>346.66666666666669</v>
      </c>
      <c r="I40" s="79"/>
      <c r="J40" s="79"/>
      <c r="K40" s="138">
        <f>'Reference Data'!E25/1000</f>
        <v>20.406443240623979</v>
      </c>
      <c r="L40" s="77">
        <v>1</v>
      </c>
      <c r="M40" s="119">
        <v>20</v>
      </c>
      <c r="N40" s="122">
        <v>1E-3</v>
      </c>
      <c r="S40" s="125"/>
      <c r="T40" s="125" t="str">
        <f>Commodities!$N$10&amp;"_B100_"&amp;$T$3&amp;"_AD"</f>
        <v>TRARLDV_B100_N_AD</v>
      </c>
      <c r="U40" s="125" t="s">
        <v>1042</v>
      </c>
      <c r="V40" s="126" t="str">
        <f>General!$D$28</f>
        <v>MVkms</v>
      </c>
      <c r="W40" s="126" t="str">
        <f>General!$D$11</f>
        <v>000s_Units</v>
      </c>
      <c r="X40" s="125"/>
      <c r="Y40" s="126" t="s">
        <v>815</v>
      </c>
      <c r="Z40" s="125"/>
    </row>
    <row r="41" spans="1:26" ht="13.8" x14ac:dyDescent="0.25">
      <c r="A41" s="89"/>
      <c r="B41" s="125" t="str">
        <f t="shared" si="6"/>
        <v>TRARLDV_GSL_N_AD</v>
      </c>
      <c r="C41" s="125" t="str">
        <f t="shared" si="7"/>
        <v>LDV NEW Advanced GSL</v>
      </c>
      <c r="D41" s="125" t="str">
        <f>Commodities!$C$247</f>
        <v>TRAOILGSL</v>
      </c>
      <c r="E41" s="125" t="str">
        <f>Commodities!$N$10</f>
        <v>TRARLDV</v>
      </c>
      <c r="F41" s="148">
        <f>G41</f>
        <v>2030</v>
      </c>
      <c r="G41" s="126">
        <f>BASE_YEAR+13</f>
        <v>2030</v>
      </c>
      <c r="H41" s="128">
        <f>'Reference Data'!N25</f>
        <v>462.22222222222223</v>
      </c>
      <c r="I41" s="125"/>
      <c r="J41" s="125"/>
      <c r="K41" s="128">
        <f>'Reference Data'!F25/1000</f>
        <v>22.286641907290647</v>
      </c>
      <c r="L41" s="125">
        <v>1</v>
      </c>
      <c r="M41" s="126">
        <v>20</v>
      </c>
      <c r="N41" s="130">
        <v>1E-3</v>
      </c>
      <c r="S41" s="77"/>
      <c r="T41" s="77" t="str">
        <f>Commodities!$N$10&amp;"_H2G_"&amp;$T$3&amp;"_IM"</f>
        <v>TRARLDV_H2G_N_IM</v>
      </c>
      <c r="U41" s="77" t="s">
        <v>1001</v>
      </c>
      <c r="V41" s="107" t="str">
        <f>General!$D$28</f>
        <v>MVkms</v>
      </c>
      <c r="W41" s="107" t="str">
        <f>General!$D$11</f>
        <v>000s_Units</v>
      </c>
      <c r="X41" s="79"/>
      <c r="Y41" s="119" t="s">
        <v>815</v>
      </c>
      <c r="Z41" s="77"/>
    </row>
    <row r="42" spans="1:26" ht="13.8" x14ac:dyDescent="0.25">
      <c r="A42" s="89"/>
      <c r="B42" s="77" t="str">
        <f t="shared" si="6"/>
        <v>TRARLDV_GAS_N04</v>
      </c>
      <c r="C42" s="77" t="str">
        <f t="shared" si="7"/>
        <v>LDV NEW Euro 6 GAS</v>
      </c>
      <c r="D42" s="77" t="str">
        <f>Commodities!$C$255</f>
        <v>TRAGASNAT</v>
      </c>
      <c r="E42" s="77" t="str">
        <f>Commodities!$N$10</f>
        <v>TRARLDV</v>
      </c>
      <c r="F42" s="147">
        <f t="shared" si="8"/>
        <v>2018</v>
      </c>
      <c r="G42" s="119">
        <f>BASE_YEAR+1</f>
        <v>2018</v>
      </c>
      <c r="H42" s="120">
        <f>H38*1.05</f>
        <v>218.4</v>
      </c>
      <c r="I42" s="77"/>
      <c r="J42" s="77"/>
      <c r="K42" s="120">
        <f>'Reference Data'!D27/1000</f>
        <v>21.637404313957308</v>
      </c>
      <c r="L42" s="77">
        <v>1</v>
      </c>
      <c r="M42" s="107">
        <v>15</v>
      </c>
      <c r="N42" s="122">
        <v>1E-3</v>
      </c>
      <c r="S42" s="125"/>
      <c r="T42" s="125" t="str">
        <f>Commodities!$N$10&amp;"_H2G_"&amp;$T$3&amp;"_AD"</f>
        <v>TRARLDV_H2G_N_AD</v>
      </c>
      <c r="U42" s="125" t="s">
        <v>1002</v>
      </c>
      <c r="V42" s="126" t="str">
        <f>General!$D$28</f>
        <v>MVkms</v>
      </c>
      <c r="W42" s="126" t="str">
        <f>General!$D$11</f>
        <v>000s_Units</v>
      </c>
      <c r="X42" s="125"/>
      <c r="Y42" s="126" t="s">
        <v>815</v>
      </c>
      <c r="Z42" s="125"/>
    </row>
    <row r="43" spans="1:26" ht="13.8" x14ac:dyDescent="0.25">
      <c r="A43" s="89"/>
      <c r="B43" s="77" t="str">
        <f t="shared" si="6"/>
        <v>TRARLDV_GAS_N05</v>
      </c>
      <c r="C43" s="77" t="str">
        <f t="shared" si="7"/>
        <v>LDV NEW Post Euro 6 GAS</v>
      </c>
      <c r="D43" s="77" t="str">
        <f>Commodities!$C$255</f>
        <v>TRAGASNAT</v>
      </c>
      <c r="E43" s="77" t="str">
        <f>Commodities!$N$10</f>
        <v>TRARLDV</v>
      </c>
      <c r="F43" s="147">
        <f t="shared" si="8"/>
        <v>2025</v>
      </c>
      <c r="G43" s="119">
        <f>BASE_YEAR+8</f>
        <v>2025</v>
      </c>
      <c r="H43" s="120">
        <f>H40*1.05</f>
        <v>364.00000000000006</v>
      </c>
      <c r="I43" s="77"/>
      <c r="J43" s="77"/>
      <c r="K43" s="138">
        <f>'Reference Data'!E27/1000</f>
        <v>22.730218980623977</v>
      </c>
      <c r="L43" s="77">
        <v>1</v>
      </c>
      <c r="M43" s="107">
        <v>15</v>
      </c>
      <c r="N43" s="122">
        <v>1E-3</v>
      </c>
      <c r="S43" s="79"/>
      <c r="T43" s="77" t="str">
        <f>Commodities!$N$10&amp;"_"&amp;RIGHT(Commodities!$C$343,3)&amp;"_"&amp;$T$3&amp;"01"</f>
        <v>TRARLDV_ELC_N01</v>
      </c>
      <c r="U43" s="77" t="s">
        <v>1003</v>
      </c>
      <c r="V43" s="107" t="str">
        <f>General!$D$28</f>
        <v>MVkms</v>
      </c>
      <c r="W43" s="107" t="str">
        <f>General!$D$11</f>
        <v>000s_Units</v>
      </c>
      <c r="X43" s="79"/>
      <c r="Y43" s="119" t="s">
        <v>815</v>
      </c>
      <c r="Z43" s="79"/>
    </row>
    <row r="44" spans="1:26" ht="13.8" x14ac:dyDescent="0.25">
      <c r="A44" s="89"/>
      <c r="B44" s="125" t="str">
        <f t="shared" si="6"/>
        <v>TRARLDV_GAS_N_AD</v>
      </c>
      <c r="C44" s="125" t="str">
        <f t="shared" si="7"/>
        <v>LDV NEW Advanced GAS</v>
      </c>
      <c r="D44" s="125" t="str">
        <f>Commodities!$C$255</f>
        <v>TRAGASNAT</v>
      </c>
      <c r="E44" s="125" t="str">
        <f>Commodities!$N$10</f>
        <v>TRARLDV</v>
      </c>
      <c r="F44" s="148">
        <f t="shared" si="8"/>
        <v>2035</v>
      </c>
      <c r="G44" s="126">
        <f>BASE_YEAR+18</f>
        <v>2035</v>
      </c>
      <c r="H44" s="128">
        <f>H41*1.05</f>
        <v>485.33333333333337</v>
      </c>
      <c r="I44" s="125"/>
      <c r="J44" s="125"/>
      <c r="K44" s="128">
        <f>'Reference Data'!F27/1000</f>
        <v>24.610417647290646</v>
      </c>
      <c r="L44" s="125">
        <v>1</v>
      </c>
      <c r="M44" s="126">
        <v>15</v>
      </c>
      <c r="N44" s="130">
        <v>1E-3</v>
      </c>
      <c r="S44" s="79"/>
      <c r="T44" s="77" t="str">
        <f>Commodities!$N$10&amp;"_"&amp;RIGHT(Commodities!$C$343,3)&amp;"_"&amp;$T$3&amp;"_IM"</f>
        <v>TRARLDV_ELC_N_IM</v>
      </c>
      <c r="U44" s="77" t="s">
        <v>1004</v>
      </c>
      <c r="V44" s="107" t="str">
        <f>General!$D$28</f>
        <v>MVkms</v>
      </c>
      <c r="W44" s="107" t="str">
        <f>General!$D$11</f>
        <v>000s_Units</v>
      </c>
      <c r="X44" s="79"/>
      <c r="Y44" s="119" t="s">
        <v>815</v>
      </c>
      <c r="Z44" s="79"/>
    </row>
    <row r="45" spans="1:26" ht="13.8" x14ac:dyDescent="0.25">
      <c r="A45" s="89"/>
      <c r="B45" s="79" t="str">
        <f t="shared" si="6"/>
        <v>TRARLDV_HYB_DSL_N01</v>
      </c>
      <c r="C45" s="79" t="str">
        <f t="shared" si="7"/>
        <v>LDV NEW Hybrid DSL</v>
      </c>
      <c r="D45" s="79" t="str">
        <f>Commodities!$C$246</f>
        <v>TRAOILDSL</v>
      </c>
      <c r="E45" s="79" t="str">
        <f>Commodities!$N$10</f>
        <v>TRARLDV</v>
      </c>
      <c r="F45" s="147">
        <f t="shared" si="8"/>
        <v>2020</v>
      </c>
      <c r="G45" s="119">
        <f>BASE_YEAR+3</f>
        <v>2020</v>
      </c>
      <c r="H45" s="138">
        <f>'Reference Data'!K30</f>
        <v>370.37037037037032</v>
      </c>
      <c r="I45" s="79"/>
      <c r="J45" s="79"/>
      <c r="K45" s="138">
        <f>'Reference Data'!C30/1000</f>
        <v>26.566818424113311</v>
      </c>
      <c r="L45" s="77">
        <v>1</v>
      </c>
      <c r="M45" s="119">
        <v>20</v>
      </c>
      <c r="N45" s="122">
        <v>1E-3</v>
      </c>
      <c r="S45" s="125"/>
      <c r="T45" s="125" t="str">
        <f>Commodities!$N$10&amp;"_"&amp;RIGHT(Commodities!$C$343,3)&amp;"_"&amp;$T$3&amp;"_AD"</f>
        <v>TRARLDV_ELC_N_AD</v>
      </c>
      <c r="U45" s="125" t="s">
        <v>1005</v>
      </c>
      <c r="V45" s="126" t="str">
        <f>General!$D$28</f>
        <v>MVkms</v>
      </c>
      <c r="W45" s="126" t="str">
        <f>General!$D$11</f>
        <v>000s_Units</v>
      </c>
      <c r="X45" s="125"/>
      <c r="Y45" s="126" t="s">
        <v>815</v>
      </c>
      <c r="Z45" s="125"/>
    </row>
    <row r="46" spans="1:26" ht="13.8" x14ac:dyDescent="0.25">
      <c r="A46" s="89"/>
      <c r="B46" s="125" t="str">
        <f t="shared" si="6"/>
        <v>TRARLDV_HYB_DSL_N_AD</v>
      </c>
      <c r="C46" s="125" t="str">
        <f t="shared" si="7"/>
        <v>LDV NEW Advanced Hybrid DSL</v>
      </c>
      <c r="D46" s="125" t="str">
        <f>Commodities!$C$246</f>
        <v>TRAOILDSL</v>
      </c>
      <c r="E46" s="125" t="str">
        <f>Commodities!$N$10</f>
        <v>TRARLDV</v>
      </c>
      <c r="F46" s="148">
        <f t="shared" si="8"/>
        <v>2030</v>
      </c>
      <c r="G46" s="126">
        <f>BASE_YEAR+13</f>
        <v>2030</v>
      </c>
      <c r="H46" s="128">
        <f>'Reference Data'!N30</f>
        <v>577.77777777777783</v>
      </c>
      <c r="I46" s="125"/>
      <c r="J46" s="125"/>
      <c r="K46" s="128">
        <f>'Reference Data'!F30/1000</f>
        <v>30.371888999046643</v>
      </c>
      <c r="L46" s="125">
        <v>1</v>
      </c>
      <c r="M46" s="126">
        <v>20</v>
      </c>
      <c r="N46" s="130">
        <v>1E-3</v>
      </c>
      <c r="S46" s="77"/>
      <c r="T46" s="77" t="str">
        <f>Commodities!$N$9&amp;"_"&amp;RIGHT(Commodities!$C$246,3)&amp;"_"&amp;$U$3&amp;"03"</f>
        <v>TRARHDV_DSL_S03</v>
      </c>
      <c r="U46" s="77" t="s">
        <v>1006</v>
      </c>
      <c r="V46" s="107" t="str">
        <f t="shared" ref="V46:W52" si="9">V7</f>
        <v>MVkms</v>
      </c>
      <c r="W46" s="107" t="str">
        <f t="shared" si="9"/>
        <v>000s_Units</v>
      </c>
      <c r="X46" s="77"/>
      <c r="Y46" s="107" t="str">
        <f t="shared" ref="Y46:Y52" si="10">Y7</f>
        <v>DEMO</v>
      </c>
      <c r="Z46" s="77"/>
    </row>
    <row r="47" spans="1:26" ht="13.8" x14ac:dyDescent="0.25">
      <c r="A47" s="89"/>
      <c r="B47" s="79" t="str">
        <f t="shared" si="6"/>
        <v>TRARLDV_HYB_GSL_N01</v>
      </c>
      <c r="C47" s="79" t="str">
        <f t="shared" si="7"/>
        <v>LDV NEW Hybrid GSL</v>
      </c>
      <c r="D47" s="79" t="str">
        <f>Commodities!$C$247</f>
        <v>TRAOILGSL</v>
      </c>
      <c r="E47" s="79" t="str">
        <f>Commodities!$N$10</f>
        <v>TRARLDV</v>
      </c>
      <c r="F47" s="147">
        <f t="shared" si="8"/>
        <v>2020</v>
      </c>
      <c r="G47" s="119">
        <f>BASE_YEAR+3</f>
        <v>2020</v>
      </c>
      <c r="H47" s="138">
        <f>'Reference Data'!K29</f>
        <v>308.14814814814815</v>
      </c>
      <c r="I47" s="79"/>
      <c r="J47" s="79"/>
      <c r="K47" s="138">
        <f>'Reference Data'!C29/1000</f>
        <v>22.131080963535975</v>
      </c>
      <c r="L47" s="77">
        <v>1</v>
      </c>
      <c r="M47" s="119">
        <v>20</v>
      </c>
      <c r="N47" s="122">
        <v>1E-3</v>
      </c>
      <c r="S47" s="77"/>
      <c r="T47" s="77" t="str">
        <f>Commodities!$N$9&amp;"_"&amp;RIGHT(Commodities!$C$246,3)&amp;"_"&amp;$U$3&amp;"04"</f>
        <v>TRARHDV_DSL_S04</v>
      </c>
      <c r="U47" s="77" t="s">
        <v>1007</v>
      </c>
      <c r="V47" s="107" t="str">
        <f t="shared" si="9"/>
        <v>MVkms</v>
      </c>
      <c r="W47" s="107" t="str">
        <f t="shared" si="9"/>
        <v>000s_Units</v>
      </c>
      <c r="X47" s="77"/>
      <c r="Y47" s="107" t="str">
        <f t="shared" si="10"/>
        <v>DEMO</v>
      </c>
      <c r="Z47" s="77"/>
    </row>
    <row r="48" spans="1:26" ht="13.8" x14ac:dyDescent="0.25">
      <c r="B48" s="125" t="str">
        <f t="shared" si="6"/>
        <v>TRARLDV_HYB_GSL_N_AD</v>
      </c>
      <c r="C48" s="125" t="str">
        <f t="shared" si="7"/>
        <v>LDV NEW Advanced Hybrid GSL</v>
      </c>
      <c r="D48" s="125" t="str">
        <f>Commodities!$C$247</f>
        <v>TRAOILGSL</v>
      </c>
      <c r="E48" s="125" t="str">
        <f>Commodities!$N$10</f>
        <v>TRARLDV</v>
      </c>
      <c r="F48" s="148">
        <f t="shared" si="8"/>
        <v>2030</v>
      </c>
      <c r="G48" s="126">
        <f>BASE_YEAR+13</f>
        <v>2030</v>
      </c>
      <c r="H48" s="128">
        <f>'Reference Data'!N29</f>
        <v>616.29629629629642</v>
      </c>
      <c r="I48" s="125"/>
      <c r="J48" s="125"/>
      <c r="K48" s="128">
        <f>'Reference Data'!F29/1000</f>
        <v>24.672438653957315</v>
      </c>
      <c r="L48" s="125">
        <v>1</v>
      </c>
      <c r="M48" s="126">
        <v>20</v>
      </c>
      <c r="N48" s="130">
        <v>1E-3</v>
      </c>
      <c r="S48" s="77"/>
      <c r="T48" s="77" t="str">
        <f>Commodities!$N$9&amp;"_"&amp;RIGHT(Commodities!$C$246,3)&amp;"_"&amp;$U$3&amp;"05"</f>
        <v>TRARHDV_DSL_S05</v>
      </c>
      <c r="U48" s="77" t="s">
        <v>1008</v>
      </c>
      <c r="V48" s="107" t="str">
        <f t="shared" si="9"/>
        <v>MVkms</v>
      </c>
      <c r="W48" s="107" t="str">
        <f t="shared" si="9"/>
        <v>000s_Units</v>
      </c>
      <c r="X48" s="77"/>
      <c r="Y48" s="107" t="str">
        <f t="shared" si="10"/>
        <v>DEMO</v>
      </c>
      <c r="Z48" s="77"/>
    </row>
    <row r="49" spans="2:26" ht="13.8" x14ac:dyDescent="0.25">
      <c r="B49" s="79" t="str">
        <f t="shared" si="6"/>
        <v>TRARLDV_B20_N_IM</v>
      </c>
      <c r="C49" s="79" t="str">
        <f t="shared" si="7"/>
        <v>LDV NEW B20 Imp</v>
      </c>
      <c r="D49" s="79" t="str">
        <f>Commodities!$C$349</f>
        <v>TRABIOB20</v>
      </c>
      <c r="E49" s="79" t="str">
        <f>Commodities!$N$10</f>
        <v>TRARLDV</v>
      </c>
      <c r="F49" s="147">
        <f t="shared" si="8"/>
        <v>2025</v>
      </c>
      <c r="G49" s="119">
        <f>BASE_YEAR+8</f>
        <v>2025</v>
      </c>
      <c r="H49" s="138">
        <f>H36</f>
        <v>419.35483870967744</v>
      </c>
      <c r="I49" s="79"/>
      <c r="J49" s="79"/>
      <c r="K49" s="138">
        <f>K34*1.18</f>
        <v>27.656813313253704</v>
      </c>
      <c r="L49" s="79">
        <v>1</v>
      </c>
      <c r="M49" s="119">
        <v>20</v>
      </c>
      <c r="N49" s="122">
        <v>1E-3</v>
      </c>
      <c r="S49" s="125"/>
      <c r="T49" s="125" t="str">
        <f>Commodities!$N$9&amp;"_"&amp;RIGHT(Commodities!$C$246,3)&amp;"_"&amp;$U$3&amp;"_AD"</f>
        <v>TRARHDV_DSL_S_AD</v>
      </c>
      <c r="U49" s="125" t="s">
        <v>1009</v>
      </c>
      <c r="V49" s="126" t="str">
        <f t="shared" si="9"/>
        <v>MVkms</v>
      </c>
      <c r="W49" s="126" t="str">
        <f t="shared" si="9"/>
        <v>000s_Units</v>
      </c>
      <c r="X49" s="125"/>
      <c r="Y49" s="126" t="str">
        <f t="shared" si="10"/>
        <v>DEMO</v>
      </c>
      <c r="Z49" s="125"/>
    </row>
    <row r="50" spans="2:26" ht="14.25" customHeight="1" x14ac:dyDescent="0.25">
      <c r="B50" s="125" t="str">
        <f t="shared" si="6"/>
        <v>TRARLDV_B20_N_AD</v>
      </c>
      <c r="C50" s="125" t="str">
        <f t="shared" si="7"/>
        <v>LDV NEW B20 Adv</v>
      </c>
      <c r="D50" s="125" t="str">
        <f>D49</f>
        <v>TRABIOB20</v>
      </c>
      <c r="E50" s="125" t="str">
        <f>Commodities!$N$10</f>
        <v>TRARLDV</v>
      </c>
      <c r="F50" s="148">
        <f t="shared" si="8"/>
        <v>2030</v>
      </c>
      <c r="G50" s="126">
        <f>BASE_YEAR+13</f>
        <v>2030</v>
      </c>
      <c r="H50" s="128">
        <f>H37</f>
        <v>472.72727272727275</v>
      </c>
      <c r="I50" s="125"/>
      <c r="J50" s="125"/>
      <c r="K50" s="128">
        <f>K35*1.26</f>
        <v>30.52541862398277</v>
      </c>
      <c r="L50" s="125">
        <v>1</v>
      </c>
      <c r="M50" s="126">
        <v>20</v>
      </c>
      <c r="N50" s="130">
        <v>1E-3</v>
      </c>
      <c r="S50" s="77"/>
      <c r="T50" s="77" t="str">
        <f>Commodities!$N$9&amp;"_"&amp;LEFT(RIGHT(Commodities!$C$255,6),3)&amp;"_"&amp;$U$3&amp;"04"</f>
        <v>TRARHDV_GAS_S04</v>
      </c>
      <c r="U50" s="77" t="s">
        <v>1010</v>
      </c>
      <c r="V50" s="107" t="str">
        <f t="shared" si="9"/>
        <v>MVkms</v>
      </c>
      <c r="W50" s="107" t="str">
        <f t="shared" si="9"/>
        <v>000s_Units</v>
      </c>
      <c r="X50" s="77"/>
      <c r="Y50" s="107" t="str">
        <f t="shared" si="10"/>
        <v>DEMO</v>
      </c>
      <c r="Z50" s="77"/>
    </row>
    <row r="51" spans="2:26" ht="17.25" customHeight="1" x14ac:dyDescent="0.25">
      <c r="B51" s="79" t="str">
        <f t="shared" si="6"/>
        <v>TRARLDV_B100_N_IM</v>
      </c>
      <c r="C51" s="79" t="str">
        <f t="shared" si="7"/>
        <v>LDV NEW B100 Imp</v>
      </c>
      <c r="D51" s="79" t="str">
        <f>Commodities!$C$257</f>
        <v>TRABIODSL</v>
      </c>
      <c r="E51" s="79" t="str">
        <f>Commodities!$N$10</f>
        <v>TRARLDV</v>
      </c>
      <c r="F51" s="147">
        <f t="shared" si="8"/>
        <v>2025</v>
      </c>
      <c r="G51" s="119">
        <f>BASE_YEAR+8</f>
        <v>2025</v>
      </c>
      <c r="H51" s="138">
        <f>H49</f>
        <v>419.35483870967744</v>
      </c>
      <c r="I51" s="79"/>
      <c r="J51" s="79"/>
      <c r="K51" s="138">
        <f>K34*1.2</f>
        <v>28.125572860935971</v>
      </c>
      <c r="L51" s="79">
        <v>1</v>
      </c>
      <c r="M51" s="119">
        <v>20</v>
      </c>
      <c r="N51" s="122">
        <v>1E-3</v>
      </c>
      <c r="S51" s="77"/>
      <c r="T51" s="77" t="str">
        <f>Commodities!$N$9&amp;"_"&amp;LEFT(RIGHT(Commodities!$C$255,6),3)&amp;"_"&amp;$U$3&amp;"05"</f>
        <v>TRARHDV_GAS_S05</v>
      </c>
      <c r="U51" s="77" t="s">
        <v>1011</v>
      </c>
      <c r="V51" s="107" t="str">
        <f t="shared" si="9"/>
        <v>MVkms</v>
      </c>
      <c r="W51" s="107" t="str">
        <f t="shared" si="9"/>
        <v>000s_Units</v>
      </c>
      <c r="X51" s="77"/>
      <c r="Y51" s="107" t="str">
        <f t="shared" si="10"/>
        <v>DEMO</v>
      </c>
      <c r="Z51" s="77"/>
    </row>
    <row r="52" spans="2:26" ht="13.8" x14ac:dyDescent="0.25">
      <c r="B52" s="125" t="str">
        <f t="shared" si="6"/>
        <v>TRARLDV_B100_N_AD</v>
      </c>
      <c r="C52" s="125" t="str">
        <f t="shared" si="7"/>
        <v>LDV NEW B100 Adv</v>
      </c>
      <c r="D52" s="125" t="str">
        <f>Commodities!$C$257</f>
        <v>TRABIODSL</v>
      </c>
      <c r="E52" s="125" t="str">
        <f>Commodities!$N$10</f>
        <v>TRARLDV</v>
      </c>
      <c r="F52" s="148">
        <f t="shared" si="8"/>
        <v>2030</v>
      </c>
      <c r="G52" s="126">
        <f>BASE_YEAR+13</f>
        <v>2030</v>
      </c>
      <c r="H52" s="128">
        <f>H50</f>
        <v>472.72727272727275</v>
      </c>
      <c r="I52" s="125"/>
      <c r="J52" s="125"/>
      <c r="K52" s="128">
        <f>K35*1.2</f>
        <v>29.071827260935969</v>
      </c>
      <c r="L52" s="125">
        <v>1</v>
      </c>
      <c r="M52" s="126">
        <v>20</v>
      </c>
      <c r="N52" s="130">
        <v>1E-3</v>
      </c>
      <c r="S52" s="125"/>
      <c r="T52" s="125" t="str">
        <f>Commodities!$N$9&amp;"_"&amp;LEFT(RIGHT(Commodities!$C$255,6),3)&amp;"_"&amp;$U$3&amp;"_AD"</f>
        <v>TRARHDV_GAS_S_AD</v>
      </c>
      <c r="U52" s="125" t="s">
        <v>1012</v>
      </c>
      <c r="V52" s="126" t="str">
        <f t="shared" si="9"/>
        <v>MVkms</v>
      </c>
      <c r="W52" s="126" t="str">
        <f t="shared" si="9"/>
        <v>000s_Units</v>
      </c>
      <c r="X52" s="125"/>
      <c r="Y52" s="126" t="str">
        <f t="shared" si="10"/>
        <v>DEMO</v>
      </c>
      <c r="Z52" s="125"/>
    </row>
    <row r="53" spans="2:26" ht="13.8" x14ac:dyDescent="0.25">
      <c r="B53" s="79" t="str">
        <f t="shared" si="6"/>
        <v>TRARLDV_H2G_N_IM</v>
      </c>
      <c r="C53" s="79" t="str">
        <f t="shared" si="7"/>
        <v xml:space="preserve">LDV NEW Hydrogen Imp </v>
      </c>
      <c r="D53" s="79" t="s">
        <v>817</v>
      </c>
      <c r="E53" s="79" t="str">
        <f>Commodities!$N$10</f>
        <v>TRARLDV</v>
      </c>
      <c r="F53" s="147">
        <f t="shared" si="8"/>
        <v>2035</v>
      </c>
      <c r="G53" s="119">
        <f>BASE_YEAR+18</f>
        <v>2035</v>
      </c>
      <c r="H53" s="120">
        <f>H55*0.7</f>
        <v>420</v>
      </c>
      <c r="I53" s="79"/>
      <c r="J53" s="79"/>
      <c r="K53" s="138">
        <f>K34*2</f>
        <v>46.87595476822662</v>
      </c>
      <c r="L53" s="79">
        <v>1</v>
      </c>
      <c r="M53" s="119">
        <v>20</v>
      </c>
      <c r="N53" s="122">
        <v>1E-3</v>
      </c>
      <c r="S53" s="77"/>
      <c r="T53" s="77" t="str">
        <f>Commodities!$N$9&amp;"_B20_"&amp;$U$3&amp;"_IM"</f>
        <v>TRARHDV_B20_S_IM</v>
      </c>
      <c r="U53" s="77" t="s">
        <v>1043</v>
      </c>
      <c r="V53" s="107" t="str">
        <f t="shared" ref="V53:W65" si="11">V16</f>
        <v>MVkms</v>
      </c>
      <c r="W53" s="107" t="str">
        <f t="shared" si="11"/>
        <v>000s_Units</v>
      </c>
      <c r="X53" s="77"/>
      <c r="Y53" s="107" t="str">
        <f t="shared" ref="Y53:Y82" si="12">Y16</f>
        <v>DEMO</v>
      </c>
      <c r="Z53" s="77"/>
    </row>
    <row r="54" spans="2:26" ht="13.8" x14ac:dyDescent="0.25">
      <c r="B54" s="125" t="str">
        <f t="shared" si="6"/>
        <v>TRARLDV_H2G_N_AD</v>
      </c>
      <c r="C54" s="125" t="str">
        <f t="shared" si="7"/>
        <v xml:space="preserve">LDV NEW Hydrogen Adv. </v>
      </c>
      <c r="D54" s="125" t="s">
        <v>817</v>
      </c>
      <c r="E54" s="125" t="str">
        <f>Commodities!$N$10</f>
        <v>TRARLDV</v>
      </c>
      <c r="F54" s="148">
        <f t="shared" si="8"/>
        <v>2040</v>
      </c>
      <c r="G54" s="126">
        <f>BASE_YEAR+23</f>
        <v>2040</v>
      </c>
      <c r="H54" s="128">
        <f>H53*1.1</f>
        <v>462.00000000000006</v>
      </c>
      <c r="I54" s="125"/>
      <c r="J54" s="125"/>
      <c r="K54" s="128">
        <f>K53*1.1</f>
        <v>51.563550245049285</v>
      </c>
      <c r="L54" s="125">
        <v>1</v>
      </c>
      <c r="M54" s="126">
        <v>20</v>
      </c>
      <c r="N54" s="130">
        <v>1E-3</v>
      </c>
      <c r="S54" s="125"/>
      <c r="T54" s="125" t="str">
        <f>Commodities!$N$9&amp;"_B20_"&amp;$U$3&amp;"_AD"</f>
        <v>TRARHDV_B20_S_AD</v>
      </c>
      <c r="U54" s="125" t="s">
        <v>1044</v>
      </c>
      <c r="V54" s="126" t="str">
        <f t="shared" si="11"/>
        <v>MVkms</v>
      </c>
      <c r="W54" s="126" t="str">
        <f t="shared" si="11"/>
        <v>000s_Units</v>
      </c>
      <c r="X54" s="125"/>
      <c r="Y54" s="126" t="str">
        <f t="shared" si="12"/>
        <v>DEMO</v>
      </c>
      <c r="Z54" s="125"/>
    </row>
    <row r="55" spans="2:26" ht="13.8" x14ac:dyDescent="0.25">
      <c r="B55" s="77" t="str">
        <f t="shared" si="6"/>
        <v>TRARLDV_ELC_N01</v>
      </c>
      <c r="C55" s="77" t="str">
        <f t="shared" si="7"/>
        <v>LDV NEW Electric ELC</v>
      </c>
      <c r="D55" s="77" t="str">
        <f>T91</f>
        <v>TRABATLDV</v>
      </c>
      <c r="E55" s="77" t="str">
        <f>Commodities!$N$10</f>
        <v>TRARLDV</v>
      </c>
      <c r="F55" s="147">
        <f t="shared" si="8"/>
        <v>2020</v>
      </c>
      <c r="G55" s="119">
        <f>BASE_YEAR+3</f>
        <v>2020</v>
      </c>
      <c r="H55" s="107">
        <f>150+450</f>
        <v>600</v>
      </c>
      <c r="I55" s="77"/>
      <c r="J55" s="77"/>
      <c r="K55" s="138">
        <f>30*(1/0.9)</f>
        <v>33.333333333333336</v>
      </c>
      <c r="L55" s="77">
        <v>1</v>
      </c>
      <c r="M55" s="107">
        <v>20</v>
      </c>
      <c r="N55" s="122">
        <v>1E-3</v>
      </c>
      <c r="S55" s="77"/>
      <c r="T55" s="77" t="str">
        <f>Commodities!$N$9&amp;"_B100_"&amp;$U$3&amp;"_IM"</f>
        <v>TRARHDV_B100_S_IM</v>
      </c>
      <c r="U55" s="77" t="s">
        <v>1045</v>
      </c>
      <c r="V55" s="107" t="str">
        <f t="shared" si="11"/>
        <v>MVkms</v>
      </c>
      <c r="W55" s="107" t="str">
        <f t="shared" si="11"/>
        <v>000s_Units</v>
      </c>
      <c r="X55" s="77"/>
      <c r="Y55" s="107" t="str">
        <f t="shared" si="12"/>
        <v>DEMO</v>
      </c>
      <c r="Z55" s="77"/>
    </row>
    <row r="56" spans="2:26" ht="13.8" x14ac:dyDescent="0.25">
      <c r="B56" s="77" t="str">
        <f t="shared" si="6"/>
        <v>TRARLDV_ELC_N_IM</v>
      </c>
      <c r="C56" s="77" t="str">
        <f t="shared" si="7"/>
        <v>LDV NEW Electric Improved ELC</v>
      </c>
      <c r="D56" s="77" t="str">
        <f>D55</f>
        <v>TRABATLDV</v>
      </c>
      <c r="E56" s="77" t="str">
        <f>Commodities!$N$10</f>
        <v>TRARLDV</v>
      </c>
      <c r="F56" s="147">
        <f t="shared" si="8"/>
        <v>2025</v>
      </c>
      <c r="G56" s="119">
        <f>BASE_YEAR+8</f>
        <v>2025</v>
      </c>
      <c r="H56" s="107">
        <f>165+500</f>
        <v>665</v>
      </c>
      <c r="I56" s="77"/>
      <c r="J56" s="77"/>
      <c r="K56" s="138">
        <f>35*(1/0.9)</f>
        <v>38.888888888888893</v>
      </c>
      <c r="L56" s="77">
        <v>1</v>
      </c>
      <c r="M56" s="107">
        <v>20</v>
      </c>
      <c r="N56" s="122">
        <v>1E-3</v>
      </c>
      <c r="S56" s="125"/>
      <c r="T56" s="125" t="str">
        <f>Commodities!$N$9&amp;"_B100_"&amp;$U$3&amp;"_AD"</f>
        <v>TRARHDV_B100_S_AD</v>
      </c>
      <c r="U56" s="125" t="s">
        <v>1046</v>
      </c>
      <c r="V56" s="126" t="str">
        <f t="shared" si="11"/>
        <v>MVkms</v>
      </c>
      <c r="W56" s="126" t="str">
        <f t="shared" si="11"/>
        <v>000s_Units</v>
      </c>
      <c r="X56" s="125"/>
      <c r="Y56" s="126" t="str">
        <f t="shared" si="12"/>
        <v>DEMO</v>
      </c>
      <c r="Z56" s="125"/>
    </row>
    <row r="57" spans="2:26" ht="13.8" x14ac:dyDescent="0.25">
      <c r="B57" s="125" t="str">
        <f t="shared" si="6"/>
        <v>TRARLDV_ELC_N_AD</v>
      </c>
      <c r="C57" s="125" t="str">
        <f t="shared" si="7"/>
        <v>LDV NEW Electric Advanced ELC</v>
      </c>
      <c r="D57" s="125" t="str">
        <f>D56</f>
        <v>TRABATLDV</v>
      </c>
      <c r="E57" s="125" t="str">
        <f>Commodities!$N$10</f>
        <v>TRARLDV</v>
      </c>
      <c r="F57" s="148">
        <f t="shared" si="8"/>
        <v>2035</v>
      </c>
      <c r="G57" s="126">
        <v>2035</v>
      </c>
      <c r="H57" s="126">
        <f>181.5+800</f>
        <v>981.5</v>
      </c>
      <c r="I57" s="125"/>
      <c r="J57" s="125"/>
      <c r="K57" s="128">
        <f>38*(1/0.9)</f>
        <v>42.222222222222221</v>
      </c>
      <c r="L57" s="125">
        <v>1</v>
      </c>
      <c r="M57" s="126">
        <v>20</v>
      </c>
      <c r="N57" s="130">
        <v>1E-3</v>
      </c>
      <c r="S57" s="77"/>
      <c r="T57" s="77" t="str">
        <f>Commodities!$N$9&amp;"_H2G_"&amp;$U$3&amp;"_IM"</f>
        <v>TRARHDV_H2G_S_IM</v>
      </c>
      <c r="U57" s="77" t="s">
        <v>1013</v>
      </c>
      <c r="V57" s="107" t="str">
        <f t="shared" si="11"/>
        <v>MVkms</v>
      </c>
      <c r="W57" s="107" t="str">
        <f t="shared" si="11"/>
        <v>000s_Units</v>
      </c>
      <c r="X57" s="79"/>
      <c r="Y57" s="119" t="str">
        <f t="shared" si="12"/>
        <v>DEMO</v>
      </c>
      <c r="Z57" s="77"/>
    </row>
    <row r="58" spans="2:26" ht="13.8" x14ac:dyDescent="0.25">
      <c r="S58" s="125"/>
      <c r="T58" s="125" t="str">
        <f>Commodities!$N$9&amp;"_H2G_"&amp;$U$3&amp;"_AD"</f>
        <v>TRARHDV_H2G_S_AD</v>
      </c>
      <c r="U58" s="125" t="s">
        <v>1014</v>
      </c>
      <c r="V58" s="126" t="str">
        <f t="shared" si="11"/>
        <v>MVkms</v>
      </c>
      <c r="W58" s="126" t="str">
        <f t="shared" si="11"/>
        <v>000s_Units</v>
      </c>
      <c r="X58" s="125"/>
      <c r="Y58" s="126" t="str">
        <f t="shared" si="12"/>
        <v>DEMO</v>
      </c>
      <c r="Z58" s="125"/>
    </row>
    <row r="59" spans="2:26" ht="13.8" x14ac:dyDescent="0.25">
      <c r="S59" s="77"/>
      <c r="T59" s="77" t="str">
        <f>Commodities!$N$10&amp;"_"&amp;RIGHT(Commodities!$C$246,3)&amp;"_"&amp;$U$3&amp;"03"</f>
        <v>TRARLDV_DSL_S03</v>
      </c>
      <c r="U59" s="77" t="s">
        <v>1015</v>
      </c>
      <c r="V59" s="107" t="str">
        <f t="shared" si="11"/>
        <v>MVkms</v>
      </c>
      <c r="W59" s="107" t="str">
        <f t="shared" si="11"/>
        <v>000s_Units</v>
      </c>
      <c r="X59" s="77"/>
      <c r="Y59" s="107" t="str">
        <f t="shared" si="12"/>
        <v>DEMO</v>
      </c>
      <c r="Z59" s="77"/>
    </row>
    <row r="60" spans="2:26" ht="17.399999999999999" x14ac:dyDescent="0.3">
      <c r="B60" s="78" t="s">
        <v>903</v>
      </c>
      <c r="S60" s="77"/>
      <c r="T60" s="77" t="str">
        <f>Commodities!$N$10&amp;"_"&amp;RIGHT(Commodities!$C$246,3)&amp;"_"&amp;$U$3&amp;"04"</f>
        <v>TRARLDV_DSL_S04</v>
      </c>
      <c r="U60" s="77" t="s">
        <v>1016</v>
      </c>
      <c r="V60" s="107" t="str">
        <f t="shared" si="11"/>
        <v>MVkms</v>
      </c>
      <c r="W60" s="107" t="str">
        <f t="shared" si="11"/>
        <v>000s_Units</v>
      </c>
      <c r="X60" s="77"/>
      <c r="Y60" s="107" t="str">
        <f t="shared" si="12"/>
        <v>DEMO</v>
      </c>
      <c r="Z60" s="77"/>
    </row>
    <row r="61" spans="2:26" ht="13.8" x14ac:dyDescent="0.25">
      <c r="H61" s="140" t="s">
        <v>1114</v>
      </c>
      <c r="K61" s="140" t="s">
        <v>1108</v>
      </c>
      <c r="M61" s="141" t="s">
        <v>1106</v>
      </c>
      <c r="S61" s="77"/>
      <c r="T61" s="77" t="str">
        <f>Commodities!$N$10&amp;"_"&amp;RIGHT(Commodities!$C$246,3)&amp;"_"&amp;$U$3&amp;"05"</f>
        <v>TRARLDV_DSL_S05</v>
      </c>
      <c r="U61" s="77" t="s">
        <v>1017</v>
      </c>
      <c r="V61" s="107" t="str">
        <f t="shared" si="11"/>
        <v>MVkms</v>
      </c>
      <c r="W61" s="107" t="str">
        <f t="shared" si="11"/>
        <v>000s_Units</v>
      </c>
      <c r="X61" s="77"/>
      <c r="Y61" s="107" t="str">
        <f t="shared" si="12"/>
        <v>DEMO</v>
      </c>
      <c r="Z61" s="77"/>
    </row>
    <row r="62" spans="2:26" ht="17.399999999999999" x14ac:dyDescent="0.3">
      <c r="B62" s="78" t="s">
        <v>826</v>
      </c>
      <c r="C62" s="78"/>
      <c r="D62" s="77"/>
      <c r="E62" s="77"/>
      <c r="F62" s="77"/>
      <c r="G62" s="107"/>
      <c r="H62" s="142">
        <v>0.75</v>
      </c>
      <c r="I62" s="77"/>
      <c r="J62" s="143" t="s">
        <v>1105</v>
      </c>
      <c r="K62" s="142">
        <v>0.6</v>
      </c>
      <c r="L62" s="77"/>
      <c r="M62" s="142">
        <v>10</v>
      </c>
      <c r="N62" s="77"/>
      <c r="S62" s="125"/>
      <c r="T62" s="125" t="str">
        <f>Commodities!$N$10&amp;"_"&amp;RIGHT(Commodities!$C$246,3)&amp;"_"&amp;$U$3&amp;"_AD"</f>
        <v>TRARLDV_DSL_S_AD</v>
      </c>
      <c r="U62" s="125" t="s">
        <v>1018</v>
      </c>
      <c r="V62" s="126" t="str">
        <f t="shared" si="11"/>
        <v>MVkms</v>
      </c>
      <c r="W62" s="126" t="str">
        <f t="shared" si="11"/>
        <v>000s_Units</v>
      </c>
      <c r="X62" s="125"/>
      <c r="Y62" s="126" t="str">
        <f t="shared" si="12"/>
        <v>DEMO</v>
      </c>
      <c r="Z62" s="125"/>
    </row>
    <row r="63" spans="2:26" ht="13.8" x14ac:dyDescent="0.25">
      <c r="S63" s="77"/>
      <c r="T63" s="77" t="str">
        <f>Commodities!$N$10&amp;"_"&amp;RIGHT(Commodities!$C$247,3)&amp;"_"&amp;$U$3&amp;"03"</f>
        <v>TRARLDV_GSL_S03</v>
      </c>
      <c r="U63" s="77" t="s">
        <v>1019</v>
      </c>
      <c r="V63" s="107" t="str">
        <f t="shared" si="11"/>
        <v>MVkms</v>
      </c>
      <c r="W63" s="107" t="str">
        <f t="shared" si="11"/>
        <v>000s_Units</v>
      </c>
      <c r="X63" s="77"/>
      <c r="Y63" s="107" t="str">
        <f t="shared" si="12"/>
        <v>DEMO</v>
      </c>
      <c r="Z63" s="77"/>
    </row>
    <row r="64" spans="2:26" ht="13.8" x14ac:dyDescent="0.25">
      <c r="B64" s="77"/>
      <c r="C64" s="77"/>
      <c r="D64" s="77"/>
      <c r="E64" s="86"/>
      <c r="F64" s="87" t="s">
        <v>0</v>
      </c>
      <c r="G64" s="140"/>
      <c r="H64" s="82"/>
      <c r="I64" s="77"/>
      <c r="J64" s="77"/>
      <c r="K64" s="77"/>
      <c r="L64" s="77"/>
      <c r="M64" s="77"/>
      <c r="N64" s="77"/>
      <c r="S64" s="77"/>
      <c r="T64" s="77" t="str">
        <f>Commodities!$N$10&amp;"_"&amp;RIGHT(Commodities!$C$247,3)&amp;"_"&amp;$U$3&amp;"04"</f>
        <v>TRARLDV_GSL_S04</v>
      </c>
      <c r="U64" s="77" t="s">
        <v>1020</v>
      </c>
      <c r="V64" s="107" t="str">
        <f t="shared" si="11"/>
        <v>MVkms</v>
      </c>
      <c r="W64" s="107" t="str">
        <f t="shared" si="11"/>
        <v>000s_Units</v>
      </c>
      <c r="X64" s="77"/>
      <c r="Y64" s="107" t="str">
        <f t="shared" si="12"/>
        <v>DEMO</v>
      </c>
      <c r="Z64" s="77"/>
    </row>
    <row r="65" spans="2:26" ht="13.8" x14ac:dyDescent="0.25">
      <c r="B65" s="90" t="s">
        <v>1</v>
      </c>
      <c r="C65" s="90" t="s">
        <v>809</v>
      </c>
      <c r="D65" s="90" t="s">
        <v>3</v>
      </c>
      <c r="E65" s="90" t="s">
        <v>4</v>
      </c>
      <c r="F65" s="91" t="s">
        <v>816</v>
      </c>
      <c r="G65" s="94" t="s">
        <v>15</v>
      </c>
      <c r="H65" s="93" t="s">
        <v>17</v>
      </c>
      <c r="I65" s="93" t="s">
        <v>38</v>
      </c>
      <c r="J65" s="93" t="s">
        <v>74</v>
      </c>
      <c r="K65" s="93" t="s">
        <v>43</v>
      </c>
      <c r="L65" s="93" t="s">
        <v>5</v>
      </c>
      <c r="M65" s="93" t="s">
        <v>49</v>
      </c>
      <c r="N65" s="93" t="s">
        <v>50</v>
      </c>
      <c r="S65" s="77"/>
      <c r="T65" s="77" t="str">
        <f>Commodities!$N$10&amp;"_"&amp;RIGHT(Commodities!$C$247,3)&amp;"_"&amp;$U$3&amp;"05"</f>
        <v>TRARLDV_GSL_S05</v>
      </c>
      <c r="U65" s="77" t="s">
        <v>1021</v>
      </c>
      <c r="V65" s="107" t="str">
        <f t="shared" si="11"/>
        <v>MVkms</v>
      </c>
      <c r="W65" s="107" t="str">
        <f t="shared" si="11"/>
        <v>000s_Units</v>
      </c>
      <c r="X65" s="77"/>
      <c r="Y65" s="107" t="str">
        <f t="shared" si="12"/>
        <v>DEMO</v>
      </c>
      <c r="Z65" s="77"/>
    </row>
    <row r="66" spans="2:26" ht="14.25" customHeight="1" thickBot="1" x14ac:dyDescent="0.3">
      <c r="B66" s="102" t="s">
        <v>824</v>
      </c>
      <c r="C66" s="102" t="s">
        <v>32</v>
      </c>
      <c r="D66" s="102" t="s">
        <v>36</v>
      </c>
      <c r="E66" s="102" t="s">
        <v>37</v>
      </c>
      <c r="F66" s="103"/>
      <c r="G66" s="104" t="s">
        <v>42</v>
      </c>
      <c r="H66" s="102" t="s">
        <v>40</v>
      </c>
      <c r="I66" s="102" t="s">
        <v>72</v>
      </c>
      <c r="J66" s="102" t="s">
        <v>75</v>
      </c>
      <c r="K66" s="104" t="s">
        <v>44</v>
      </c>
      <c r="L66" s="102" t="s">
        <v>45</v>
      </c>
      <c r="M66" s="102" t="s">
        <v>79</v>
      </c>
      <c r="N66" s="102" t="s">
        <v>41</v>
      </c>
      <c r="S66" s="125"/>
      <c r="T66" s="125" t="str">
        <f>Commodities!$N$10&amp;"_"&amp;RIGHT(Commodities!$C$247,3)&amp;"_"&amp;$U$3&amp;"_AD"</f>
        <v>TRARLDV_GSL_S_AD</v>
      </c>
      <c r="U66" s="125" t="s">
        <v>1022</v>
      </c>
      <c r="V66" s="126" t="str">
        <f t="shared" ref="V66:W82" si="13">V29</f>
        <v>MVkms</v>
      </c>
      <c r="W66" s="126" t="str">
        <f t="shared" si="13"/>
        <v>000s_Units</v>
      </c>
      <c r="X66" s="125"/>
      <c r="Y66" s="126" t="str">
        <f t="shared" si="12"/>
        <v>DEMO</v>
      </c>
      <c r="Z66" s="125"/>
    </row>
    <row r="67" spans="2:26" ht="13.8" x14ac:dyDescent="0.25">
      <c r="B67" s="175"/>
      <c r="C67" s="176"/>
      <c r="D67" s="176"/>
      <c r="E67" s="176" t="s">
        <v>813</v>
      </c>
      <c r="F67" s="177"/>
      <c r="G67" s="176"/>
      <c r="H67" s="176" t="str">
        <f>General!$D$12</f>
        <v>MVkms/PJ</v>
      </c>
      <c r="I67" s="176" t="str">
        <f>General!$D$14</f>
        <v>km/year</v>
      </c>
      <c r="J67" s="176" t="str">
        <f>General!$D$15</f>
        <v>passenger/vehicle</v>
      </c>
      <c r="K67" s="176" t="str">
        <f>General!$D$30</f>
        <v>000USD/unit</v>
      </c>
      <c r="L67" s="176" t="str">
        <f>General!$D$17</f>
        <v>k$/Unit</v>
      </c>
      <c r="M67" s="176" t="str">
        <f>General!$D$20</f>
        <v>Years</v>
      </c>
      <c r="N67" s="176" t="str">
        <f>General!$D$21</f>
        <v>(milion_vkm)/(thousand_vkm)</v>
      </c>
      <c r="S67" s="77"/>
      <c r="T67" s="77" t="str">
        <f>Commodities!$N$10&amp;"_"&amp;LEFT(RIGHT(Commodities!$C$255,6),3)&amp;"_"&amp;$U$3&amp;"04"</f>
        <v>TRARLDV_GAS_S04</v>
      </c>
      <c r="U67" s="77" t="s">
        <v>1023</v>
      </c>
      <c r="V67" s="107" t="str">
        <f t="shared" si="13"/>
        <v>MVkms</v>
      </c>
      <c r="W67" s="107" t="str">
        <f t="shared" si="13"/>
        <v>000s_Units</v>
      </c>
      <c r="X67" s="77"/>
      <c r="Y67" s="107" t="str">
        <f t="shared" si="12"/>
        <v>DEMO</v>
      </c>
      <c r="Z67" s="77"/>
    </row>
    <row r="68" spans="2:26" ht="13.8" x14ac:dyDescent="0.25">
      <c r="B68" s="77" t="str">
        <f>T46</f>
        <v>TRARHDV_DSL_S03</v>
      </c>
      <c r="C68" s="77" t="str">
        <f>U46</f>
        <v>HDV Second Hand Euro 4&amp;5 DSL</v>
      </c>
      <c r="D68" s="77" t="str">
        <f>Commodities!$C$246</f>
        <v>TRAOILDSL</v>
      </c>
      <c r="E68" s="77" t="str">
        <f>Commodities!$N$9</f>
        <v>TRARHDV</v>
      </c>
      <c r="F68" s="147">
        <f>F8</f>
        <v>2018</v>
      </c>
      <c r="G68" s="119">
        <f>BASE_YEAR+1</f>
        <v>2018</v>
      </c>
      <c r="H68" s="120">
        <f>H8*$H$62</f>
        <v>162.45127977818601</v>
      </c>
      <c r="I68" s="77"/>
      <c r="J68" s="77"/>
      <c r="K68" s="120">
        <f>K8*$K$62</f>
        <v>41.534439722387198</v>
      </c>
      <c r="L68" s="120">
        <v>2</v>
      </c>
      <c r="M68" s="107">
        <f>M8-$M$62</f>
        <v>10</v>
      </c>
      <c r="N68" s="122">
        <v>1E-3</v>
      </c>
      <c r="S68" s="77"/>
      <c r="T68" s="77" t="str">
        <f>Commodities!$N$10&amp;"_"&amp;LEFT(RIGHT(Commodities!$C$255,6),3)&amp;"_"&amp;$U$3&amp;"05"</f>
        <v>TRARLDV_GAS_S05</v>
      </c>
      <c r="U68" s="77" t="s">
        <v>1024</v>
      </c>
      <c r="V68" s="107" t="str">
        <f t="shared" si="13"/>
        <v>MVkms</v>
      </c>
      <c r="W68" s="107" t="str">
        <f t="shared" si="13"/>
        <v>000s_Units</v>
      </c>
      <c r="X68" s="77"/>
      <c r="Y68" s="107" t="str">
        <f t="shared" si="12"/>
        <v>DEMO</v>
      </c>
      <c r="Z68" s="77"/>
    </row>
    <row r="69" spans="2:26" ht="13.8" x14ac:dyDescent="0.25">
      <c r="B69" s="77" t="str">
        <f t="shared" ref="B69:C80" si="14">T47</f>
        <v>TRARHDV_DSL_S04</v>
      </c>
      <c r="C69" s="77" t="str">
        <f t="shared" si="14"/>
        <v>HDV Second Hand Euro 6 DSL</v>
      </c>
      <c r="D69" s="77" t="str">
        <f>Commodities!$C$246</f>
        <v>TRAOILDSL</v>
      </c>
      <c r="E69" s="77" t="str">
        <f>Commodities!$N$9</f>
        <v>TRARHDV</v>
      </c>
      <c r="F69" s="147">
        <f>F9</f>
        <v>2020</v>
      </c>
      <c r="G69" s="119">
        <f>F69+5</f>
        <v>2025</v>
      </c>
      <c r="H69" s="120">
        <f>H9*$H$62</f>
        <v>176.57747801976737</v>
      </c>
      <c r="I69" s="77"/>
      <c r="J69" s="77"/>
      <c r="K69" s="120">
        <f>K9*$K$62</f>
        <v>42.928039722387204</v>
      </c>
      <c r="L69" s="120">
        <v>2</v>
      </c>
      <c r="M69" s="107">
        <f>M9-$M$62</f>
        <v>10</v>
      </c>
      <c r="N69" s="122">
        <v>1E-3</v>
      </c>
      <c r="S69" s="125"/>
      <c r="T69" s="125" t="str">
        <f>Commodities!$N$10&amp;"_"&amp;LEFT(RIGHT(Commodities!$C$255,6),3)&amp;"_"&amp;$U$3&amp;"_AD"</f>
        <v>TRARLDV_GAS_S_AD</v>
      </c>
      <c r="U69" s="125" t="s">
        <v>1025</v>
      </c>
      <c r="V69" s="126" t="str">
        <f t="shared" si="13"/>
        <v>MVkms</v>
      </c>
      <c r="W69" s="126" t="str">
        <f t="shared" si="13"/>
        <v>000s_Units</v>
      </c>
      <c r="X69" s="125"/>
      <c r="Y69" s="126" t="str">
        <f t="shared" si="12"/>
        <v>DEMO</v>
      </c>
      <c r="Z69" s="125"/>
    </row>
    <row r="70" spans="2:26" ht="13.8" x14ac:dyDescent="0.25">
      <c r="B70" s="77" t="str">
        <f t="shared" si="14"/>
        <v>TRARHDV_DSL_S05</v>
      </c>
      <c r="C70" s="77" t="str">
        <f t="shared" si="14"/>
        <v>HDV Second Hand Post Euro 6 DSL</v>
      </c>
      <c r="D70" s="77" t="str">
        <f>Commodities!$C$246</f>
        <v>TRAOILDSL</v>
      </c>
      <c r="E70" s="77" t="str">
        <f>Commodities!$N$9</f>
        <v>TRARHDV</v>
      </c>
      <c r="F70" s="147">
        <f>F10</f>
        <v>2025</v>
      </c>
      <c r="G70" s="119">
        <f t="shared" ref="G70" si="15">F70+5</f>
        <v>2030</v>
      </c>
      <c r="H70" s="120">
        <f>H10*$H$62</f>
        <v>198.11131680266584</v>
      </c>
      <c r="I70" s="77"/>
      <c r="J70" s="77"/>
      <c r="K70" s="120">
        <f>K10*$K$62</f>
        <v>45.440250795749556</v>
      </c>
      <c r="L70" s="120">
        <v>2</v>
      </c>
      <c r="M70" s="107">
        <f>M10-$M$62</f>
        <v>10</v>
      </c>
      <c r="N70" s="122">
        <v>1E-3</v>
      </c>
      <c r="S70" s="77"/>
      <c r="T70" s="77" t="str">
        <f>Commodities!$N$10&amp;"_HYB_"&amp;RIGHT(Commodities!$C$246,3)&amp;"_"&amp;$U$3&amp;"01"</f>
        <v>TRARLDV_HYB_DSL_S01</v>
      </c>
      <c r="U70" s="77" t="s">
        <v>1026</v>
      </c>
      <c r="V70" s="107" t="str">
        <f t="shared" si="13"/>
        <v>MVkms</v>
      </c>
      <c r="W70" s="107" t="str">
        <f t="shared" si="13"/>
        <v>000s_Units</v>
      </c>
      <c r="X70" s="79"/>
      <c r="Y70" s="119" t="str">
        <f t="shared" si="12"/>
        <v>DEMO</v>
      </c>
      <c r="Z70" s="77"/>
    </row>
    <row r="71" spans="2:26" ht="13.8" x14ac:dyDescent="0.25">
      <c r="B71" s="125" t="str">
        <f t="shared" si="14"/>
        <v>TRARHDV_DSL_S_AD</v>
      </c>
      <c r="C71" s="125" t="str">
        <f t="shared" si="14"/>
        <v>HDV Second Hand Advanced DSL</v>
      </c>
      <c r="D71" s="125" t="str">
        <f>Commodities!$C$246</f>
        <v>TRAOILDSL</v>
      </c>
      <c r="E71" s="125" t="str">
        <f>Commodities!$N$9</f>
        <v>TRARHDV</v>
      </c>
      <c r="F71" s="148">
        <f>F11</f>
        <v>2030</v>
      </c>
      <c r="G71" s="126">
        <v>2100</v>
      </c>
      <c r="H71" s="128">
        <f>H11*$H$62</f>
        <v>232.07325682598002</v>
      </c>
      <c r="I71" s="125"/>
      <c r="J71" s="125"/>
      <c r="K71" s="128">
        <f>K11*$K$62</f>
        <v>52.481167722387198</v>
      </c>
      <c r="L71" s="128">
        <v>2</v>
      </c>
      <c r="M71" s="126">
        <f>M11-$M$62</f>
        <v>10</v>
      </c>
      <c r="N71" s="130">
        <v>1E-3</v>
      </c>
      <c r="S71" s="125"/>
      <c r="T71" s="125" t="str">
        <f>Commodities!$N$10&amp;"_HYB_"&amp;RIGHT(Commodities!$C$246,3)&amp;"_"&amp;$U$3&amp;"_AD"</f>
        <v>TRARLDV_HYB_DSL_S_AD</v>
      </c>
      <c r="U71" s="125" t="s">
        <v>1027</v>
      </c>
      <c r="V71" s="126" t="str">
        <f t="shared" si="13"/>
        <v>MVkms</v>
      </c>
      <c r="W71" s="126" t="str">
        <f t="shared" si="13"/>
        <v>000s_Units</v>
      </c>
      <c r="X71" s="125"/>
      <c r="Y71" s="126" t="str">
        <f t="shared" si="12"/>
        <v>DEMO</v>
      </c>
      <c r="Z71" s="125"/>
    </row>
    <row r="72" spans="2:26" ht="13.8" x14ac:dyDescent="0.25">
      <c r="B72" s="77" t="str">
        <f t="shared" si="14"/>
        <v>TRARHDV_GAS_S04</v>
      </c>
      <c r="C72" s="77" t="str">
        <f t="shared" si="14"/>
        <v>HDV Second Hand Euro 6 GAS</v>
      </c>
      <c r="D72" s="77" t="str">
        <f>Commodities!$C$255</f>
        <v>TRAGASNAT</v>
      </c>
      <c r="E72" s="77" t="str">
        <f>Commodities!$N$9</f>
        <v>TRARHDV</v>
      </c>
      <c r="F72" s="147">
        <f t="shared" ref="F72:F80" si="16">F14</f>
        <v>2018</v>
      </c>
      <c r="G72" s="119">
        <f>BASE_YEAR+1</f>
        <v>2018</v>
      </c>
      <c r="H72" s="120">
        <f>H14*H62</f>
        <v>170.5738437670953</v>
      </c>
      <c r="I72" s="77"/>
      <c r="J72" s="77"/>
      <c r="K72" s="120">
        <f t="shared" ref="K72:K80" si="17">K14*$K$62</f>
        <v>46.755665454900893</v>
      </c>
      <c r="L72" s="120">
        <v>2</v>
      </c>
      <c r="M72" s="107">
        <f t="shared" ref="M72:M80" si="18">M14-$M$62</f>
        <v>5</v>
      </c>
      <c r="N72" s="122">
        <v>1E-3</v>
      </c>
      <c r="S72" s="77"/>
      <c r="T72" s="77" t="str">
        <f>Commodities!$N$10&amp;"_HYB_"&amp;RIGHT(Commodities!$C$247,3)&amp;"_"&amp;$U$3&amp;"01"</f>
        <v>TRARLDV_HYB_GSL_S01</v>
      </c>
      <c r="U72" s="77" t="s">
        <v>1028</v>
      </c>
      <c r="V72" s="107" t="str">
        <f t="shared" si="13"/>
        <v>MVkms</v>
      </c>
      <c r="W72" s="107" t="str">
        <f t="shared" si="13"/>
        <v>000s_Units</v>
      </c>
      <c r="X72" s="79"/>
      <c r="Y72" s="119" t="str">
        <f t="shared" si="12"/>
        <v>DEMO</v>
      </c>
      <c r="Z72" s="79"/>
    </row>
    <row r="73" spans="2:26" ht="13.8" x14ac:dyDescent="0.25">
      <c r="B73" s="77" t="str">
        <f t="shared" si="14"/>
        <v>TRARHDV_GAS_S05</v>
      </c>
      <c r="C73" s="77" t="str">
        <f t="shared" si="14"/>
        <v>HDV Second Hand Post Euro 6 GAS</v>
      </c>
      <c r="D73" s="77" t="str">
        <f>Commodities!$C$255</f>
        <v>TRAGASNAT</v>
      </c>
      <c r="E73" s="77" t="str">
        <f>Commodities!$N$9</f>
        <v>TRARHDV</v>
      </c>
      <c r="F73" s="147">
        <f t="shared" si="16"/>
        <v>2025</v>
      </c>
      <c r="G73" s="119">
        <f t="shared" ref="G73:G77" si="19">F73+5</f>
        <v>2030</v>
      </c>
      <c r="H73" s="120">
        <f t="shared" ref="H73:H80" si="20">H15*$H$62</f>
        <v>208.01688264279915</v>
      </c>
      <c r="I73" s="77"/>
      <c r="J73" s="77"/>
      <c r="K73" s="120">
        <f t="shared" si="17"/>
        <v>48.149265454900892</v>
      </c>
      <c r="L73" s="120">
        <v>2</v>
      </c>
      <c r="M73" s="107">
        <f t="shared" si="18"/>
        <v>5</v>
      </c>
      <c r="N73" s="122">
        <v>1E-3</v>
      </c>
      <c r="S73" s="125"/>
      <c r="T73" s="125" t="str">
        <f>Commodities!$N$10&amp;"_HYB_"&amp;RIGHT(Commodities!$C$247,3)&amp;"_"&amp;$U$3&amp;"_AD"</f>
        <v>TRARLDV_HYB_GSL_S_AD</v>
      </c>
      <c r="U73" s="125" t="s">
        <v>1029</v>
      </c>
      <c r="V73" s="126" t="str">
        <f t="shared" si="13"/>
        <v>MVkms</v>
      </c>
      <c r="W73" s="126" t="str">
        <f t="shared" si="13"/>
        <v>000s_Units</v>
      </c>
      <c r="X73" s="125"/>
      <c r="Y73" s="126" t="str">
        <f t="shared" si="12"/>
        <v>DEMO</v>
      </c>
      <c r="Z73" s="125"/>
    </row>
    <row r="74" spans="2:26" ht="13.8" x14ac:dyDescent="0.25">
      <c r="B74" s="125" t="str">
        <f t="shared" si="14"/>
        <v>TRARHDV_GAS_S_AD</v>
      </c>
      <c r="C74" s="125" t="str">
        <f t="shared" si="14"/>
        <v>HDV Second Hand Advanced GAS</v>
      </c>
      <c r="D74" s="125" t="str">
        <f>Commodities!$C$255</f>
        <v>TRAGASNAT</v>
      </c>
      <c r="E74" s="125" t="str">
        <f>Commodities!$N$9</f>
        <v>TRARHDV</v>
      </c>
      <c r="F74" s="148">
        <f t="shared" si="16"/>
        <v>2035</v>
      </c>
      <c r="G74" s="126">
        <v>2100</v>
      </c>
      <c r="H74" s="128">
        <f t="shared" si="20"/>
        <v>243.67691966727904</v>
      </c>
      <c r="I74" s="125"/>
      <c r="J74" s="125"/>
      <c r="K74" s="128">
        <f t="shared" si="17"/>
        <v>50.66147652826325</v>
      </c>
      <c r="L74" s="128">
        <v>2</v>
      </c>
      <c r="M74" s="126">
        <f t="shared" si="18"/>
        <v>5</v>
      </c>
      <c r="N74" s="130">
        <v>1E-3</v>
      </c>
      <c r="S74" s="77"/>
      <c r="T74" s="77" t="str">
        <f>Commodities!$N$10&amp;"_B20_"&amp;$U$3&amp;"_IM"</f>
        <v>TRARLDV_B20_S_IM</v>
      </c>
      <c r="U74" s="77" t="s">
        <v>1047</v>
      </c>
      <c r="V74" s="107" t="str">
        <f t="shared" si="13"/>
        <v>MVkms</v>
      </c>
      <c r="W74" s="107" t="str">
        <f t="shared" si="13"/>
        <v>000s_Units</v>
      </c>
      <c r="X74" s="77"/>
      <c r="Y74" s="107" t="str">
        <f t="shared" si="12"/>
        <v>DEMO</v>
      </c>
      <c r="Z74" s="77"/>
    </row>
    <row r="75" spans="2:26" ht="13.8" x14ac:dyDescent="0.25">
      <c r="B75" s="79" t="str">
        <f t="shared" si="14"/>
        <v>TRARHDV_B20_S_IM</v>
      </c>
      <c r="C75" s="79" t="str">
        <f t="shared" si="14"/>
        <v>HDV Second Hand B20 Imp</v>
      </c>
      <c r="D75" s="79" t="str">
        <f>Commodities!$C$349</f>
        <v>TRABIOB20</v>
      </c>
      <c r="E75" s="79" t="str">
        <f>Commodities!$N$9</f>
        <v>TRARHDV</v>
      </c>
      <c r="F75" s="147">
        <f t="shared" si="16"/>
        <v>2025</v>
      </c>
      <c r="G75" s="119">
        <f t="shared" si="19"/>
        <v>2030</v>
      </c>
      <c r="H75" s="138">
        <f t="shared" si="20"/>
        <v>198.11131680266584</v>
      </c>
      <c r="I75" s="79"/>
      <c r="J75" s="79"/>
      <c r="K75" s="138">
        <f t="shared" si="17"/>
        <v>54.528300954899464</v>
      </c>
      <c r="L75" s="138">
        <v>2</v>
      </c>
      <c r="M75" s="119">
        <f t="shared" si="18"/>
        <v>10</v>
      </c>
      <c r="N75" s="122">
        <v>1E-3</v>
      </c>
      <c r="S75" s="77"/>
      <c r="T75" s="77" t="str">
        <f>Commodities!$N$10&amp;"_B20_"&amp;$U$3&amp;"_AD"</f>
        <v>TRARLDV_B20_S_AD</v>
      </c>
      <c r="U75" s="77" t="s">
        <v>1048</v>
      </c>
      <c r="V75" s="107" t="str">
        <f t="shared" si="13"/>
        <v>MVkms</v>
      </c>
      <c r="W75" s="107" t="str">
        <f t="shared" si="13"/>
        <v>000s_Units</v>
      </c>
      <c r="X75" s="77"/>
      <c r="Y75" s="107" t="str">
        <f t="shared" si="12"/>
        <v>DEMO</v>
      </c>
      <c r="Z75" s="77"/>
    </row>
    <row r="76" spans="2:26" ht="13.8" x14ac:dyDescent="0.25">
      <c r="B76" s="125" t="str">
        <f t="shared" si="14"/>
        <v>TRARHDV_B20_S_AD</v>
      </c>
      <c r="C76" s="125" t="str">
        <f t="shared" si="14"/>
        <v>HDV Second Hand B20 Adv</v>
      </c>
      <c r="D76" s="125" t="str">
        <f>Commodities!$C$349</f>
        <v>TRABIOB20</v>
      </c>
      <c r="E76" s="125" t="str">
        <f>Commodities!$N$9</f>
        <v>TRARHDV</v>
      </c>
      <c r="F76" s="148">
        <f t="shared" si="16"/>
        <v>2030</v>
      </c>
      <c r="G76" s="126">
        <v>2100</v>
      </c>
      <c r="H76" s="128">
        <f t="shared" si="20"/>
        <v>232.07325682598002</v>
      </c>
      <c r="I76" s="125"/>
      <c r="J76" s="125"/>
      <c r="K76" s="128">
        <f t="shared" si="17"/>
        <v>62.977401266864632</v>
      </c>
      <c r="L76" s="128">
        <v>2</v>
      </c>
      <c r="M76" s="126">
        <f t="shared" si="18"/>
        <v>10</v>
      </c>
      <c r="N76" s="130">
        <v>1E-3</v>
      </c>
      <c r="S76" s="77"/>
      <c r="T76" s="77" t="str">
        <f>Commodities!$N$10&amp;"_B100_"&amp;$U$3&amp;"_IM"</f>
        <v>TRARLDV_B100_S_IM</v>
      </c>
      <c r="U76" s="77" t="s">
        <v>1049</v>
      </c>
      <c r="V76" s="107" t="str">
        <f t="shared" si="13"/>
        <v>MVkms</v>
      </c>
      <c r="W76" s="107" t="str">
        <f t="shared" si="13"/>
        <v>000s_Units</v>
      </c>
      <c r="X76" s="77"/>
      <c r="Y76" s="107" t="str">
        <f t="shared" si="12"/>
        <v>DEMO</v>
      </c>
      <c r="Z76" s="77"/>
    </row>
    <row r="77" spans="2:26" ht="13.8" x14ac:dyDescent="0.25">
      <c r="B77" s="79" t="str">
        <f t="shared" si="14"/>
        <v>TRARHDV_B100_S_IM</v>
      </c>
      <c r="C77" s="79" t="str">
        <f t="shared" si="14"/>
        <v>HDV Second Hand B100 Imp</v>
      </c>
      <c r="D77" s="79" t="str">
        <f>Commodities!$C$257</f>
        <v>TRABIODSL</v>
      </c>
      <c r="E77" s="79" t="str">
        <f>Commodities!$N$9</f>
        <v>TRARHDV</v>
      </c>
      <c r="F77" s="147">
        <f t="shared" si="16"/>
        <v>2025</v>
      </c>
      <c r="G77" s="119">
        <f t="shared" si="19"/>
        <v>2030</v>
      </c>
      <c r="H77" s="138">
        <f t="shared" si="20"/>
        <v>198.11131680266584</v>
      </c>
      <c r="I77" s="79"/>
      <c r="J77" s="79"/>
      <c r="K77" s="138">
        <f t="shared" si="17"/>
        <v>54.528300954899464</v>
      </c>
      <c r="L77" s="138">
        <v>2</v>
      </c>
      <c r="M77" s="119">
        <f t="shared" si="18"/>
        <v>10</v>
      </c>
      <c r="N77" s="122">
        <v>1E-3</v>
      </c>
      <c r="S77" s="125"/>
      <c r="T77" s="125" t="str">
        <f>Commodities!$N$10&amp;"_B100_"&amp;$U$3&amp;"_AD"</f>
        <v>TRARLDV_B100_S_AD</v>
      </c>
      <c r="U77" s="125" t="s">
        <v>1050</v>
      </c>
      <c r="V77" s="126" t="str">
        <f t="shared" si="13"/>
        <v>MVkms</v>
      </c>
      <c r="W77" s="126" t="str">
        <f t="shared" si="13"/>
        <v>000s_Units</v>
      </c>
      <c r="X77" s="125"/>
      <c r="Y77" s="126" t="str">
        <f t="shared" si="12"/>
        <v>DEMO</v>
      </c>
      <c r="Z77" s="125"/>
    </row>
    <row r="78" spans="2:26" ht="13.8" x14ac:dyDescent="0.25">
      <c r="B78" s="125" t="str">
        <f t="shared" si="14"/>
        <v>TRARHDV_B100_S_AD</v>
      </c>
      <c r="C78" s="125" t="str">
        <f t="shared" si="14"/>
        <v>HDV Second Hand B100 Adv</v>
      </c>
      <c r="D78" s="125" t="str">
        <f>Commodities!$C$257</f>
        <v>TRABIODSL</v>
      </c>
      <c r="E78" s="125" t="str">
        <f>Commodities!$N$9</f>
        <v>TRARHDV</v>
      </c>
      <c r="F78" s="148">
        <f t="shared" si="16"/>
        <v>2030</v>
      </c>
      <c r="G78" s="126">
        <v>2100</v>
      </c>
      <c r="H78" s="128">
        <f t="shared" si="20"/>
        <v>232.07325682598002</v>
      </c>
      <c r="I78" s="125"/>
      <c r="J78" s="125"/>
      <c r="K78" s="128">
        <f t="shared" si="17"/>
        <v>62.977401266864632</v>
      </c>
      <c r="L78" s="128">
        <v>2</v>
      </c>
      <c r="M78" s="126">
        <f t="shared" si="18"/>
        <v>10</v>
      </c>
      <c r="N78" s="130">
        <v>1E-3</v>
      </c>
      <c r="S78" s="77"/>
      <c r="T78" s="77" t="str">
        <f>Commodities!$N$10&amp;"_H2G_"&amp;$U$3&amp;"_IM"</f>
        <v>TRARLDV_H2G_S_IM</v>
      </c>
      <c r="U78" s="77" t="s">
        <v>1030</v>
      </c>
      <c r="V78" s="107" t="str">
        <f t="shared" si="13"/>
        <v>MVkms</v>
      </c>
      <c r="W78" s="107" t="str">
        <f t="shared" si="13"/>
        <v>000s_Units</v>
      </c>
      <c r="X78" s="79"/>
      <c r="Y78" s="119" t="str">
        <f t="shared" si="12"/>
        <v>DEMO</v>
      </c>
      <c r="Z78" s="77"/>
    </row>
    <row r="79" spans="2:26" ht="13.8" x14ac:dyDescent="0.25">
      <c r="B79" s="79" t="str">
        <f t="shared" si="14"/>
        <v>TRARHDV_H2G_S_IM</v>
      </c>
      <c r="C79" s="79" t="str">
        <f t="shared" si="14"/>
        <v xml:space="preserve">HDV Second Hand Hydrogen Imp </v>
      </c>
      <c r="D79" s="79" t="s">
        <v>817</v>
      </c>
      <c r="E79" s="79" t="str">
        <f>Commodities!$N$9</f>
        <v>TRARHDV</v>
      </c>
      <c r="F79" s="147">
        <f t="shared" si="16"/>
        <v>2035</v>
      </c>
      <c r="G79" s="119">
        <v>2100</v>
      </c>
      <c r="H79" s="138">
        <f t="shared" si="20"/>
        <v>315</v>
      </c>
      <c r="I79" s="79"/>
      <c r="J79" s="79"/>
      <c r="K79" s="138">
        <f t="shared" si="17"/>
        <v>83.068879444774396</v>
      </c>
      <c r="L79" s="138">
        <v>2</v>
      </c>
      <c r="M79" s="119">
        <f t="shared" si="18"/>
        <v>10</v>
      </c>
      <c r="N79" s="122">
        <v>1E-3</v>
      </c>
      <c r="S79" s="125"/>
      <c r="T79" s="125" t="str">
        <f>Commodities!$N$10&amp;"_H2G_"&amp;$U$3&amp;"_AD"</f>
        <v>TRARLDV_H2G_S_AD</v>
      </c>
      <c r="U79" s="125" t="s">
        <v>1031</v>
      </c>
      <c r="V79" s="126" t="str">
        <f t="shared" si="13"/>
        <v>MVkms</v>
      </c>
      <c r="W79" s="126" t="str">
        <f t="shared" si="13"/>
        <v>000s_Units</v>
      </c>
      <c r="X79" s="125"/>
      <c r="Y79" s="126" t="str">
        <f t="shared" si="12"/>
        <v>DEMO</v>
      </c>
      <c r="Z79" s="125"/>
    </row>
    <row r="80" spans="2:26" ht="13.8" x14ac:dyDescent="0.25">
      <c r="B80" s="125" t="str">
        <f t="shared" si="14"/>
        <v>TRARHDV_H2G_S_AD</v>
      </c>
      <c r="C80" s="125" t="str">
        <f t="shared" si="14"/>
        <v xml:space="preserve">HDV Second Hand Hydrogen Adv. </v>
      </c>
      <c r="D80" s="125" t="s">
        <v>817</v>
      </c>
      <c r="E80" s="125" t="str">
        <f>Commodities!$N$9</f>
        <v>TRARHDV</v>
      </c>
      <c r="F80" s="148">
        <f t="shared" si="16"/>
        <v>2040</v>
      </c>
      <c r="G80" s="126">
        <v>2100</v>
      </c>
      <c r="H80" s="128">
        <f t="shared" si="20"/>
        <v>346.50000000000006</v>
      </c>
      <c r="I80" s="125"/>
      <c r="J80" s="125"/>
      <c r="K80" s="128">
        <f t="shared" si="17"/>
        <v>90.880501591499112</v>
      </c>
      <c r="L80" s="128">
        <v>2</v>
      </c>
      <c r="M80" s="126">
        <f t="shared" si="18"/>
        <v>10</v>
      </c>
      <c r="N80" s="130">
        <v>1E-3</v>
      </c>
      <c r="S80" s="77"/>
      <c r="T80" s="77" t="str">
        <f>Commodities!$N$10&amp;"_"&amp;RIGHT(Commodities!$C$343,3)&amp;"_"&amp;$U$3&amp;"01"</f>
        <v>TRARLDV_ELC_S01</v>
      </c>
      <c r="U80" s="77" t="s">
        <v>1032</v>
      </c>
      <c r="V80" s="107" t="str">
        <f t="shared" si="13"/>
        <v>MVkms</v>
      </c>
      <c r="W80" s="107" t="str">
        <f t="shared" si="13"/>
        <v>000s_Units</v>
      </c>
      <c r="X80" s="79"/>
      <c r="Y80" s="119" t="str">
        <f t="shared" si="12"/>
        <v>DEMO</v>
      </c>
      <c r="Z80" s="79"/>
    </row>
    <row r="81" spans="2:26" ht="13.8" x14ac:dyDescent="0.25">
      <c r="S81" s="77"/>
      <c r="T81" s="77" t="str">
        <f>Commodities!$N$10&amp;"_"&amp;RIGHT(Commodities!$C$343,3)&amp;"_"&amp;$U$3&amp;"_IM"</f>
        <v>TRARLDV_ELC_S_IM</v>
      </c>
      <c r="U81" s="77" t="s">
        <v>1033</v>
      </c>
      <c r="V81" s="107" t="str">
        <f t="shared" si="13"/>
        <v>MVkms</v>
      </c>
      <c r="W81" s="107" t="str">
        <f t="shared" si="13"/>
        <v>000s_Units</v>
      </c>
      <c r="X81" s="79"/>
      <c r="Y81" s="119" t="str">
        <f t="shared" si="12"/>
        <v>DEMO</v>
      </c>
      <c r="Z81" s="79"/>
    </row>
    <row r="82" spans="2:26" ht="13.8" x14ac:dyDescent="0.25">
      <c r="H82" s="140" t="s">
        <v>1114</v>
      </c>
      <c r="K82" s="140" t="s">
        <v>1108</v>
      </c>
      <c r="M82" s="141" t="s">
        <v>1106</v>
      </c>
      <c r="S82" s="125"/>
      <c r="T82" s="125" t="str">
        <f>Commodities!$N$10&amp;"_"&amp;RIGHT(Commodities!$C$343,3)&amp;"_"&amp;$U$3&amp;"_AD"</f>
        <v>TRARLDV_ELC_S_AD</v>
      </c>
      <c r="U82" s="125" t="s">
        <v>1034</v>
      </c>
      <c r="V82" s="126" t="str">
        <f t="shared" si="13"/>
        <v>MVkms</v>
      </c>
      <c r="W82" s="126" t="str">
        <f t="shared" si="13"/>
        <v>000s_Units</v>
      </c>
      <c r="X82" s="125"/>
      <c r="Y82" s="126" t="str">
        <f t="shared" si="12"/>
        <v>DEMO</v>
      </c>
      <c r="Z82" s="125"/>
    </row>
    <row r="83" spans="2:26" ht="17.399999999999999" x14ac:dyDescent="0.3">
      <c r="B83" s="78" t="s">
        <v>827</v>
      </c>
      <c r="C83" s="78"/>
      <c r="D83" s="77"/>
      <c r="E83" s="77"/>
      <c r="F83" s="77"/>
      <c r="G83" s="107"/>
      <c r="H83" s="142">
        <v>0.75</v>
      </c>
      <c r="I83" s="77"/>
      <c r="J83" s="143" t="s">
        <v>1105</v>
      </c>
      <c r="K83" s="142">
        <v>0.7</v>
      </c>
      <c r="L83" s="77"/>
      <c r="M83" s="142">
        <v>5</v>
      </c>
      <c r="N83" s="77"/>
      <c r="S83" s="77" t="s">
        <v>1098</v>
      </c>
      <c r="T83" s="77" t="s">
        <v>1117</v>
      </c>
      <c r="U83" s="77" t="s">
        <v>1111</v>
      </c>
      <c r="V83" s="107" t="s">
        <v>55</v>
      </c>
      <c r="W83" s="107" t="s">
        <v>1099</v>
      </c>
      <c r="X83" s="79" t="s">
        <v>48</v>
      </c>
      <c r="Y83" s="119" t="s">
        <v>98</v>
      </c>
    </row>
    <row r="84" spans="2:26" ht="14.4" x14ac:dyDescent="0.3">
      <c r="I84" s="82"/>
      <c r="J84" s="143" t="s">
        <v>1187</v>
      </c>
      <c r="K84" s="142">
        <v>0.8</v>
      </c>
    </row>
    <row r="85" spans="2:26" ht="13.8" x14ac:dyDescent="0.25">
      <c r="B85" s="77"/>
      <c r="C85" s="77"/>
      <c r="D85" s="77"/>
      <c r="E85" s="86"/>
      <c r="F85" s="87" t="s">
        <v>0</v>
      </c>
      <c r="G85" s="140"/>
      <c r="H85" s="82"/>
      <c r="I85" s="77"/>
      <c r="J85" s="77"/>
      <c r="K85" s="77"/>
      <c r="L85" s="77"/>
      <c r="M85" s="77"/>
      <c r="N85" s="77"/>
    </row>
    <row r="86" spans="2:26" ht="13.8" x14ac:dyDescent="0.25">
      <c r="B86" s="90" t="s">
        <v>1</v>
      </c>
      <c r="C86" s="90" t="s">
        <v>809</v>
      </c>
      <c r="D86" s="90" t="s">
        <v>3</v>
      </c>
      <c r="E86" s="90" t="s">
        <v>4</v>
      </c>
      <c r="F86" s="91" t="s">
        <v>816</v>
      </c>
      <c r="G86" s="94" t="s">
        <v>15</v>
      </c>
      <c r="H86" s="93" t="s">
        <v>17</v>
      </c>
      <c r="I86" s="93" t="s">
        <v>38</v>
      </c>
      <c r="J86" s="93" t="s">
        <v>74</v>
      </c>
      <c r="K86" s="93" t="s">
        <v>43</v>
      </c>
      <c r="L86" s="93" t="s">
        <v>5</v>
      </c>
      <c r="M86" s="93" t="s">
        <v>49</v>
      </c>
      <c r="N86" s="93" t="s">
        <v>50</v>
      </c>
    </row>
    <row r="87" spans="2:26" ht="42" thickBot="1" x14ac:dyDescent="0.3">
      <c r="B87" s="102" t="s">
        <v>824</v>
      </c>
      <c r="C87" s="102" t="s">
        <v>32</v>
      </c>
      <c r="D87" s="102" t="s">
        <v>36</v>
      </c>
      <c r="E87" s="102" t="s">
        <v>37</v>
      </c>
      <c r="F87" s="103"/>
      <c r="G87" s="104" t="s">
        <v>42</v>
      </c>
      <c r="H87" s="102" t="s">
        <v>40</v>
      </c>
      <c r="I87" s="102" t="s">
        <v>72</v>
      </c>
      <c r="J87" s="102" t="s">
        <v>75</v>
      </c>
      <c r="K87" s="104" t="s">
        <v>44</v>
      </c>
      <c r="L87" s="102" t="s">
        <v>45</v>
      </c>
      <c r="M87" s="102" t="s">
        <v>79</v>
      </c>
      <c r="N87" s="102" t="s">
        <v>41</v>
      </c>
    </row>
    <row r="88" spans="2:26" ht="13.8" x14ac:dyDescent="0.25">
      <c r="B88" s="112"/>
      <c r="C88" s="113"/>
      <c r="D88" s="113"/>
      <c r="E88" s="113" t="s">
        <v>813</v>
      </c>
      <c r="F88" s="114"/>
      <c r="G88" s="113"/>
      <c r="H88" s="113" t="str">
        <f>General!$D$12</f>
        <v>MVkms/PJ</v>
      </c>
      <c r="I88" s="113" t="str">
        <f>General!$D$14</f>
        <v>km/year</v>
      </c>
      <c r="J88" s="113" t="str">
        <f>General!$D$15</f>
        <v>passenger/vehicle</v>
      </c>
      <c r="K88" s="113" t="str">
        <f>General!$D$30</f>
        <v>000USD/unit</v>
      </c>
      <c r="L88" s="113" t="str">
        <f>General!$D$17</f>
        <v>k$/Unit</v>
      </c>
      <c r="M88" s="113" t="str">
        <f>General!$D$20</f>
        <v>Years</v>
      </c>
      <c r="N88" s="113" t="str">
        <f>General!$D$21</f>
        <v>(milion_vkm)/(thousand_vkm)</v>
      </c>
      <c r="S88" s="156" t="s">
        <v>7</v>
      </c>
      <c r="T88" s="157"/>
      <c r="U88" s="157"/>
      <c r="V88" s="157"/>
      <c r="W88" s="157"/>
      <c r="X88" s="157"/>
      <c r="Y88" s="157"/>
      <c r="Z88" s="157"/>
    </row>
    <row r="89" spans="2:26" ht="13.8" x14ac:dyDescent="0.25">
      <c r="B89" s="77" t="str">
        <f>T59</f>
        <v>TRARLDV_DSL_S03</v>
      </c>
      <c r="C89" s="77" t="str">
        <f>U59</f>
        <v>LDV Second Hand Euro 4&amp;5 DSL</v>
      </c>
      <c r="D89" s="77" t="str">
        <f>Commodities!$C$246</f>
        <v>TRAOILDSL</v>
      </c>
      <c r="E89" s="77" t="str">
        <f>Commodities!$N$10</f>
        <v>TRARLDV</v>
      </c>
      <c r="F89" s="147">
        <f>F34</f>
        <v>2018</v>
      </c>
      <c r="G89" s="119">
        <f>BASE_YEAR+1</f>
        <v>2018</v>
      </c>
      <c r="H89" s="120">
        <f t="shared" ref="H89:H112" si="21">H34*$H$83</f>
        <v>195</v>
      </c>
      <c r="I89" s="77"/>
      <c r="J89" s="77"/>
      <c r="K89" s="120">
        <f>K34*$K$83</f>
        <v>16.406584168879316</v>
      </c>
      <c r="L89" s="77">
        <v>1</v>
      </c>
      <c r="M89" s="107">
        <f t="shared" ref="M89:M112" si="22">M34-$M$83</f>
        <v>15</v>
      </c>
      <c r="N89" s="122">
        <v>1E-3</v>
      </c>
      <c r="S89" s="108" t="s">
        <v>8</v>
      </c>
      <c r="T89" s="108" t="s">
        <v>6</v>
      </c>
      <c r="U89" s="108" t="s">
        <v>9</v>
      </c>
      <c r="V89" s="109" t="s">
        <v>10</v>
      </c>
      <c r="W89" s="110" t="s">
        <v>11</v>
      </c>
      <c r="X89" s="110" t="s">
        <v>12</v>
      </c>
      <c r="Y89" s="110" t="s">
        <v>13</v>
      </c>
      <c r="Z89" s="110" t="s">
        <v>14</v>
      </c>
    </row>
    <row r="90" spans="2:26" ht="14.4" thickBot="1" x14ac:dyDescent="0.3">
      <c r="B90" s="77" t="str">
        <f t="shared" ref="B90:C112" si="23">T60</f>
        <v>TRARLDV_DSL_S04</v>
      </c>
      <c r="C90" s="77" t="str">
        <f t="shared" si="23"/>
        <v>LDV Second Hand Euro 6 DSL</v>
      </c>
      <c r="D90" s="77" t="str">
        <f>Commodities!$C$246</f>
        <v>TRAOILDSL</v>
      </c>
      <c r="E90" s="77" t="str">
        <f>Commodities!$N$10</f>
        <v>TRARLDV</v>
      </c>
      <c r="F90" s="147">
        <f t="shared" ref="F90:F112" si="24">F35</f>
        <v>2020</v>
      </c>
      <c r="G90" s="119">
        <f>F90+5</f>
        <v>2025</v>
      </c>
      <c r="H90" s="120">
        <f t="shared" si="21"/>
        <v>243.75</v>
      </c>
      <c r="I90" s="77"/>
      <c r="J90" s="77"/>
      <c r="K90" s="138">
        <f t="shared" ref="K90:K109" si="25">K35*$K$83</f>
        <v>16.958565902212648</v>
      </c>
      <c r="L90" s="77">
        <v>1</v>
      </c>
      <c r="M90" s="107">
        <f t="shared" si="22"/>
        <v>15</v>
      </c>
      <c r="N90" s="122">
        <v>1E-3</v>
      </c>
      <c r="S90" s="115" t="s">
        <v>24</v>
      </c>
      <c r="T90" s="115" t="s">
        <v>25</v>
      </c>
      <c r="U90" s="115" t="s">
        <v>26</v>
      </c>
      <c r="V90" s="116" t="s">
        <v>10</v>
      </c>
      <c r="W90" s="115" t="s">
        <v>27</v>
      </c>
      <c r="X90" s="115" t="s">
        <v>28</v>
      </c>
      <c r="Y90" s="115" t="s">
        <v>29</v>
      </c>
      <c r="Z90" s="115" t="s">
        <v>30</v>
      </c>
    </row>
    <row r="91" spans="2:26" ht="13.8" x14ac:dyDescent="0.25">
      <c r="B91" s="77" t="str">
        <f t="shared" si="23"/>
        <v>TRARLDV_DSL_S05</v>
      </c>
      <c r="C91" s="77" t="str">
        <f t="shared" si="23"/>
        <v>LDV Second Hand Post Euro 6 DSL</v>
      </c>
      <c r="D91" s="77" t="str">
        <f>Commodities!$C$246</f>
        <v>TRAOILDSL</v>
      </c>
      <c r="E91" s="77" t="str">
        <f>Commodities!$N$10</f>
        <v>TRARLDV</v>
      </c>
      <c r="F91" s="147">
        <f t="shared" si="24"/>
        <v>2025</v>
      </c>
      <c r="G91" s="119">
        <f t="shared" ref="G91" si="26">F91+5</f>
        <v>2030</v>
      </c>
      <c r="H91" s="120">
        <f t="shared" si="21"/>
        <v>314.51612903225805</v>
      </c>
      <c r="I91" s="77"/>
      <c r="J91" s="77"/>
      <c r="K91" s="138">
        <f t="shared" si="25"/>
        <v>18.051961235545981</v>
      </c>
      <c r="L91" s="77">
        <v>1</v>
      </c>
      <c r="M91" s="107">
        <f t="shared" si="22"/>
        <v>15</v>
      </c>
      <c r="N91" s="122">
        <v>1E-3</v>
      </c>
      <c r="S91" s="79" t="s">
        <v>98</v>
      </c>
      <c r="T91" s="79" t="s">
        <v>1112</v>
      </c>
      <c r="U91" s="79" t="s">
        <v>1113</v>
      </c>
      <c r="V91" s="79" t="s">
        <v>55</v>
      </c>
      <c r="W91" s="79"/>
      <c r="X91" s="79" t="s">
        <v>48</v>
      </c>
      <c r="Y91" s="79"/>
      <c r="Z91" s="79"/>
    </row>
    <row r="92" spans="2:26" ht="13.8" x14ac:dyDescent="0.25">
      <c r="B92" s="125" t="str">
        <f t="shared" si="23"/>
        <v>TRARLDV_DSL_S_AD</v>
      </c>
      <c r="C92" s="125" t="str">
        <f t="shared" si="23"/>
        <v>LDV Second Hand Advanced DSL</v>
      </c>
      <c r="D92" s="125" t="str">
        <f>Commodities!$C$246</f>
        <v>TRAOILDSL</v>
      </c>
      <c r="E92" s="125" t="str">
        <f>Commodities!$N$10</f>
        <v>TRARLDV</v>
      </c>
      <c r="F92" s="148">
        <f t="shared" si="24"/>
        <v>2030</v>
      </c>
      <c r="G92" s="126">
        <v>2100</v>
      </c>
      <c r="H92" s="128">
        <f t="shared" si="21"/>
        <v>354.54545454545456</v>
      </c>
      <c r="I92" s="125"/>
      <c r="J92" s="125"/>
      <c r="K92" s="128">
        <f t="shared" si="25"/>
        <v>19.447767768879316</v>
      </c>
      <c r="L92" s="125">
        <v>1</v>
      </c>
      <c r="M92" s="126">
        <f t="shared" si="22"/>
        <v>15</v>
      </c>
      <c r="N92" s="130">
        <v>1E-3</v>
      </c>
    </row>
    <row r="93" spans="2:26" ht="13.8" x14ac:dyDescent="0.25">
      <c r="B93" s="77" t="str">
        <f t="shared" si="23"/>
        <v>TRARLDV_GSL_S03</v>
      </c>
      <c r="C93" s="77" t="str">
        <f t="shared" si="23"/>
        <v>LDV Second Hand Euro 4&amp;5 GSL</v>
      </c>
      <c r="D93" s="77" t="str">
        <f>Commodities!$C$247</f>
        <v>TRAOILGSL</v>
      </c>
      <c r="E93" s="77" t="str">
        <f>Commodities!$N$10</f>
        <v>TRARLDV</v>
      </c>
      <c r="F93" s="147">
        <f t="shared" si="24"/>
        <v>2018</v>
      </c>
      <c r="G93" s="119">
        <f>BASE_YEAR+1</f>
        <v>2018</v>
      </c>
      <c r="H93" s="138">
        <f t="shared" si="21"/>
        <v>156</v>
      </c>
      <c r="I93" s="79"/>
      <c r="J93" s="79"/>
      <c r="K93" s="138">
        <f t="shared" ref="K93:K103" si="27">K38*$K$84</f>
        <v>15.000305525832516</v>
      </c>
      <c r="L93" s="77">
        <v>1</v>
      </c>
      <c r="M93" s="119">
        <f t="shared" si="22"/>
        <v>15</v>
      </c>
      <c r="N93" s="122">
        <v>1E-3</v>
      </c>
    </row>
    <row r="94" spans="2:26" ht="13.8" x14ac:dyDescent="0.25">
      <c r="B94" s="77" t="str">
        <f t="shared" si="23"/>
        <v>TRARLDV_GSL_S04</v>
      </c>
      <c r="C94" s="77" t="str">
        <f t="shared" si="23"/>
        <v>LDV Second Hand Euro 6 GSL</v>
      </c>
      <c r="D94" s="77" t="str">
        <f>Commodities!$C$247</f>
        <v>TRAOILGSL</v>
      </c>
      <c r="E94" s="77" t="str">
        <f>Commodities!$N$10</f>
        <v>TRARLDV</v>
      </c>
      <c r="F94" s="147">
        <f t="shared" si="24"/>
        <v>2020</v>
      </c>
      <c r="G94" s="119">
        <f t="shared" ref="G94:G95" si="28">F94+5</f>
        <v>2025</v>
      </c>
      <c r="H94" s="138">
        <f t="shared" si="21"/>
        <v>194.99999999999994</v>
      </c>
      <c r="I94" s="79"/>
      <c r="J94" s="79"/>
      <c r="K94" s="138">
        <f t="shared" si="27"/>
        <v>15.450902859165849</v>
      </c>
      <c r="L94" s="77">
        <v>1</v>
      </c>
      <c r="M94" s="119">
        <f t="shared" si="22"/>
        <v>15</v>
      </c>
      <c r="N94" s="122">
        <v>1E-3</v>
      </c>
    </row>
    <row r="95" spans="2:26" ht="13.8" x14ac:dyDescent="0.25">
      <c r="B95" s="77" t="str">
        <f t="shared" si="23"/>
        <v>TRARLDV_GSL_S05</v>
      </c>
      <c r="C95" s="77" t="str">
        <f t="shared" si="23"/>
        <v>LDV Second Hand Post Euro 6 GSL</v>
      </c>
      <c r="D95" s="77" t="str">
        <f>Commodities!$C$247</f>
        <v>TRAOILGSL</v>
      </c>
      <c r="E95" s="77" t="str">
        <f>Commodities!$N$10</f>
        <v>TRARLDV</v>
      </c>
      <c r="F95" s="147">
        <f t="shared" si="24"/>
        <v>2025</v>
      </c>
      <c r="G95" s="119">
        <f t="shared" si="28"/>
        <v>2030</v>
      </c>
      <c r="H95" s="138">
        <f t="shared" si="21"/>
        <v>260</v>
      </c>
      <c r="I95" s="79"/>
      <c r="J95" s="79"/>
      <c r="K95" s="138">
        <f t="shared" si="27"/>
        <v>16.325154592499185</v>
      </c>
      <c r="L95" s="77">
        <v>1</v>
      </c>
      <c r="M95" s="119">
        <f t="shared" si="22"/>
        <v>15</v>
      </c>
      <c r="N95" s="122">
        <v>1E-3</v>
      </c>
    </row>
    <row r="96" spans="2:26" ht="13.8" x14ac:dyDescent="0.25">
      <c r="B96" s="125" t="str">
        <f t="shared" si="23"/>
        <v>TRARLDV_GSL_S_AD</v>
      </c>
      <c r="C96" s="125" t="str">
        <f t="shared" si="23"/>
        <v>LDV Second Hand Advanced GSL</v>
      </c>
      <c r="D96" s="125" t="str">
        <f>Commodities!$C$247</f>
        <v>TRAOILGSL</v>
      </c>
      <c r="E96" s="125" t="str">
        <f>Commodities!$N$10</f>
        <v>TRARLDV</v>
      </c>
      <c r="F96" s="148">
        <f t="shared" si="24"/>
        <v>2030</v>
      </c>
      <c r="G96" s="126">
        <v>2100</v>
      </c>
      <c r="H96" s="128">
        <f t="shared" si="21"/>
        <v>346.66666666666669</v>
      </c>
      <c r="I96" s="125"/>
      <c r="J96" s="125"/>
      <c r="K96" s="128">
        <f t="shared" si="27"/>
        <v>17.829313525832518</v>
      </c>
      <c r="L96" s="125">
        <v>1</v>
      </c>
      <c r="M96" s="126">
        <f t="shared" si="22"/>
        <v>15</v>
      </c>
      <c r="N96" s="130">
        <v>1E-3</v>
      </c>
    </row>
    <row r="97" spans="2:14" ht="13.8" x14ac:dyDescent="0.25">
      <c r="B97" s="77" t="str">
        <f t="shared" si="23"/>
        <v>TRARLDV_GAS_S04</v>
      </c>
      <c r="C97" s="77" t="str">
        <f t="shared" si="23"/>
        <v>LDV Second Hand Euro 6 GAS</v>
      </c>
      <c r="D97" s="77" t="str">
        <f>Commodities!$C$255</f>
        <v>TRAGASNAT</v>
      </c>
      <c r="E97" s="77" t="str">
        <f>Commodities!$N$10</f>
        <v>TRARLDV</v>
      </c>
      <c r="F97" s="147">
        <f t="shared" si="24"/>
        <v>2018</v>
      </c>
      <c r="G97" s="119">
        <f>BASE_YEAR+1</f>
        <v>2018</v>
      </c>
      <c r="H97" s="120">
        <f t="shared" si="21"/>
        <v>163.80000000000001</v>
      </c>
      <c r="I97" s="77"/>
      <c r="J97" s="77"/>
      <c r="K97" s="120">
        <f t="shared" si="27"/>
        <v>17.309923451165847</v>
      </c>
      <c r="L97" s="77">
        <v>1</v>
      </c>
      <c r="M97" s="107">
        <f t="shared" si="22"/>
        <v>10</v>
      </c>
      <c r="N97" s="122">
        <v>1E-3</v>
      </c>
    </row>
    <row r="98" spans="2:14" ht="13.8" x14ac:dyDescent="0.25">
      <c r="B98" s="77" t="str">
        <f t="shared" si="23"/>
        <v>TRARLDV_GAS_S05</v>
      </c>
      <c r="C98" s="77" t="str">
        <f t="shared" si="23"/>
        <v>LDV Second Hand Post Euro 6 GAS</v>
      </c>
      <c r="D98" s="77" t="str">
        <f>Commodities!$C$255</f>
        <v>TRAGASNAT</v>
      </c>
      <c r="E98" s="77" t="str">
        <f>Commodities!$N$10</f>
        <v>TRARLDV</v>
      </c>
      <c r="F98" s="147">
        <f t="shared" si="24"/>
        <v>2025</v>
      </c>
      <c r="G98" s="119">
        <f t="shared" ref="G98:G111" si="29">F98+5</f>
        <v>2030</v>
      </c>
      <c r="H98" s="120">
        <f t="shared" si="21"/>
        <v>273.00000000000006</v>
      </c>
      <c r="I98" s="77"/>
      <c r="J98" s="77"/>
      <c r="K98" s="138">
        <f t="shared" si="27"/>
        <v>18.184175184499182</v>
      </c>
      <c r="L98" s="77">
        <v>1</v>
      </c>
      <c r="M98" s="107">
        <f t="shared" si="22"/>
        <v>10</v>
      </c>
      <c r="N98" s="122">
        <v>1E-3</v>
      </c>
    </row>
    <row r="99" spans="2:14" ht="13.8" x14ac:dyDescent="0.25">
      <c r="B99" s="125" t="str">
        <f t="shared" si="23"/>
        <v>TRARLDV_GAS_S_AD</v>
      </c>
      <c r="C99" s="125" t="str">
        <f t="shared" si="23"/>
        <v>LDV Second Hand Advanced GAS</v>
      </c>
      <c r="D99" s="125" t="str">
        <f>Commodities!$C$255</f>
        <v>TRAGASNAT</v>
      </c>
      <c r="E99" s="125" t="str">
        <f>Commodities!$N$10</f>
        <v>TRARLDV</v>
      </c>
      <c r="F99" s="148">
        <f t="shared" si="24"/>
        <v>2035</v>
      </c>
      <c r="G99" s="126">
        <v>2100</v>
      </c>
      <c r="H99" s="128">
        <f t="shared" si="21"/>
        <v>364</v>
      </c>
      <c r="I99" s="125"/>
      <c r="J99" s="125"/>
      <c r="K99" s="128">
        <f t="shared" si="27"/>
        <v>19.688334117832518</v>
      </c>
      <c r="L99" s="125">
        <v>1</v>
      </c>
      <c r="M99" s="126">
        <f t="shared" si="22"/>
        <v>10</v>
      </c>
      <c r="N99" s="130">
        <v>1E-3</v>
      </c>
    </row>
    <row r="100" spans="2:14" ht="13.8" x14ac:dyDescent="0.25">
      <c r="B100" s="79" t="str">
        <f t="shared" si="23"/>
        <v>TRARLDV_HYB_DSL_S01</v>
      </c>
      <c r="C100" s="79" t="str">
        <f t="shared" si="23"/>
        <v>LDV Second Hand Hybrid DSL</v>
      </c>
      <c r="D100" s="79" t="str">
        <f>Commodities!$C$246</f>
        <v>TRAOILDSL</v>
      </c>
      <c r="E100" s="79" t="str">
        <f>Commodities!$N$10</f>
        <v>TRARLDV</v>
      </c>
      <c r="F100" s="147">
        <f t="shared" si="24"/>
        <v>2020</v>
      </c>
      <c r="G100" s="119">
        <f t="shared" si="29"/>
        <v>2025</v>
      </c>
      <c r="H100" s="138">
        <f t="shared" si="21"/>
        <v>277.77777777777771</v>
      </c>
      <c r="I100" s="79"/>
      <c r="J100" s="79"/>
      <c r="K100" s="138">
        <f t="shared" si="27"/>
        <v>21.25345473929065</v>
      </c>
      <c r="L100" s="77">
        <v>1</v>
      </c>
      <c r="M100" s="119">
        <f t="shared" si="22"/>
        <v>15</v>
      </c>
      <c r="N100" s="122">
        <v>1E-3</v>
      </c>
    </row>
    <row r="101" spans="2:14" ht="13.8" x14ac:dyDescent="0.25">
      <c r="B101" s="125" t="str">
        <f t="shared" si="23"/>
        <v>TRARLDV_HYB_DSL_S_AD</v>
      </c>
      <c r="C101" s="125" t="str">
        <f t="shared" si="23"/>
        <v>LDV Second Hand Advanced Hybrid DSL</v>
      </c>
      <c r="D101" s="125" t="str">
        <f>Commodities!$C$246</f>
        <v>TRAOILDSL</v>
      </c>
      <c r="E101" s="125" t="str">
        <f>Commodities!$N$10</f>
        <v>TRARLDV</v>
      </c>
      <c r="F101" s="148">
        <f t="shared" si="24"/>
        <v>2030</v>
      </c>
      <c r="G101" s="126">
        <v>2100</v>
      </c>
      <c r="H101" s="128">
        <f t="shared" si="21"/>
        <v>433.33333333333337</v>
      </c>
      <c r="I101" s="125"/>
      <c r="J101" s="125"/>
      <c r="K101" s="128">
        <f t="shared" si="27"/>
        <v>24.297511199237317</v>
      </c>
      <c r="L101" s="125">
        <v>1</v>
      </c>
      <c r="M101" s="126">
        <f t="shared" si="22"/>
        <v>15</v>
      </c>
      <c r="N101" s="130">
        <v>1E-3</v>
      </c>
    </row>
    <row r="102" spans="2:14" ht="13.8" x14ac:dyDescent="0.25">
      <c r="B102" s="79" t="str">
        <f t="shared" si="23"/>
        <v>TRARLDV_HYB_GSL_S01</v>
      </c>
      <c r="C102" s="79" t="str">
        <f t="shared" si="23"/>
        <v>LDV Second Hand Hybrid GSL</v>
      </c>
      <c r="D102" s="79" t="str">
        <f>Commodities!$C$247</f>
        <v>TRAOILGSL</v>
      </c>
      <c r="E102" s="79" t="str">
        <f>Commodities!$N$10</f>
        <v>TRARLDV</v>
      </c>
      <c r="F102" s="147">
        <f t="shared" si="24"/>
        <v>2020</v>
      </c>
      <c r="G102" s="119">
        <f t="shared" si="29"/>
        <v>2025</v>
      </c>
      <c r="H102" s="138">
        <f t="shared" si="21"/>
        <v>231.11111111111111</v>
      </c>
      <c r="I102" s="79"/>
      <c r="J102" s="79"/>
      <c r="K102" s="138">
        <f t="shared" si="27"/>
        <v>17.704864770828781</v>
      </c>
      <c r="L102" s="77">
        <v>1</v>
      </c>
      <c r="M102" s="119">
        <f t="shared" si="22"/>
        <v>15</v>
      </c>
      <c r="N102" s="122">
        <v>1E-3</v>
      </c>
    </row>
    <row r="103" spans="2:14" ht="13.8" x14ac:dyDescent="0.25">
      <c r="B103" s="125" t="str">
        <f t="shared" si="23"/>
        <v>TRARLDV_HYB_GSL_S_AD</v>
      </c>
      <c r="C103" s="125" t="str">
        <f t="shared" si="23"/>
        <v>LDV Second Hand Advanced Hybrid GSL</v>
      </c>
      <c r="D103" s="125" t="str">
        <f>Commodities!$C$247</f>
        <v>TRAOILGSL</v>
      </c>
      <c r="E103" s="125" t="str">
        <f>Commodities!$N$10</f>
        <v>TRARLDV</v>
      </c>
      <c r="F103" s="148">
        <f t="shared" si="24"/>
        <v>2030</v>
      </c>
      <c r="G103" s="126">
        <v>2100</v>
      </c>
      <c r="H103" s="128">
        <f t="shared" si="21"/>
        <v>462.22222222222229</v>
      </c>
      <c r="I103" s="125"/>
      <c r="J103" s="125"/>
      <c r="K103" s="128">
        <f t="shared" si="27"/>
        <v>19.737950923165855</v>
      </c>
      <c r="L103" s="125">
        <v>1</v>
      </c>
      <c r="M103" s="126">
        <f t="shared" si="22"/>
        <v>15</v>
      </c>
      <c r="N103" s="130">
        <v>1E-3</v>
      </c>
    </row>
    <row r="104" spans="2:14" ht="13.8" x14ac:dyDescent="0.25">
      <c r="B104" s="79" t="str">
        <f t="shared" si="23"/>
        <v>TRARLDV_B20_S_IM</v>
      </c>
      <c r="C104" s="79" t="str">
        <f t="shared" si="23"/>
        <v>LDV Second Hand B20 Imp</v>
      </c>
      <c r="D104" s="79" t="str">
        <f>Commodities!$C$349</f>
        <v>TRABIOB20</v>
      </c>
      <c r="E104" s="79" t="str">
        <f>Commodities!$N$10</f>
        <v>TRARLDV</v>
      </c>
      <c r="F104" s="147">
        <f t="shared" si="24"/>
        <v>2025</v>
      </c>
      <c r="G104" s="119">
        <f t="shared" si="29"/>
        <v>2030</v>
      </c>
      <c r="H104" s="138">
        <f t="shared" si="21"/>
        <v>314.51612903225805</v>
      </c>
      <c r="I104" s="79"/>
      <c r="J104" s="79"/>
      <c r="K104" s="138">
        <f t="shared" si="25"/>
        <v>19.359769319277593</v>
      </c>
      <c r="L104" s="79">
        <v>1</v>
      </c>
      <c r="M104" s="119">
        <f t="shared" si="22"/>
        <v>15</v>
      </c>
      <c r="N104" s="122">
        <v>1E-3</v>
      </c>
    </row>
    <row r="105" spans="2:14" ht="13.8" x14ac:dyDescent="0.25">
      <c r="B105" s="125" t="str">
        <f t="shared" si="23"/>
        <v>TRARLDV_B20_S_AD</v>
      </c>
      <c r="C105" s="125" t="str">
        <f t="shared" si="23"/>
        <v>LDV Second Hand B20 Adv</v>
      </c>
      <c r="D105" s="125" t="str">
        <f>Commodities!$C$349</f>
        <v>TRABIOB20</v>
      </c>
      <c r="E105" s="125" t="str">
        <f>Commodities!$N$10</f>
        <v>TRARLDV</v>
      </c>
      <c r="F105" s="148">
        <f t="shared" si="24"/>
        <v>2030</v>
      </c>
      <c r="G105" s="126">
        <v>2100</v>
      </c>
      <c r="H105" s="128">
        <f t="shared" si="21"/>
        <v>354.54545454545456</v>
      </c>
      <c r="I105" s="125"/>
      <c r="J105" s="125"/>
      <c r="K105" s="128">
        <f t="shared" si="25"/>
        <v>21.367793036787937</v>
      </c>
      <c r="L105" s="125">
        <v>1</v>
      </c>
      <c r="M105" s="126">
        <f t="shared" si="22"/>
        <v>15</v>
      </c>
      <c r="N105" s="130">
        <v>1E-3</v>
      </c>
    </row>
    <row r="106" spans="2:14" ht="13.8" x14ac:dyDescent="0.25">
      <c r="B106" s="79" t="str">
        <f t="shared" si="23"/>
        <v>TRARLDV_B100_S_IM</v>
      </c>
      <c r="C106" s="79" t="str">
        <f t="shared" si="23"/>
        <v>LDV Second Hand B100 Imp</v>
      </c>
      <c r="D106" s="79" t="str">
        <f>Commodities!$C$257</f>
        <v>TRABIODSL</v>
      </c>
      <c r="E106" s="79" t="str">
        <f>Commodities!$N$10</f>
        <v>TRARLDV</v>
      </c>
      <c r="F106" s="147">
        <f t="shared" si="24"/>
        <v>2025</v>
      </c>
      <c r="G106" s="119">
        <f t="shared" si="29"/>
        <v>2030</v>
      </c>
      <c r="H106" s="138">
        <f t="shared" si="21"/>
        <v>314.51612903225805</v>
      </c>
      <c r="I106" s="79"/>
      <c r="J106" s="79"/>
      <c r="K106" s="138">
        <f t="shared" si="25"/>
        <v>19.687901002655178</v>
      </c>
      <c r="L106" s="79">
        <v>1</v>
      </c>
      <c r="M106" s="119">
        <f t="shared" si="22"/>
        <v>15</v>
      </c>
      <c r="N106" s="122">
        <v>1E-3</v>
      </c>
    </row>
    <row r="107" spans="2:14" ht="13.8" x14ac:dyDescent="0.25">
      <c r="B107" s="125" t="str">
        <f t="shared" si="23"/>
        <v>TRARLDV_B100_S_AD</v>
      </c>
      <c r="C107" s="125" t="str">
        <f t="shared" si="23"/>
        <v>LDV Second Hand B100 Adv</v>
      </c>
      <c r="D107" s="125" t="str">
        <f>Commodities!$C$257</f>
        <v>TRABIODSL</v>
      </c>
      <c r="E107" s="125" t="str">
        <f>Commodities!$N$10</f>
        <v>TRARLDV</v>
      </c>
      <c r="F107" s="148">
        <f t="shared" si="24"/>
        <v>2030</v>
      </c>
      <c r="G107" s="126">
        <v>2100</v>
      </c>
      <c r="H107" s="128">
        <f t="shared" si="21"/>
        <v>354.54545454545456</v>
      </c>
      <c r="I107" s="125"/>
      <c r="J107" s="125"/>
      <c r="K107" s="128">
        <f t="shared" si="25"/>
        <v>20.350279082655177</v>
      </c>
      <c r="L107" s="125">
        <v>1</v>
      </c>
      <c r="M107" s="126">
        <f t="shared" si="22"/>
        <v>15</v>
      </c>
      <c r="N107" s="130">
        <v>1E-3</v>
      </c>
    </row>
    <row r="108" spans="2:14" ht="13.8" x14ac:dyDescent="0.25">
      <c r="B108" s="79" t="str">
        <f t="shared" si="23"/>
        <v>TRARLDV_H2G_S_IM</v>
      </c>
      <c r="C108" s="79" t="str">
        <f t="shared" si="23"/>
        <v xml:space="preserve">LDV Second Hand Hydrogen Imp </v>
      </c>
      <c r="D108" s="79" t="s">
        <v>817</v>
      </c>
      <c r="E108" s="79" t="str">
        <f>Commodities!$N$10</f>
        <v>TRARLDV</v>
      </c>
      <c r="F108" s="147">
        <f t="shared" si="24"/>
        <v>2035</v>
      </c>
      <c r="G108" s="119">
        <v>2100</v>
      </c>
      <c r="H108" s="138">
        <f t="shared" si="21"/>
        <v>315</v>
      </c>
      <c r="I108" s="79"/>
      <c r="J108" s="79"/>
      <c r="K108" s="138">
        <f t="shared" si="25"/>
        <v>32.813168337758633</v>
      </c>
      <c r="L108" s="79">
        <v>1</v>
      </c>
      <c r="M108" s="119">
        <f t="shared" si="22"/>
        <v>15</v>
      </c>
      <c r="N108" s="122">
        <v>1E-3</v>
      </c>
    </row>
    <row r="109" spans="2:14" ht="13.8" x14ac:dyDescent="0.25">
      <c r="B109" s="125" t="str">
        <f t="shared" si="23"/>
        <v>TRARLDV_H2G_S_AD</v>
      </c>
      <c r="C109" s="125" t="str">
        <f t="shared" si="23"/>
        <v xml:space="preserve">LDV Second Hand Hydrogen Adv. </v>
      </c>
      <c r="D109" s="125" t="s">
        <v>817</v>
      </c>
      <c r="E109" s="125" t="str">
        <f>Commodities!$N$10</f>
        <v>TRARLDV</v>
      </c>
      <c r="F109" s="148">
        <f t="shared" si="24"/>
        <v>2040</v>
      </c>
      <c r="G109" s="126">
        <v>2100</v>
      </c>
      <c r="H109" s="128">
        <f t="shared" si="21"/>
        <v>346.50000000000006</v>
      </c>
      <c r="I109" s="125"/>
      <c r="J109" s="125"/>
      <c r="K109" s="128">
        <f t="shared" si="25"/>
        <v>36.094485171534494</v>
      </c>
      <c r="L109" s="125">
        <v>1</v>
      </c>
      <c r="M109" s="126">
        <f t="shared" si="22"/>
        <v>15</v>
      </c>
      <c r="N109" s="130">
        <v>1E-3</v>
      </c>
    </row>
    <row r="110" spans="2:14" ht="13.8" x14ac:dyDescent="0.25">
      <c r="B110" s="77" t="str">
        <f t="shared" si="23"/>
        <v>TRARLDV_ELC_S01</v>
      </c>
      <c r="C110" s="77" t="str">
        <f t="shared" si="23"/>
        <v>LDV Second Hand Electric ELC</v>
      </c>
      <c r="D110" s="77" t="str">
        <f>T91</f>
        <v>TRABATLDV</v>
      </c>
      <c r="E110" s="77" t="str">
        <f>Commodities!$N$10</f>
        <v>TRARLDV</v>
      </c>
      <c r="F110" s="147">
        <f t="shared" si="24"/>
        <v>2020</v>
      </c>
      <c r="G110" s="119">
        <f t="shared" si="29"/>
        <v>2025</v>
      </c>
      <c r="H110" s="120">
        <f t="shared" si="21"/>
        <v>450</v>
      </c>
      <c r="I110" s="77"/>
      <c r="J110" s="77"/>
      <c r="K110" s="138">
        <f>K55*$K$84</f>
        <v>26.666666666666671</v>
      </c>
      <c r="L110" s="77">
        <v>1</v>
      </c>
      <c r="M110" s="107">
        <f t="shared" si="22"/>
        <v>15</v>
      </c>
      <c r="N110" s="122">
        <v>1E-3</v>
      </c>
    </row>
    <row r="111" spans="2:14" ht="13.8" x14ac:dyDescent="0.25">
      <c r="B111" s="77" t="str">
        <f t="shared" si="23"/>
        <v>TRARLDV_ELC_S_IM</v>
      </c>
      <c r="C111" s="77" t="str">
        <f t="shared" si="23"/>
        <v>LDV Second Hand Electric Improved ELC</v>
      </c>
      <c r="D111" s="77" t="str">
        <f>D110</f>
        <v>TRABATLDV</v>
      </c>
      <c r="E111" s="77" t="str">
        <f>Commodities!$N$10</f>
        <v>TRARLDV</v>
      </c>
      <c r="F111" s="147">
        <f t="shared" si="24"/>
        <v>2025</v>
      </c>
      <c r="G111" s="119">
        <f t="shared" si="29"/>
        <v>2030</v>
      </c>
      <c r="H111" s="120">
        <f t="shared" si="21"/>
        <v>498.75</v>
      </c>
      <c r="I111" s="77"/>
      <c r="J111" s="77"/>
      <c r="K111" s="138">
        <f>K56*$K$84</f>
        <v>31.111111111111114</v>
      </c>
      <c r="L111" s="77">
        <v>1</v>
      </c>
      <c r="M111" s="107">
        <f t="shared" si="22"/>
        <v>15</v>
      </c>
      <c r="N111" s="122">
        <v>1E-3</v>
      </c>
    </row>
    <row r="112" spans="2:14" ht="13.8" x14ac:dyDescent="0.25">
      <c r="B112" s="125" t="str">
        <f t="shared" si="23"/>
        <v>TRARLDV_ELC_S_AD</v>
      </c>
      <c r="C112" s="125" t="str">
        <f t="shared" si="23"/>
        <v>LDV Second Hand Electric Advanced ELC</v>
      </c>
      <c r="D112" s="125" t="str">
        <f>D111</f>
        <v>TRABATLDV</v>
      </c>
      <c r="E112" s="125" t="str">
        <f>Commodities!$N$10</f>
        <v>TRARLDV</v>
      </c>
      <c r="F112" s="148">
        <f t="shared" si="24"/>
        <v>2035</v>
      </c>
      <c r="G112" s="126">
        <v>2100</v>
      </c>
      <c r="H112" s="128">
        <f t="shared" si="21"/>
        <v>736.125</v>
      </c>
      <c r="I112" s="125"/>
      <c r="J112" s="125"/>
      <c r="K112" s="128">
        <f>K57*$K$84</f>
        <v>33.777777777777779</v>
      </c>
      <c r="L112" s="125">
        <v>1</v>
      </c>
      <c r="M112" s="126">
        <f t="shared" si="22"/>
        <v>15</v>
      </c>
      <c r="N112" s="130">
        <v>1E-3</v>
      </c>
    </row>
    <row r="115" spans="2:9" ht="15.75" customHeight="1" x14ac:dyDescent="0.25"/>
    <row r="116" spans="2:9" ht="15.75" customHeight="1" x14ac:dyDescent="0.25"/>
    <row r="117" spans="2:9" ht="15.75" customHeight="1" x14ac:dyDescent="0.25">
      <c r="G117" s="137"/>
    </row>
    <row r="118" spans="2:9" ht="15.75" customHeight="1" x14ac:dyDescent="0.3">
      <c r="B118" s="78" t="s">
        <v>1092</v>
      </c>
      <c r="C118" s="158"/>
      <c r="D118" s="158"/>
      <c r="E118" s="158"/>
      <c r="F118" s="158"/>
      <c r="G118" s="158"/>
      <c r="H118" s="158"/>
    </row>
    <row r="119" spans="2:9" ht="15.75" customHeight="1" x14ac:dyDescent="0.25">
      <c r="B119" s="158"/>
      <c r="C119" s="158"/>
      <c r="D119" s="158"/>
      <c r="E119" s="158"/>
      <c r="F119" s="158"/>
      <c r="G119" s="158"/>
      <c r="H119" s="158"/>
    </row>
    <row r="120" spans="2:9" ht="15.75" customHeight="1" x14ac:dyDescent="0.25">
      <c r="E120" s="159" t="s">
        <v>0</v>
      </c>
      <c r="F120" s="160"/>
      <c r="G120" s="160"/>
      <c r="H120" s="160"/>
      <c r="I120" s="160"/>
    </row>
    <row r="121" spans="2:9" ht="15.75" customHeight="1" x14ac:dyDescent="0.25">
      <c r="B121" s="90" t="s">
        <v>1</v>
      </c>
      <c r="C121" s="90" t="s">
        <v>3</v>
      </c>
      <c r="D121" s="90" t="s">
        <v>4</v>
      </c>
      <c r="E121" s="91" t="s">
        <v>816</v>
      </c>
      <c r="F121" s="90" t="s">
        <v>15</v>
      </c>
      <c r="G121" s="90" t="s">
        <v>1093</v>
      </c>
      <c r="H121" s="90" t="s">
        <v>1094</v>
      </c>
      <c r="I121" s="90" t="s">
        <v>50</v>
      </c>
    </row>
    <row r="122" spans="2:9" ht="15.75" customHeight="1" thickBot="1" x14ac:dyDescent="0.3">
      <c r="B122" s="102" t="s">
        <v>1095</v>
      </c>
      <c r="C122" s="102" t="s">
        <v>36</v>
      </c>
      <c r="D122" s="102" t="s">
        <v>37</v>
      </c>
      <c r="E122" s="103"/>
      <c r="F122" s="102"/>
      <c r="G122" s="102" t="s">
        <v>40</v>
      </c>
      <c r="H122" s="102" t="s">
        <v>1096</v>
      </c>
      <c r="I122" s="102"/>
    </row>
    <row r="123" spans="2:9" ht="15.75" customHeight="1" x14ac:dyDescent="0.25">
      <c r="B123" s="112" t="s">
        <v>813</v>
      </c>
      <c r="C123" s="112"/>
      <c r="D123" s="112"/>
      <c r="E123" s="161"/>
      <c r="F123" s="112"/>
      <c r="G123" s="112" t="s">
        <v>1097</v>
      </c>
      <c r="H123" s="112" t="s">
        <v>47</v>
      </c>
      <c r="I123" s="112"/>
    </row>
    <row r="124" spans="2:9" ht="15.75" customHeight="1" x14ac:dyDescent="0.25">
      <c r="B124" s="162" t="str">
        <f>T83</f>
        <v>BAT_TRARLDV_N01</v>
      </c>
      <c r="C124" s="77" t="str">
        <f>Commodities!$C$343</f>
        <v>TRAELC</v>
      </c>
      <c r="D124" s="77" t="str">
        <f>T91</f>
        <v>TRABATLDV</v>
      </c>
      <c r="E124" s="163">
        <f>F124</f>
        <v>2018</v>
      </c>
      <c r="F124" s="164">
        <f>BASE_YEAR+1</f>
        <v>2018</v>
      </c>
      <c r="G124" s="164">
        <v>0.96</v>
      </c>
      <c r="H124" s="164">
        <v>10</v>
      </c>
      <c r="I124" s="164">
        <v>3.5999999999999999E-3</v>
      </c>
    </row>
    <row r="125" spans="2:9" ht="15.75" customHeight="1" x14ac:dyDescent="0.25">
      <c r="G125" s="137"/>
    </row>
    <row r="126" spans="2:9" ht="15.75" customHeight="1" x14ac:dyDescent="0.25">
      <c r="G126" s="137"/>
    </row>
    <row r="127" spans="2:9" x14ac:dyDescent="0.25">
      <c r="G127" s="137"/>
    </row>
    <row r="128" spans="2:9" x14ac:dyDescent="0.25">
      <c r="G128" s="137"/>
    </row>
    <row r="129" s="137" customFormat="1" x14ac:dyDescent="0.25"/>
    <row r="130" s="137" customFormat="1" x14ac:dyDescent="0.25"/>
    <row r="131" s="137" customFormat="1" x14ac:dyDescent="0.25"/>
    <row r="132" s="137" customFormat="1" x14ac:dyDescent="0.25"/>
    <row r="133" s="137" customFormat="1" x14ac:dyDescent="0.25"/>
    <row r="134" s="137" customFormat="1" x14ac:dyDescent="0.25"/>
    <row r="135" s="137" customFormat="1" x14ac:dyDescent="0.25"/>
    <row r="136" s="137" customFormat="1" x14ac:dyDescent="0.25"/>
    <row r="137" s="137" customFormat="1" x14ac:dyDescent="0.25"/>
    <row r="138" s="137" customFormat="1" x14ac:dyDescent="0.25"/>
    <row r="139" s="137" customFormat="1" x14ac:dyDescent="0.25"/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B32"/>
  <sheetViews>
    <sheetView topLeftCell="L1" zoomScale="55" zoomScaleNormal="55" workbookViewId="0">
      <selection activeCell="AG1" sqref="AG1"/>
    </sheetView>
  </sheetViews>
  <sheetFormatPr defaultRowHeight="13.2" x14ac:dyDescent="0.25"/>
  <cols>
    <col min="1" max="1" width="3.44140625" style="137" customWidth="1"/>
    <col min="2" max="2" width="35.6640625" style="137" bestFit="1" customWidth="1"/>
    <col min="3" max="3" width="72.5546875" style="137" bestFit="1" customWidth="1"/>
    <col min="4" max="4" width="17.109375" style="137" bestFit="1" customWidth="1"/>
    <col min="5" max="5" width="19.109375" style="137" bestFit="1" customWidth="1"/>
    <col min="6" max="6" width="8.88671875" style="137"/>
    <col min="7" max="7" width="12.109375" style="137" bestFit="1" customWidth="1"/>
    <col min="8" max="8" width="15.33203125" style="137" customWidth="1"/>
    <col min="9" max="9" width="17.109375" style="137" bestFit="1" customWidth="1"/>
    <col min="10" max="10" width="21.44140625" style="137" bestFit="1" customWidth="1"/>
    <col min="11" max="11" width="15.6640625" style="137" bestFit="1" customWidth="1"/>
    <col min="12" max="12" width="16.44140625" style="137" bestFit="1" customWidth="1"/>
    <col min="13" max="13" width="18.88671875" style="137" bestFit="1" customWidth="1"/>
    <col min="14" max="14" width="27.88671875" style="137" bestFit="1" customWidth="1"/>
    <col min="15" max="18" width="8.88671875" style="137"/>
    <col min="19" max="19" width="21.6640625" style="137" customWidth="1"/>
    <col min="20" max="20" width="19.88671875" style="137" customWidth="1"/>
    <col min="21" max="21" width="29.5546875" style="137" bestFit="1" customWidth="1"/>
    <col min="22" max="22" width="72.5546875" style="137" bestFit="1" customWidth="1"/>
    <col min="23" max="23" width="12.109375" style="137" bestFit="1" customWidth="1"/>
    <col min="24" max="24" width="14" style="137" bestFit="1" customWidth="1"/>
    <col min="25" max="25" width="17.6640625" style="137" bestFit="1" customWidth="1"/>
    <col min="26" max="26" width="18.5546875" style="137" bestFit="1" customWidth="1"/>
    <col min="27" max="27" width="10.5546875" style="137" bestFit="1" customWidth="1"/>
    <col min="28" max="16384" width="8.88671875" style="137"/>
  </cols>
  <sheetData>
    <row r="1" spans="1:28" s="77" customFormat="1" ht="17.399999999999999" x14ac:dyDescent="0.3">
      <c r="B1" s="78" t="s">
        <v>828</v>
      </c>
      <c r="C1" s="78"/>
      <c r="D1" s="78"/>
      <c r="E1" s="78"/>
      <c r="F1" s="78"/>
      <c r="G1" s="78"/>
      <c r="O1" s="79"/>
      <c r="S1" s="77" t="s">
        <v>807</v>
      </c>
    </row>
    <row r="2" spans="1:28" s="77" customFormat="1" ht="17.399999999999999" x14ac:dyDescent="0.3">
      <c r="A2" s="137"/>
      <c r="B2" s="137"/>
      <c r="C2" s="178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</row>
    <row r="3" spans="1:28" ht="17.399999999999999" x14ac:dyDescent="0.3">
      <c r="B3" s="78" t="s">
        <v>828</v>
      </c>
      <c r="C3" s="178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S3" s="84" t="s">
        <v>808</v>
      </c>
      <c r="T3" s="84"/>
      <c r="U3" s="84" t="s">
        <v>819</v>
      </c>
      <c r="V3" s="84"/>
      <c r="W3" s="84"/>
      <c r="X3" s="84"/>
      <c r="Y3" s="84"/>
      <c r="Z3" s="84"/>
      <c r="AA3" s="84"/>
      <c r="AB3" s="77"/>
    </row>
    <row r="4" spans="1:28" ht="17.399999999999999" x14ac:dyDescent="0.3">
      <c r="B4" s="78" t="s">
        <v>829</v>
      </c>
      <c r="C4" s="178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S4" s="88" t="s">
        <v>18</v>
      </c>
      <c r="T4" s="88"/>
      <c r="U4" s="84"/>
      <c r="V4" s="84"/>
      <c r="W4" s="84"/>
      <c r="X4" s="84"/>
      <c r="Y4" s="84"/>
      <c r="Z4" s="84"/>
      <c r="AA4" s="84"/>
      <c r="AB4" s="77"/>
    </row>
    <row r="5" spans="1:28" ht="13.8" x14ac:dyDescent="0.25">
      <c r="S5" s="96" t="s">
        <v>16</v>
      </c>
      <c r="T5" s="96" t="s">
        <v>93</v>
      </c>
      <c r="U5" s="96" t="s">
        <v>1</v>
      </c>
      <c r="V5" s="96" t="s">
        <v>2</v>
      </c>
      <c r="W5" s="96" t="s">
        <v>19</v>
      </c>
      <c r="X5" s="96" t="s">
        <v>20</v>
      </c>
      <c r="Y5" s="96" t="s">
        <v>21</v>
      </c>
      <c r="Z5" s="96" t="s">
        <v>22</v>
      </c>
      <c r="AA5" s="96" t="s">
        <v>23</v>
      </c>
      <c r="AB5" s="77"/>
    </row>
    <row r="6" spans="1:28" ht="29.25" customHeight="1" thickBot="1" x14ac:dyDescent="0.3">
      <c r="B6" s="77"/>
      <c r="C6" s="77"/>
      <c r="D6" s="77"/>
      <c r="E6" s="86"/>
      <c r="F6" s="87" t="s">
        <v>0</v>
      </c>
      <c r="G6" s="87"/>
      <c r="H6" s="82"/>
      <c r="I6" s="77"/>
      <c r="J6" s="77"/>
      <c r="K6" s="77"/>
      <c r="L6" s="77"/>
      <c r="M6" s="77"/>
      <c r="N6" s="77"/>
      <c r="S6" s="106" t="s">
        <v>810</v>
      </c>
      <c r="T6" s="106" t="s">
        <v>95</v>
      </c>
      <c r="U6" s="106" t="s">
        <v>31</v>
      </c>
      <c r="V6" s="106" t="s">
        <v>32</v>
      </c>
      <c r="W6" s="106" t="s">
        <v>33</v>
      </c>
      <c r="X6" s="106" t="s">
        <v>34</v>
      </c>
      <c r="Y6" s="106" t="s">
        <v>811</v>
      </c>
      <c r="Z6" s="106" t="s">
        <v>812</v>
      </c>
      <c r="AA6" s="106" t="s">
        <v>35</v>
      </c>
      <c r="AB6" s="107"/>
    </row>
    <row r="7" spans="1:28" ht="13.8" x14ac:dyDescent="0.25">
      <c r="B7" s="90" t="s">
        <v>1</v>
      </c>
      <c r="C7" s="90" t="s">
        <v>809</v>
      </c>
      <c r="D7" s="90" t="s">
        <v>3</v>
      </c>
      <c r="E7" s="90" t="s">
        <v>4</v>
      </c>
      <c r="F7" s="91" t="s">
        <v>816</v>
      </c>
      <c r="G7" s="92" t="s">
        <v>15</v>
      </c>
      <c r="H7" s="93" t="s">
        <v>17</v>
      </c>
      <c r="I7" s="93" t="s">
        <v>38</v>
      </c>
      <c r="J7" s="93" t="s">
        <v>74</v>
      </c>
      <c r="K7" s="93" t="s">
        <v>43</v>
      </c>
      <c r="L7" s="93" t="s">
        <v>5</v>
      </c>
      <c r="M7" s="93" t="s">
        <v>49</v>
      </c>
      <c r="N7" s="93" t="s">
        <v>50</v>
      </c>
      <c r="S7" s="79" t="s">
        <v>814</v>
      </c>
      <c r="T7" s="79"/>
      <c r="U7" s="79" t="str">
        <f>Commodities!$N$11&amp;"_"&amp;RIGHT(Commodities!$C$343,3)&amp;"_"&amp;$U$3&amp;"_ST"</f>
        <v>TRARAILP_ELC_N_ST</v>
      </c>
      <c r="V7" s="77" t="s">
        <v>1051</v>
      </c>
      <c r="W7" s="107" t="str">
        <f>General!$D$28</f>
        <v>MVkms</v>
      </c>
      <c r="X7" s="107" t="str">
        <f>General!$D$11</f>
        <v>000s_Units</v>
      </c>
      <c r="Y7" s="79"/>
      <c r="Z7" s="119" t="s">
        <v>815</v>
      </c>
      <c r="AA7" s="79"/>
    </row>
    <row r="8" spans="1:28" ht="14.4" thickBot="1" x14ac:dyDescent="0.3">
      <c r="B8" s="102" t="s">
        <v>824</v>
      </c>
      <c r="C8" s="102" t="s">
        <v>32</v>
      </c>
      <c r="D8" s="102" t="s">
        <v>36</v>
      </c>
      <c r="E8" s="102" t="s">
        <v>37</v>
      </c>
      <c r="F8" s="103"/>
      <c r="G8" s="104" t="s">
        <v>42</v>
      </c>
      <c r="H8" s="102" t="s">
        <v>40</v>
      </c>
      <c r="I8" s="102" t="s">
        <v>72</v>
      </c>
      <c r="J8" s="102" t="s">
        <v>75</v>
      </c>
      <c r="K8" s="104" t="s">
        <v>44</v>
      </c>
      <c r="L8" s="102" t="s">
        <v>45</v>
      </c>
      <c r="M8" s="102" t="s">
        <v>79</v>
      </c>
      <c r="N8" s="102" t="s">
        <v>41</v>
      </c>
      <c r="S8" s="79"/>
      <c r="T8" s="79"/>
      <c r="U8" s="79" t="str">
        <f>Commodities!$N$11&amp;"_"&amp;RIGHT(Commodities!$C$343,3)&amp;"_"&amp;$U$3&amp;"_IM"</f>
        <v>TRARAILP_ELC_N_IM</v>
      </c>
      <c r="V8" s="77" t="s">
        <v>1052</v>
      </c>
      <c r="W8" s="107" t="str">
        <f>General!$D$28</f>
        <v>MVkms</v>
      </c>
      <c r="X8" s="107" t="str">
        <f>General!$D$11</f>
        <v>000s_Units</v>
      </c>
      <c r="Y8" s="79"/>
      <c r="Z8" s="119" t="s">
        <v>815</v>
      </c>
      <c r="AA8" s="79"/>
    </row>
    <row r="9" spans="1:28" ht="13.8" x14ac:dyDescent="0.25">
      <c r="B9" s="175"/>
      <c r="C9" s="176"/>
      <c r="D9" s="176"/>
      <c r="E9" s="176" t="s">
        <v>813</v>
      </c>
      <c r="F9" s="177"/>
      <c r="G9" s="176"/>
      <c r="H9" s="176" t="str">
        <f>General!$D$12</f>
        <v>MVkms/PJ</v>
      </c>
      <c r="I9" s="176" t="str">
        <f>General!$D$14</f>
        <v>km/year</v>
      </c>
      <c r="J9" s="176" t="str">
        <f>General!$D$15</f>
        <v>passenger/vehicle</v>
      </c>
      <c r="K9" s="176" t="str">
        <f>General!$D$30</f>
        <v>000USD/unit</v>
      </c>
      <c r="L9" s="176" t="str">
        <f>General!$D$17</f>
        <v>k$/Unit</v>
      </c>
      <c r="M9" s="176" t="str">
        <f>General!$D$20</f>
        <v>Years</v>
      </c>
      <c r="N9" s="176" t="str">
        <f>General!$D$21</f>
        <v>(milion_vkm)/(thousand_vkm)</v>
      </c>
      <c r="S9" s="79"/>
      <c r="T9" s="79"/>
      <c r="U9" s="79" t="str">
        <f>Commodities!$N$11&amp;"_"&amp;RIGHT(Commodities!$C$343,3)&amp;"_"&amp;$U$3&amp;"_AD"</f>
        <v>TRARAILP_ELC_N_AD</v>
      </c>
      <c r="V9" s="77" t="s">
        <v>1053</v>
      </c>
      <c r="W9" s="107" t="str">
        <f>General!$D$28</f>
        <v>MVkms</v>
      </c>
      <c r="X9" s="107" t="str">
        <f>General!$D$11</f>
        <v>000s_Units</v>
      </c>
      <c r="Y9" s="79"/>
      <c r="Z9" s="119" t="s">
        <v>815</v>
      </c>
      <c r="AA9" s="79"/>
    </row>
    <row r="10" spans="1:28" ht="13.8" x14ac:dyDescent="0.25">
      <c r="B10" s="77" t="str">
        <f t="shared" ref="B10:C15" si="0">U7</f>
        <v>TRARAILP_ELC_N_ST</v>
      </c>
      <c r="C10" s="77" t="str">
        <f t="shared" si="0"/>
        <v>Passenger Train NEW Standard ELC</v>
      </c>
      <c r="D10" s="77" t="str">
        <f>Commodities!$C$343</f>
        <v>TRAELC</v>
      </c>
      <c r="E10" s="77" t="str">
        <f>Commodities!$N$11</f>
        <v>TRARAILP</v>
      </c>
      <c r="F10" s="147">
        <f t="shared" ref="F10:F15" si="1">G10</f>
        <v>2018</v>
      </c>
      <c r="G10" s="119">
        <f>BASE_YEAR+1</f>
        <v>2018</v>
      </c>
      <c r="H10" s="107"/>
      <c r="I10" s="77"/>
      <c r="J10" s="77"/>
      <c r="K10" s="179">
        <f>14000*(1/0.9)</f>
        <v>15555.555555555557</v>
      </c>
      <c r="L10" s="77"/>
      <c r="M10" s="107">
        <v>30</v>
      </c>
      <c r="N10" s="122">
        <v>1E-3</v>
      </c>
      <c r="S10" s="79"/>
      <c r="T10" s="79"/>
      <c r="U10" s="79" t="str">
        <f>Commodities!$N$11&amp;"_"&amp;RIGHT(Commodities!$C$246,3)&amp;"_"&amp;$U$3&amp;"_ST"</f>
        <v>TRARAILP_DSL_N_ST</v>
      </c>
      <c r="V10" s="77" t="s">
        <v>1054</v>
      </c>
      <c r="W10" s="107" t="str">
        <f>General!$D$28</f>
        <v>MVkms</v>
      </c>
      <c r="X10" s="107" t="str">
        <f>General!$D$11</f>
        <v>000s_Units</v>
      </c>
      <c r="Y10" s="79"/>
      <c r="Z10" s="119" t="s">
        <v>815</v>
      </c>
      <c r="AA10" s="79"/>
    </row>
    <row r="11" spans="1:28" ht="13.8" x14ac:dyDescent="0.25">
      <c r="B11" s="77" t="str">
        <f t="shared" si="0"/>
        <v>TRARAILP_ELC_N_IM</v>
      </c>
      <c r="C11" s="77" t="str">
        <f t="shared" si="0"/>
        <v>Passenger Train NEW Improved ELC</v>
      </c>
      <c r="D11" s="77" t="str">
        <f>Commodities!$C$343</f>
        <v>TRAELC</v>
      </c>
      <c r="E11" s="77" t="str">
        <f>Commodities!$N$11</f>
        <v>TRARAILP</v>
      </c>
      <c r="F11" s="147">
        <f t="shared" si="1"/>
        <v>2025</v>
      </c>
      <c r="G11" s="119">
        <f>BASE_YEAR+8</f>
        <v>2025</v>
      </c>
      <c r="H11" s="107"/>
      <c r="I11" s="77"/>
      <c r="J11" s="77"/>
      <c r="K11" s="179">
        <f>16000*(1/0.9)</f>
        <v>17777.777777777777</v>
      </c>
      <c r="L11" s="77"/>
      <c r="M11" s="107">
        <v>30</v>
      </c>
      <c r="N11" s="122">
        <v>1E-3</v>
      </c>
      <c r="S11" s="79"/>
      <c r="T11" s="79"/>
      <c r="U11" s="79" t="str">
        <f>Commodities!$N$11&amp;"_"&amp;RIGHT(Commodities!$C$246,3)&amp;"_"&amp;$U$3&amp;"_IM"</f>
        <v>TRARAILP_DSL_N_IM</v>
      </c>
      <c r="V11" s="77" t="s">
        <v>1055</v>
      </c>
      <c r="W11" s="107" t="str">
        <f>General!$D$28</f>
        <v>MVkms</v>
      </c>
      <c r="X11" s="107" t="str">
        <f>General!$D$11</f>
        <v>000s_Units</v>
      </c>
      <c r="Y11" s="79"/>
      <c r="Z11" s="119" t="s">
        <v>815</v>
      </c>
      <c r="AA11" s="79"/>
    </row>
    <row r="12" spans="1:28" ht="13.8" x14ac:dyDescent="0.25">
      <c r="B12" s="77" t="str">
        <f t="shared" si="0"/>
        <v>TRARAILP_ELC_N_AD</v>
      </c>
      <c r="C12" s="77" t="str">
        <f t="shared" si="0"/>
        <v>Passenger Train NEW Advanced ELC</v>
      </c>
      <c r="D12" s="77" t="str">
        <f>Commodities!$C$343</f>
        <v>TRAELC</v>
      </c>
      <c r="E12" s="77" t="str">
        <f>Commodities!$N$11</f>
        <v>TRARAILP</v>
      </c>
      <c r="F12" s="147">
        <f t="shared" si="1"/>
        <v>2035</v>
      </c>
      <c r="G12" s="119">
        <f>BASE_YEAR+18</f>
        <v>2035</v>
      </c>
      <c r="H12" s="107"/>
      <c r="I12" s="77"/>
      <c r="J12" s="77"/>
      <c r="K12" s="179">
        <f>18000*(1/0.9)</f>
        <v>20000</v>
      </c>
      <c r="L12" s="77"/>
      <c r="M12" s="107">
        <v>30</v>
      </c>
      <c r="N12" s="122">
        <v>1E-3</v>
      </c>
      <c r="S12" s="125"/>
      <c r="T12" s="125"/>
      <c r="U12" s="125" t="str">
        <f>Commodities!$N$11&amp;"_"&amp;RIGHT(Commodities!$C$246,3)&amp;"_"&amp;$U$3&amp;"_AD"</f>
        <v>TRARAILP_DSL_N_AD</v>
      </c>
      <c r="V12" s="125" t="s">
        <v>1056</v>
      </c>
      <c r="W12" s="126" t="str">
        <f>General!$D$28</f>
        <v>MVkms</v>
      </c>
      <c r="X12" s="126" t="str">
        <f>General!$D$11</f>
        <v>000s_Units</v>
      </c>
      <c r="Y12" s="125"/>
      <c r="Z12" s="126" t="s">
        <v>815</v>
      </c>
      <c r="AA12" s="125"/>
    </row>
    <row r="13" spans="1:28" ht="13.8" x14ac:dyDescent="0.25">
      <c r="B13" s="77" t="str">
        <f t="shared" si="0"/>
        <v>TRARAILP_DSL_N_ST</v>
      </c>
      <c r="C13" s="77" t="str">
        <f t="shared" si="0"/>
        <v>Passenger Train NEW Standard DSL</v>
      </c>
      <c r="D13" s="77" t="str">
        <f>Commodities!$C$246</f>
        <v>TRAOILDSL</v>
      </c>
      <c r="E13" s="77" t="str">
        <f>Commodities!$N$11</f>
        <v>TRARAILP</v>
      </c>
      <c r="F13" s="147">
        <f t="shared" si="1"/>
        <v>2018</v>
      </c>
      <c r="G13" s="119">
        <f>BASE_YEAR+1</f>
        <v>2018</v>
      </c>
      <c r="H13" s="107"/>
      <c r="I13" s="77"/>
      <c r="J13" s="77"/>
      <c r="K13" s="179">
        <f>11000*(1/0.9)</f>
        <v>12222.222222222223</v>
      </c>
      <c r="L13" s="77"/>
      <c r="M13" s="107">
        <v>30</v>
      </c>
      <c r="N13" s="122">
        <v>1E-3</v>
      </c>
      <c r="S13" s="79"/>
      <c r="T13" s="79"/>
      <c r="U13" s="79" t="str">
        <f>Commodities!$N$12&amp;"_"&amp;RIGHT(Commodities!$C$343,3)&amp;"_"&amp;$U$3&amp;"_ST"</f>
        <v>TRARAILF_ELC_N_ST</v>
      </c>
      <c r="V13" s="77" t="s">
        <v>1057</v>
      </c>
      <c r="W13" s="107" t="str">
        <f>General!$D$28</f>
        <v>MVkms</v>
      </c>
      <c r="X13" s="107" t="str">
        <f>General!$D$11</f>
        <v>000s_Units</v>
      </c>
      <c r="Y13" s="79"/>
      <c r="Z13" s="119" t="s">
        <v>815</v>
      </c>
      <c r="AA13" s="79"/>
    </row>
    <row r="14" spans="1:28" ht="13.8" x14ac:dyDescent="0.25">
      <c r="B14" s="77" t="str">
        <f t="shared" si="0"/>
        <v>TRARAILP_DSL_N_IM</v>
      </c>
      <c r="C14" s="77" t="str">
        <f t="shared" si="0"/>
        <v>Passenger Train NEW Improved DSL</v>
      </c>
      <c r="D14" s="77" t="str">
        <f>Commodities!$C$246</f>
        <v>TRAOILDSL</v>
      </c>
      <c r="E14" s="77" t="str">
        <f>Commodities!$N$11</f>
        <v>TRARAILP</v>
      </c>
      <c r="F14" s="147">
        <f t="shared" si="1"/>
        <v>2025</v>
      </c>
      <c r="G14" s="119">
        <f>BASE_YEAR+8</f>
        <v>2025</v>
      </c>
      <c r="H14" s="107"/>
      <c r="I14" s="77"/>
      <c r="J14" s="77"/>
      <c r="K14" s="179">
        <f>12000*(1/0.9)</f>
        <v>13333.333333333334</v>
      </c>
      <c r="L14" s="77"/>
      <c r="M14" s="107">
        <v>30</v>
      </c>
      <c r="N14" s="122">
        <v>1E-3</v>
      </c>
      <c r="S14" s="79"/>
      <c r="T14" s="79"/>
      <c r="U14" s="79" t="str">
        <f>Commodities!$N$12&amp;"_"&amp;RIGHT(Commodities!$C$343,3)&amp;"_"&amp;$U$3&amp;"_IM"</f>
        <v>TRARAILF_ELC_N_IM</v>
      </c>
      <c r="V14" s="77" t="s">
        <v>1058</v>
      </c>
      <c r="W14" s="107" t="str">
        <f>General!$D$28</f>
        <v>MVkms</v>
      </c>
      <c r="X14" s="107" t="str">
        <f>General!$D$11</f>
        <v>000s_Units</v>
      </c>
      <c r="Y14" s="79"/>
      <c r="Z14" s="119" t="s">
        <v>815</v>
      </c>
      <c r="AA14" s="79"/>
    </row>
    <row r="15" spans="1:28" ht="13.8" x14ac:dyDescent="0.25">
      <c r="B15" s="77" t="str">
        <f t="shared" si="0"/>
        <v>TRARAILP_DSL_N_AD</v>
      </c>
      <c r="C15" s="77" t="str">
        <f t="shared" si="0"/>
        <v>Passenger Train NEW Advanced DSL</v>
      </c>
      <c r="D15" s="77" t="str">
        <f>Commodities!$C$246</f>
        <v>TRAOILDSL</v>
      </c>
      <c r="E15" s="77" t="str">
        <f>Commodities!$N$11</f>
        <v>TRARAILP</v>
      </c>
      <c r="F15" s="147">
        <f t="shared" si="1"/>
        <v>2035</v>
      </c>
      <c r="G15" s="119">
        <f>BASE_YEAR+18</f>
        <v>2035</v>
      </c>
      <c r="H15" s="107"/>
      <c r="I15" s="77"/>
      <c r="J15" s="77"/>
      <c r="K15" s="179">
        <f>14000*(1/0.9)</f>
        <v>15555.555555555557</v>
      </c>
      <c r="L15" s="77"/>
      <c r="M15" s="107">
        <v>30</v>
      </c>
      <c r="N15" s="122">
        <v>1E-3</v>
      </c>
      <c r="S15" s="79"/>
      <c r="T15" s="79"/>
      <c r="U15" s="79" t="str">
        <f>Commodities!$N$12&amp;"_"&amp;RIGHT(Commodities!$C$343,3)&amp;"_"&amp;$U$3&amp;"_AD"</f>
        <v>TRARAILF_ELC_N_AD</v>
      </c>
      <c r="V15" s="77" t="s">
        <v>1059</v>
      </c>
      <c r="W15" s="107" t="str">
        <f>General!$D$28</f>
        <v>MVkms</v>
      </c>
      <c r="X15" s="107" t="str">
        <f>General!$D$11</f>
        <v>000s_Units</v>
      </c>
      <c r="Y15" s="79"/>
      <c r="Z15" s="119" t="s">
        <v>815</v>
      </c>
      <c r="AA15" s="79"/>
    </row>
    <row r="16" spans="1:28" ht="13.8" x14ac:dyDescent="0.25">
      <c r="B16" s="77"/>
      <c r="S16" s="79"/>
      <c r="T16" s="79"/>
      <c r="U16" s="79" t="str">
        <f>Commodities!$N$12&amp;"_"&amp;RIGHT(Commodities!$C$246,3)&amp;"_"&amp;$U$3&amp;"_ST"</f>
        <v>TRARAILF_DSL_N_ST</v>
      </c>
      <c r="V16" s="77" t="s">
        <v>1060</v>
      </c>
      <c r="W16" s="107" t="str">
        <f>General!$D$28</f>
        <v>MVkms</v>
      </c>
      <c r="X16" s="107" t="str">
        <f>General!$D$11</f>
        <v>000s_Units</v>
      </c>
      <c r="Y16" s="79"/>
      <c r="Z16" s="119" t="s">
        <v>815</v>
      </c>
      <c r="AA16" s="79"/>
    </row>
    <row r="17" spans="2:27" ht="13.8" x14ac:dyDescent="0.25">
      <c r="B17" s="77"/>
      <c r="S17" s="79"/>
      <c r="T17" s="79"/>
      <c r="U17" s="79" t="str">
        <f>Commodities!$N$12&amp;"_"&amp;RIGHT(Commodities!$C$246,3)&amp;"_"&amp;$U$3&amp;"_IM"</f>
        <v>TRARAILF_DSL_N_IM</v>
      </c>
      <c r="V17" s="77" t="s">
        <v>1061</v>
      </c>
      <c r="W17" s="107" t="str">
        <f>General!$D$28</f>
        <v>MVkms</v>
      </c>
      <c r="X17" s="107" t="str">
        <f>General!$D$11</f>
        <v>000s_Units</v>
      </c>
      <c r="Y17" s="79"/>
      <c r="Z17" s="119" t="s">
        <v>815</v>
      </c>
      <c r="AA17" s="79"/>
    </row>
    <row r="18" spans="2:27" ht="13.8" x14ac:dyDescent="0.25">
      <c r="B18" s="77"/>
      <c r="S18" s="125"/>
      <c r="T18" s="125"/>
      <c r="U18" s="125" t="str">
        <f>Commodities!$N$12&amp;"_"&amp;RIGHT(Commodities!$C$246,3)&amp;"_"&amp;$U$3&amp;"_AD"</f>
        <v>TRARAILF_DSL_N_AD</v>
      </c>
      <c r="V18" s="125" t="s">
        <v>1062</v>
      </c>
      <c r="W18" s="126" t="str">
        <f>General!$D$28</f>
        <v>MVkms</v>
      </c>
      <c r="X18" s="126" t="str">
        <f>General!$D$11</f>
        <v>000s_Units</v>
      </c>
      <c r="Y18" s="125"/>
      <c r="Z18" s="126" t="s">
        <v>815</v>
      </c>
      <c r="AA18" s="125"/>
    </row>
    <row r="19" spans="2:27" ht="19.5" customHeight="1" x14ac:dyDescent="0.3">
      <c r="B19" s="78" t="s">
        <v>828</v>
      </c>
      <c r="C19" s="178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</row>
    <row r="20" spans="2:27" ht="15" customHeight="1" x14ac:dyDescent="0.3">
      <c r="B20" s="78" t="s">
        <v>830</v>
      </c>
      <c r="C20" s="178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</row>
    <row r="22" spans="2:27" ht="13.8" x14ac:dyDescent="0.25">
      <c r="B22" s="77"/>
      <c r="C22" s="77"/>
      <c r="D22" s="77"/>
      <c r="E22" s="86"/>
      <c r="F22" s="87" t="s">
        <v>0</v>
      </c>
      <c r="G22" s="87"/>
      <c r="H22" s="82"/>
      <c r="I22" s="77"/>
      <c r="J22" s="77"/>
      <c r="K22" s="77"/>
      <c r="L22" s="77"/>
      <c r="M22" s="77"/>
      <c r="N22" s="77"/>
    </row>
    <row r="23" spans="2:27" ht="13.8" x14ac:dyDescent="0.25">
      <c r="B23" s="90" t="s">
        <v>1</v>
      </c>
      <c r="C23" s="90" t="s">
        <v>809</v>
      </c>
      <c r="D23" s="90" t="s">
        <v>3</v>
      </c>
      <c r="E23" s="90" t="s">
        <v>4</v>
      </c>
      <c r="F23" s="91" t="s">
        <v>816</v>
      </c>
      <c r="G23" s="92" t="s">
        <v>15</v>
      </c>
      <c r="H23" s="93" t="s">
        <v>17</v>
      </c>
      <c r="I23" s="93" t="s">
        <v>38</v>
      </c>
      <c r="J23" s="93" t="s">
        <v>74</v>
      </c>
      <c r="K23" s="93" t="s">
        <v>43</v>
      </c>
      <c r="L23" s="93" t="s">
        <v>5</v>
      </c>
      <c r="M23" s="93" t="s">
        <v>49</v>
      </c>
      <c r="N23" s="93" t="s">
        <v>50</v>
      </c>
    </row>
    <row r="24" spans="2:27" ht="14.4" thickBot="1" x14ac:dyDescent="0.3">
      <c r="B24" s="102" t="s">
        <v>824</v>
      </c>
      <c r="C24" s="102" t="s">
        <v>32</v>
      </c>
      <c r="D24" s="102" t="s">
        <v>36</v>
      </c>
      <c r="E24" s="102" t="s">
        <v>37</v>
      </c>
      <c r="F24" s="103"/>
      <c r="G24" s="104" t="s">
        <v>42</v>
      </c>
      <c r="H24" s="102" t="s">
        <v>40</v>
      </c>
      <c r="I24" s="102" t="s">
        <v>72</v>
      </c>
      <c r="J24" s="102" t="s">
        <v>75</v>
      </c>
      <c r="K24" s="104" t="s">
        <v>44</v>
      </c>
      <c r="L24" s="102" t="s">
        <v>45</v>
      </c>
      <c r="M24" s="102" t="s">
        <v>79</v>
      </c>
      <c r="N24" s="102" t="s">
        <v>41</v>
      </c>
    </row>
    <row r="25" spans="2:27" ht="13.8" x14ac:dyDescent="0.25">
      <c r="B25" s="175"/>
      <c r="C25" s="176"/>
      <c r="D25" s="176"/>
      <c r="E25" s="176" t="s">
        <v>813</v>
      </c>
      <c r="F25" s="177"/>
      <c r="G25" s="176"/>
      <c r="H25" s="176" t="str">
        <f>General!$D$12</f>
        <v>MVkms/PJ</v>
      </c>
      <c r="I25" s="176" t="str">
        <f>General!$D$14</f>
        <v>km/year</v>
      </c>
      <c r="J25" s="176" t="str">
        <f>General!$D$15</f>
        <v>passenger/vehicle</v>
      </c>
      <c r="K25" s="176" t="str">
        <f>General!$D$30</f>
        <v>000USD/unit</v>
      </c>
      <c r="L25" s="176" t="str">
        <f>General!$D$17</f>
        <v>k$/Unit</v>
      </c>
      <c r="M25" s="176" t="str">
        <f>General!$D$20</f>
        <v>Years</v>
      </c>
      <c r="N25" s="176" t="str">
        <f>General!$D$21</f>
        <v>(milion_vkm)/(thousand_vkm)</v>
      </c>
    </row>
    <row r="26" spans="2:27" ht="13.8" x14ac:dyDescent="0.25">
      <c r="B26" s="77" t="str">
        <f t="shared" ref="B26:C31" si="2">U13</f>
        <v>TRARAILF_ELC_N_ST</v>
      </c>
      <c r="C26" s="77" t="str">
        <f t="shared" si="2"/>
        <v>Freight Train NEW Standard ELC</v>
      </c>
      <c r="D26" s="77" t="str">
        <f>Commodities!$C$343</f>
        <v>TRAELC</v>
      </c>
      <c r="E26" s="77" t="str">
        <f>Commodities!$N$12</f>
        <v>TRARAILF</v>
      </c>
      <c r="F26" s="147">
        <v>2018</v>
      </c>
      <c r="G26" s="119">
        <f>BASE_YEAR+1</f>
        <v>2018</v>
      </c>
      <c r="H26" s="107"/>
      <c r="I26" s="77"/>
      <c r="J26" s="77"/>
      <c r="K26" s="179">
        <f>12000*(1/0.9)</f>
        <v>13333.333333333334</v>
      </c>
      <c r="L26" s="77"/>
      <c r="M26" s="107">
        <v>30</v>
      </c>
      <c r="N26" s="122">
        <v>1E-3</v>
      </c>
    </row>
    <row r="27" spans="2:27" ht="13.8" x14ac:dyDescent="0.25">
      <c r="B27" s="77" t="str">
        <f t="shared" si="2"/>
        <v>TRARAILF_ELC_N_IM</v>
      </c>
      <c r="C27" s="77" t="str">
        <f t="shared" si="2"/>
        <v>Freight Train NEW Improved ELC</v>
      </c>
      <c r="D27" s="77" t="str">
        <f>Commodities!$C$343</f>
        <v>TRAELC</v>
      </c>
      <c r="E27" s="77" t="str">
        <f>Commodities!$N$12</f>
        <v>TRARAILF</v>
      </c>
      <c r="F27" s="147">
        <f t="shared" ref="F27:F31" si="3">G27</f>
        <v>2025</v>
      </c>
      <c r="G27" s="119">
        <f>BASE_YEAR+8</f>
        <v>2025</v>
      </c>
      <c r="H27" s="107"/>
      <c r="I27" s="77"/>
      <c r="J27" s="77"/>
      <c r="K27" s="179">
        <f>14000*(1/0.9)</f>
        <v>15555.555555555557</v>
      </c>
      <c r="L27" s="77"/>
      <c r="M27" s="107">
        <v>30</v>
      </c>
      <c r="N27" s="122">
        <v>1E-3</v>
      </c>
    </row>
    <row r="28" spans="2:27" ht="13.8" x14ac:dyDescent="0.25">
      <c r="B28" s="77" t="str">
        <f t="shared" si="2"/>
        <v>TRARAILF_ELC_N_AD</v>
      </c>
      <c r="C28" s="77" t="str">
        <f t="shared" si="2"/>
        <v>Freight Train NEW Advanced ELC</v>
      </c>
      <c r="D28" s="77" t="str">
        <f>Commodities!$C$343</f>
        <v>TRAELC</v>
      </c>
      <c r="E28" s="77" t="str">
        <f>Commodities!$N$12</f>
        <v>TRARAILF</v>
      </c>
      <c r="F28" s="147">
        <f t="shared" si="3"/>
        <v>2035</v>
      </c>
      <c r="G28" s="119">
        <f>BASE_YEAR+18</f>
        <v>2035</v>
      </c>
      <c r="H28" s="107"/>
      <c r="I28" s="77"/>
      <c r="J28" s="77"/>
      <c r="K28" s="179">
        <f>16000*(1/0.9)</f>
        <v>17777.777777777777</v>
      </c>
      <c r="L28" s="77"/>
      <c r="M28" s="107">
        <v>30</v>
      </c>
      <c r="N28" s="122">
        <v>1E-3</v>
      </c>
    </row>
    <row r="29" spans="2:27" ht="13.8" x14ac:dyDescent="0.25">
      <c r="B29" s="77" t="str">
        <f t="shared" si="2"/>
        <v>TRARAILF_DSL_N_ST</v>
      </c>
      <c r="C29" s="77" t="str">
        <f t="shared" si="2"/>
        <v>Freight Train NEW Standard DSL</v>
      </c>
      <c r="D29" s="77" t="str">
        <f>Commodities!$C$246</f>
        <v>TRAOILDSL</v>
      </c>
      <c r="E29" s="77" t="str">
        <f>Commodities!$N$12</f>
        <v>TRARAILF</v>
      </c>
      <c r="F29" s="147">
        <f t="shared" si="3"/>
        <v>2018</v>
      </c>
      <c r="G29" s="119">
        <f>BASE_YEAR+1</f>
        <v>2018</v>
      </c>
      <c r="H29" s="107"/>
      <c r="I29" s="77"/>
      <c r="J29" s="77"/>
      <c r="K29" s="179">
        <f>10000*(1/0.9)</f>
        <v>11111.111111111111</v>
      </c>
      <c r="L29" s="77"/>
      <c r="M29" s="107">
        <v>30</v>
      </c>
      <c r="N29" s="122">
        <v>1E-3</v>
      </c>
    </row>
    <row r="30" spans="2:27" ht="13.8" x14ac:dyDescent="0.25">
      <c r="B30" s="77" t="str">
        <f t="shared" si="2"/>
        <v>TRARAILF_DSL_N_IM</v>
      </c>
      <c r="C30" s="77" t="str">
        <f t="shared" si="2"/>
        <v>Freight Train NEW Improved DSL</v>
      </c>
      <c r="D30" s="77" t="str">
        <f>Commodities!$C$246</f>
        <v>TRAOILDSL</v>
      </c>
      <c r="E30" s="77" t="str">
        <f>Commodities!$N$12</f>
        <v>TRARAILF</v>
      </c>
      <c r="F30" s="147">
        <f t="shared" si="3"/>
        <v>2025</v>
      </c>
      <c r="G30" s="119">
        <f>BASE_YEAR+8</f>
        <v>2025</v>
      </c>
      <c r="H30" s="107"/>
      <c r="I30" s="77"/>
      <c r="J30" s="77"/>
      <c r="K30" s="179">
        <f>12000*(1/0.9)</f>
        <v>13333.333333333334</v>
      </c>
      <c r="L30" s="77"/>
      <c r="M30" s="107">
        <v>30</v>
      </c>
      <c r="N30" s="122">
        <v>1E-3</v>
      </c>
    </row>
    <row r="31" spans="2:27" ht="13.8" x14ac:dyDescent="0.25">
      <c r="B31" s="77" t="str">
        <f t="shared" si="2"/>
        <v>TRARAILF_DSL_N_AD</v>
      </c>
      <c r="C31" s="77" t="str">
        <f t="shared" si="2"/>
        <v>Freight Train NEW Advanced DSL</v>
      </c>
      <c r="D31" s="77" t="str">
        <f>Commodities!$C$246</f>
        <v>TRAOILDSL</v>
      </c>
      <c r="E31" s="77" t="str">
        <f>Commodities!$N$12</f>
        <v>TRARAILF</v>
      </c>
      <c r="F31" s="147">
        <f t="shared" si="3"/>
        <v>2035</v>
      </c>
      <c r="G31" s="119">
        <f>BASE_YEAR+18</f>
        <v>2035</v>
      </c>
      <c r="H31" s="107"/>
      <c r="I31" s="77"/>
      <c r="J31" s="77"/>
      <c r="K31" s="179">
        <f>14000*(1/0.9)</f>
        <v>15555.555555555557</v>
      </c>
      <c r="L31" s="77"/>
      <c r="M31" s="107">
        <v>30</v>
      </c>
      <c r="N31" s="122">
        <v>1E-3</v>
      </c>
    </row>
    <row r="32" spans="2:27" ht="13.8" x14ac:dyDescent="0.25">
      <c r="B32" s="77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AK31"/>
  <sheetViews>
    <sheetView zoomScale="70" zoomScaleNormal="70" workbookViewId="0">
      <selection sqref="A1:XFD1048576"/>
    </sheetView>
  </sheetViews>
  <sheetFormatPr defaultRowHeight="13.2" x14ac:dyDescent="0.25"/>
  <cols>
    <col min="1" max="1" width="3" style="137" customWidth="1"/>
    <col min="2" max="2" width="38" style="137" customWidth="1"/>
    <col min="3" max="3" width="80.88671875" style="137" bestFit="1" customWidth="1"/>
    <col min="4" max="4" width="22.5546875" style="137" customWidth="1"/>
    <col min="5" max="5" width="20.109375" style="123" customWidth="1"/>
    <col min="6" max="6" width="14.109375" style="123" customWidth="1"/>
    <col min="7" max="7" width="15" style="123" customWidth="1"/>
    <col min="8" max="8" width="20.6640625" style="137" customWidth="1"/>
    <col min="9" max="9" width="17.109375" style="123" bestFit="1" customWidth="1"/>
    <col min="10" max="10" width="21.44140625" style="137" bestFit="1" customWidth="1"/>
    <col min="11" max="11" width="34.33203125" style="137" customWidth="1"/>
    <col min="12" max="12" width="16.44140625" style="137" bestFit="1" customWidth="1"/>
    <col min="13" max="13" width="18.88671875" style="137" bestFit="1" customWidth="1"/>
    <col min="14" max="14" width="27.88671875" style="137" bestFit="1" customWidth="1"/>
    <col min="15" max="18" width="8.88671875" style="137"/>
    <col min="19" max="19" width="30" style="137" customWidth="1"/>
    <col min="20" max="20" width="14.33203125" style="137" bestFit="1" customWidth="1"/>
    <col min="21" max="21" width="33.109375" style="137" customWidth="1"/>
    <col min="22" max="22" width="47.33203125" style="137" customWidth="1"/>
    <col min="23" max="23" width="17.33203125" style="137" customWidth="1"/>
    <col min="24" max="24" width="20.6640625" style="137" customWidth="1"/>
    <col min="25" max="25" width="33.88671875" style="137" bestFit="1" customWidth="1"/>
    <col min="26" max="26" width="26.44140625" style="137" bestFit="1" customWidth="1"/>
    <col min="27" max="27" width="17.44140625" style="137" bestFit="1" customWidth="1"/>
    <col min="28" max="28" width="8.88671875" style="137"/>
    <col min="29" max="29" width="28.33203125" style="137" bestFit="1" customWidth="1"/>
    <col min="30" max="30" width="17.109375" style="137" bestFit="1" customWidth="1"/>
    <col min="31" max="31" width="29.44140625" style="137" bestFit="1" customWidth="1"/>
    <col min="32" max="32" width="8.88671875" style="137"/>
    <col min="33" max="33" width="24.5546875" style="137" bestFit="1" customWidth="1"/>
    <col min="34" max="34" width="17.6640625" style="137" customWidth="1"/>
    <col min="35" max="35" width="15.88671875" style="137" customWidth="1"/>
    <col min="36" max="36" width="18.88671875" style="137" bestFit="1" customWidth="1"/>
    <col min="37" max="16384" width="8.88671875" style="137"/>
  </cols>
  <sheetData>
    <row r="1" spans="2:37" s="77" customFormat="1" ht="17.399999999999999" x14ac:dyDescent="0.3">
      <c r="B1" s="78" t="s">
        <v>831</v>
      </c>
      <c r="C1" s="78"/>
      <c r="D1" s="78"/>
      <c r="E1" s="107"/>
      <c r="F1" s="107"/>
      <c r="G1" s="107"/>
      <c r="I1" s="107"/>
      <c r="O1" s="79"/>
      <c r="S1" s="77" t="s">
        <v>807</v>
      </c>
    </row>
    <row r="2" spans="2:37" s="77" customFormat="1" ht="17.399999999999999" x14ac:dyDescent="0.3">
      <c r="B2" s="78" t="s">
        <v>1190</v>
      </c>
      <c r="C2" s="137"/>
      <c r="E2" s="107"/>
      <c r="F2" s="107"/>
      <c r="G2" s="107"/>
      <c r="I2" s="107"/>
      <c r="O2" s="79"/>
    </row>
    <row r="3" spans="2:37" ht="13.8" x14ac:dyDescent="0.25">
      <c r="S3" s="84" t="s">
        <v>808</v>
      </c>
      <c r="T3" s="84"/>
      <c r="U3" s="84" t="s">
        <v>819</v>
      </c>
      <c r="V3" s="84"/>
      <c r="W3" s="84"/>
      <c r="X3" s="84"/>
      <c r="Y3" s="84"/>
      <c r="Z3" s="84"/>
      <c r="AA3" s="84"/>
      <c r="AB3" s="77"/>
    </row>
    <row r="4" spans="2:37" ht="13.8" x14ac:dyDescent="0.25">
      <c r="B4" s="77"/>
      <c r="C4" s="77"/>
      <c r="D4" s="77"/>
      <c r="E4" s="173"/>
      <c r="F4" s="140" t="s">
        <v>0</v>
      </c>
      <c r="G4" s="140"/>
      <c r="H4" s="82"/>
      <c r="I4" s="107"/>
      <c r="J4" s="77"/>
      <c r="K4" s="77"/>
      <c r="L4" s="77"/>
      <c r="M4" s="77"/>
      <c r="N4" s="77"/>
      <c r="S4" s="88" t="s">
        <v>18</v>
      </c>
      <c r="T4" s="88"/>
      <c r="U4" s="84"/>
      <c r="V4" s="84"/>
      <c r="W4" s="84"/>
      <c r="X4" s="84"/>
      <c r="Y4" s="84"/>
      <c r="Z4" s="84"/>
      <c r="AA4" s="84"/>
      <c r="AB4" s="77"/>
      <c r="AC4" s="97" t="s">
        <v>7</v>
      </c>
      <c r="AD4" s="98"/>
      <c r="AE4" s="98"/>
      <c r="AF4" s="99"/>
      <c r="AG4" s="99"/>
      <c r="AH4" s="98"/>
      <c r="AI4" s="98"/>
      <c r="AJ4" s="98"/>
      <c r="AK4" s="100"/>
    </row>
    <row r="5" spans="2:37" ht="13.8" x14ac:dyDescent="0.25">
      <c r="B5" s="90" t="s">
        <v>1</v>
      </c>
      <c r="C5" s="90" t="s">
        <v>809</v>
      </c>
      <c r="D5" s="90" t="s">
        <v>3</v>
      </c>
      <c r="E5" s="167" t="s">
        <v>4</v>
      </c>
      <c r="F5" s="180" t="s">
        <v>816</v>
      </c>
      <c r="G5" s="94" t="s">
        <v>15</v>
      </c>
      <c r="H5" s="93" t="s">
        <v>17</v>
      </c>
      <c r="I5" s="93" t="s">
        <v>38</v>
      </c>
      <c r="J5" s="93" t="s">
        <v>74</v>
      </c>
      <c r="K5" s="93" t="s">
        <v>43</v>
      </c>
      <c r="L5" s="93" t="s">
        <v>5</v>
      </c>
      <c r="M5" s="93" t="s">
        <v>49</v>
      </c>
      <c r="N5" s="93" t="s">
        <v>50</v>
      </c>
      <c r="S5" s="96" t="s">
        <v>16</v>
      </c>
      <c r="T5" s="96" t="s">
        <v>93</v>
      </c>
      <c r="U5" s="96" t="s">
        <v>1</v>
      </c>
      <c r="V5" s="96" t="s">
        <v>2</v>
      </c>
      <c r="W5" s="96" t="s">
        <v>19</v>
      </c>
      <c r="X5" s="96" t="s">
        <v>20</v>
      </c>
      <c r="Y5" s="96" t="s">
        <v>21</v>
      </c>
      <c r="Z5" s="96" t="s">
        <v>22</v>
      </c>
      <c r="AA5" s="96" t="s">
        <v>23</v>
      </c>
      <c r="AB5" s="77"/>
      <c r="AC5" s="108" t="s">
        <v>8</v>
      </c>
      <c r="AD5" s="108" t="s">
        <v>6</v>
      </c>
      <c r="AE5" s="108" t="s">
        <v>9</v>
      </c>
      <c r="AF5" s="109" t="s">
        <v>10</v>
      </c>
      <c r="AG5" s="109" t="s">
        <v>11</v>
      </c>
      <c r="AH5" s="110" t="s">
        <v>12</v>
      </c>
      <c r="AI5" s="110" t="s">
        <v>13</v>
      </c>
      <c r="AJ5" s="110" t="s">
        <v>14</v>
      </c>
      <c r="AK5" s="100"/>
    </row>
    <row r="6" spans="2:37" ht="19.5" customHeight="1" thickBot="1" x14ac:dyDescent="0.3">
      <c r="B6" s="102" t="s">
        <v>824</v>
      </c>
      <c r="C6" s="102" t="s">
        <v>32</v>
      </c>
      <c r="D6" s="102" t="s">
        <v>36</v>
      </c>
      <c r="E6" s="102" t="s">
        <v>37</v>
      </c>
      <c r="F6" s="103"/>
      <c r="G6" s="104" t="s">
        <v>42</v>
      </c>
      <c r="H6" s="102" t="s">
        <v>40</v>
      </c>
      <c r="I6" s="102" t="s">
        <v>72</v>
      </c>
      <c r="J6" s="102" t="s">
        <v>75</v>
      </c>
      <c r="K6" s="104" t="s">
        <v>44</v>
      </c>
      <c r="L6" s="102" t="s">
        <v>45</v>
      </c>
      <c r="M6" s="102" t="s">
        <v>79</v>
      </c>
      <c r="N6" s="102" t="s">
        <v>41</v>
      </c>
      <c r="S6" s="106" t="s">
        <v>810</v>
      </c>
      <c r="T6" s="106" t="s">
        <v>95</v>
      </c>
      <c r="U6" s="106" t="s">
        <v>31</v>
      </c>
      <c r="V6" s="106" t="s">
        <v>32</v>
      </c>
      <c r="W6" s="106" t="s">
        <v>33</v>
      </c>
      <c r="X6" s="106" t="s">
        <v>34</v>
      </c>
      <c r="Y6" s="106" t="s">
        <v>811</v>
      </c>
      <c r="Z6" s="106" t="s">
        <v>812</v>
      </c>
      <c r="AA6" s="106" t="s">
        <v>35</v>
      </c>
      <c r="AB6" s="107"/>
      <c r="AC6" s="115" t="s">
        <v>24</v>
      </c>
      <c r="AD6" s="115" t="s">
        <v>25</v>
      </c>
      <c r="AE6" s="115" t="s">
        <v>26</v>
      </c>
      <c r="AF6" s="116" t="s">
        <v>10</v>
      </c>
      <c r="AG6" s="116" t="s">
        <v>27</v>
      </c>
      <c r="AH6" s="115" t="s">
        <v>28</v>
      </c>
      <c r="AI6" s="115" t="s">
        <v>29</v>
      </c>
      <c r="AJ6" s="115" t="s">
        <v>30</v>
      </c>
      <c r="AK6" s="100"/>
    </row>
    <row r="7" spans="2:37" ht="13.8" x14ac:dyDescent="0.25">
      <c r="B7" s="112"/>
      <c r="C7" s="113"/>
      <c r="D7" s="113"/>
      <c r="E7" s="113" t="s">
        <v>813</v>
      </c>
      <c r="F7" s="114"/>
      <c r="G7" s="113"/>
      <c r="H7" s="113" t="str">
        <f>General!$D$12</f>
        <v>MVkms/PJ</v>
      </c>
      <c r="I7" s="113" t="str">
        <f>General!$D$14</f>
        <v>km/year</v>
      </c>
      <c r="J7" s="113"/>
      <c r="K7" s="113" t="str">
        <f>General!$D$30</f>
        <v>000USD/unit</v>
      </c>
      <c r="L7" s="113" t="str">
        <f>General!$D$17</f>
        <v>k$/Unit</v>
      </c>
      <c r="M7" s="113" t="str">
        <f>General!$D$20</f>
        <v>Years</v>
      </c>
      <c r="N7" s="113" t="str">
        <f>General!$D$21</f>
        <v>(milion_vkm)/(thousand_vkm)</v>
      </c>
      <c r="S7" s="79" t="s">
        <v>814</v>
      </c>
      <c r="T7" s="77"/>
      <c r="U7" s="77" t="str">
        <f>Commodities!$N$13&amp;"_"&amp;RIGHT(Commodities!$C$246,3)&amp;"_"&amp;$U$3&amp;"_ST"</f>
        <v>TRANAVP_DSL_N_ST</v>
      </c>
      <c r="V7" s="77" t="s">
        <v>1064</v>
      </c>
      <c r="W7" s="107" t="str">
        <f>General!$D$28</f>
        <v>MVkms</v>
      </c>
      <c r="X7" s="107" t="str">
        <f>General!$D$11</f>
        <v>000s_Units</v>
      </c>
      <c r="Y7" s="77"/>
      <c r="Z7" s="107" t="s">
        <v>815</v>
      </c>
      <c r="AA7" s="77"/>
      <c r="AB7" s="77"/>
      <c r="AC7" s="98" t="s">
        <v>98</v>
      </c>
      <c r="AD7" s="98" t="s">
        <v>832</v>
      </c>
      <c r="AE7" s="98" t="s">
        <v>1063</v>
      </c>
      <c r="AF7" s="99" t="str">
        <f>General!$B$2</f>
        <v>PJ</v>
      </c>
      <c r="AG7" s="123"/>
      <c r="AH7" s="100"/>
      <c r="AI7" s="98"/>
      <c r="AJ7" s="98"/>
      <c r="AK7" s="100"/>
    </row>
    <row r="8" spans="2:37" ht="13.8" x14ac:dyDescent="0.25">
      <c r="B8" s="77" t="str">
        <f t="shared" ref="B8:C10" si="0">U7</f>
        <v>TRANAVP_DSL_N_ST</v>
      </c>
      <c r="C8" s="77" t="str">
        <f t="shared" si="0"/>
        <v>Vessels NEW Standard DSL</v>
      </c>
      <c r="D8" s="77" t="str">
        <f>Commodities!$C$246</f>
        <v>TRAOILDSL</v>
      </c>
      <c r="E8" s="107" t="str">
        <f>Commodities!$N$13</f>
        <v>TRANAVP</v>
      </c>
      <c r="F8" s="124">
        <f>G8</f>
        <v>2018</v>
      </c>
      <c r="G8" s="119">
        <f>BASE_YEAR+1</f>
        <v>2018</v>
      </c>
      <c r="H8" s="107"/>
      <c r="I8" s="107"/>
      <c r="J8" s="77"/>
      <c r="K8" s="120">
        <f>100*(1/0.9)</f>
        <v>111.11111111111111</v>
      </c>
      <c r="L8" s="181"/>
      <c r="M8" s="107">
        <v>30</v>
      </c>
      <c r="N8" s="122">
        <v>1E-3</v>
      </c>
      <c r="S8" s="77"/>
      <c r="T8" s="77"/>
      <c r="U8" s="77" t="str">
        <f>Commodities!$N$13&amp;"_"&amp;RIGHT(Commodities!$C$246,3)&amp;"_"&amp;$U$3&amp;"_IM"</f>
        <v>TRANAVP_DSL_N_IM</v>
      </c>
      <c r="V8" s="77" t="s">
        <v>1065</v>
      </c>
      <c r="W8" s="107" t="str">
        <f>General!$D$28</f>
        <v>MVkms</v>
      </c>
      <c r="X8" s="107" t="str">
        <f>General!$D$11</f>
        <v>000s_Units</v>
      </c>
      <c r="Y8" s="77"/>
      <c r="Z8" s="107" t="s">
        <v>815</v>
      </c>
      <c r="AA8" s="77"/>
    </row>
    <row r="9" spans="2:37" ht="13.8" x14ac:dyDescent="0.25">
      <c r="B9" s="77" t="str">
        <f t="shared" si="0"/>
        <v>TRANAVP_DSL_N_IM</v>
      </c>
      <c r="C9" s="77" t="str">
        <f t="shared" si="0"/>
        <v>Vessels NEW Improved DSL</v>
      </c>
      <c r="D9" s="77" t="str">
        <f>Commodities!$C$246</f>
        <v>TRAOILDSL</v>
      </c>
      <c r="E9" s="107" t="str">
        <f>Commodities!$N$13</f>
        <v>TRANAVP</v>
      </c>
      <c r="F9" s="124">
        <f>G9</f>
        <v>2025</v>
      </c>
      <c r="G9" s="119">
        <f>BASE_YEAR+8</f>
        <v>2025</v>
      </c>
      <c r="H9" s="107"/>
      <c r="I9" s="107"/>
      <c r="J9" s="77"/>
      <c r="K9" s="120">
        <f>K8*1.2</f>
        <v>133.33333333333334</v>
      </c>
      <c r="L9" s="181"/>
      <c r="M9" s="107">
        <v>30</v>
      </c>
      <c r="N9" s="122">
        <v>1E-3</v>
      </c>
      <c r="S9" s="125"/>
      <c r="T9" s="125"/>
      <c r="U9" s="125" t="str">
        <f>Commodities!$N$13&amp;"_"&amp;RIGHT(Commodities!$C$246,3)&amp;"_"&amp;$U$3&amp;"_AD"</f>
        <v>TRANAVP_DSL_N_AD</v>
      </c>
      <c r="V9" s="125" t="s">
        <v>1066</v>
      </c>
      <c r="W9" s="126" t="str">
        <f>General!$D$28</f>
        <v>MVkms</v>
      </c>
      <c r="X9" s="126" t="str">
        <f>General!$D$11</f>
        <v>000s_Units</v>
      </c>
      <c r="Y9" s="125"/>
      <c r="Z9" s="126" t="s">
        <v>815</v>
      </c>
      <c r="AA9" s="125"/>
    </row>
    <row r="10" spans="2:37" ht="13.8" x14ac:dyDescent="0.25">
      <c r="B10" s="77" t="str">
        <f t="shared" si="0"/>
        <v>TRANAVP_DSL_N_AD</v>
      </c>
      <c r="C10" s="77" t="str">
        <f t="shared" si="0"/>
        <v>Vessels  NEW Advanced DSL</v>
      </c>
      <c r="D10" s="77" t="str">
        <f>Commodities!$C$246</f>
        <v>TRAOILDSL</v>
      </c>
      <c r="E10" s="107" t="str">
        <f>Commodities!$N$13</f>
        <v>TRANAVP</v>
      </c>
      <c r="F10" s="124">
        <f>G10</f>
        <v>2035</v>
      </c>
      <c r="G10" s="119">
        <f>BASE_YEAR+18</f>
        <v>2035</v>
      </c>
      <c r="H10" s="107"/>
      <c r="I10" s="107"/>
      <c r="J10" s="77"/>
      <c r="K10" s="120">
        <f>K9*1.2</f>
        <v>160</v>
      </c>
      <c r="L10" s="181"/>
      <c r="M10" s="107">
        <v>30</v>
      </c>
      <c r="N10" s="122">
        <v>1E-3</v>
      </c>
      <c r="S10" s="79"/>
      <c r="T10" s="77"/>
      <c r="U10" s="77" t="str">
        <f>Commodities!$N$13&amp;"_"&amp;LEFT(RIGHT(Commodities!$C$255,6),3)&amp;"_"&amp;$U$3&amp;"_IM"</f>
        <v>TRANAVP_GAS_N_IM</v>
      </c>
      <c r="V10" s="77" t="s">
        <v>1067</v>
      </c>
      <c r="W10" s="107" t="str">
        <f>General!$D$28</f>
        <v>MVkms</v>
      </c>
      <c r="X10" s="107" t="str">
        <f>General!$D$11</f>
        <v>000s_Units</v>
      </c>
      <c r="Y10" s="77"/>
      <c r="Z10" s="107" t="s">
        <v>815</v>
      </c>
      <c r="AA10" s="77"/>
    </row>
    <row r="11" spans="2:37" ht="13.8" x14ac:dyDescent="0.25">
      <c r="B11" s="77" t="str">
        <f t="shared" ref="B11:C13" si="1">U10</f>
        <v>TRANAVP_GAS_N_IM</v>
      </c>
      <c r="C11" s="77" t="str">
        <f t="shared" si="1"/>
        <v>Vessels NEW Improved GAS</v>
      </c>
      <c r="D11" s="77" t="str">
        <f>Commodities!$C$255</f>
        <v>TRAGASNAT</v>
      </c>
      <c r="E11" s="107" t="str">
        <f>Commodities!$N$13</f>
        <v>TRANAVP</v>
      </c>
      <c r="F11" s="124">
        <f t="shared" ref="F11:F13" si="2">G11</f>
        <v>2025</v>
      </c>
      <c r="G11" s="119">
        <f>BASE_YEAR+8</f>
        <v>2025</v>
      </c>
      <c r="H11" s="107"/>
      <c r="I11" s="107"/>
      <c r="J11" s="77"/>
      <c r="K11" s="120">
        <f>K9*1.05</f>
        <v>140.00000000000003</v>
      </c>
      <c r="L11" s="181"/>
      <c r="M11" s="107">
        <v>30</v>
      </c>
      <c r="N11" s="122">
        <v>1E-3</v>
      </c>
      <c r="S11" s="125"/>
      <c r="T11" s="125"/>
      <c r="U11" s="125" t="str">
        <f>Commodities!$N$13&amp;"_"&amp;LEFT(RIGHT(Commodities!$C$255,6),3)&amp;"_"&amp;$U$3&amp;"_AD"</f>
        <v>TRANAVP_GAS_N_AD</v>
      </c>
      <c r="V11" s="125" t="s">
        <v>1068</v>
      </c>
      <c r="W11" s="126" t="str">
        <f>General!$D$28</f>
        <v>MVkms</v>
      </c>
      <c r="X11" s="126" t="str">
        <f>General!$D$11</f>
        <v>000s_Units</v>
      </c>
      <c r="Y11" s="125"/>
      <c r="Z11" s="126" t="s">
        <v>815</v>
      </c>
      <c r="AA11" s="125"/>
    </row>
    <row r="12" spans="2:37" ht="13.8" x14ac:dyDescent="0.25">
      <c r="B12" s="125" t="str">
        <f t="shared" si="1"/>
        <v>TRANAVP_GAS_N_AD</v>
      </c>
      <c r="C12" s="125" t="str">
        <f t="shared" si="1"/>
        <v>Vessels  NEW Advanced GAS</v>
      </c>
      <c r="D12" s="125" t="str">
        <f>Commodities!$C$255</f>
        <v>TRAGASNAT</v>
      </c>
      <c r="E12" s="126" t="str">
        <f>Commodities!$N$13</f>
        <v>TRANAVP</v>
      </c>
      <c r="F12" s="127">
        <f t="shared" si="2"/>
        <v>2035</v>
      </c>
      <c r="G12" s="182">
        <f>BASE_YEAR+18</f>
        <v>2035</v>
      </c>
      <c r="H12" s="126"/>
      <c r="I12" s="126"/>
      <c r="J12" s="125"/>
      <c r="K12" s="128">
        <f>K11*1.2</f>
        <v>168.00000000000003</v>
      </c>
      <c r="L12" s="125"/>
      <c r="M12" s="126">
        <v>30</v>
      </c>
      <c r="N12" s="130">
        <v>1E-3</v>
      </c>
      <c r="S12" s="153"/>
      <c r="T12" s="153"/>
      <c r="U12" s="153" t="str">
        <f>Commodities!$N$13&amp;"_"&amp;LEFT(RIGHT(TRA_Cars!AC10,3),3)&amp;"_"&amp;$U$3&amp;"_AD"</f>
        <v>TRANAVP_H2G_N_AD</v>
      </c>
      <c r="V12" s="153" t="s">
        <v>1129</v>
      </c>
      <c r="W12" s="154" t="str">
        <f>General!$D$28</f>
        <v>MVkms</v>
      </c>
      <c r="X12" s="154" t="str">
        <f>General!$D$11</f>
        <v>000s_Units</v>
      </c>
      <c r="Y12" s="153"/>
      <c r="Z12" s="154" t="s">
        <v>815</v>
      </c>
      <c r="AA12" s="153"/>
    </row>
    <row r="13" spans="2:37" ht="13.8" x14ac:dyDescent="0.25">
      <c r="B13" s="125" t="str">
        <f t="shared" si="1"/>
        <v>TRANAVP_H2G_N_AD</v>
      </c>
      <c r="C13" s="125" t="str">
        <f t="shared" si="1"/>
        <v>Vessels NEW Improved H2</v>
      </c>
      <c r="D13" s="125" t="str">
        <f>TRA_Cars!AC10</f>
        <v>TRAH2G</v>
      </c>
      <c r="E13" s="126" t="str">
        <f>E12</f>
        <v>TRANAVP</v>
      </c>
      <c r="F13" s="127">
        <f t="shared" si="2"/>
        <v>2040</v>
      </c>
      <c r="G13" s="182">
        <v>2040</v>
      </c>
      <c r="H13" s="126"/>
      <c r="I13" s="126"/>
      <c r="J13" s="125"/>
      <c r="K13" s="128">
        <f>K12*2.5</f>
        <v>420.00000000000006</v>
      </c>
      <c r="L13" s="125"/>
      <c r="M13" s="126">
        <v>20</v>
      </c>
      <c r="N13" s="130">
        <v>1E-3</v>
      </c>
      <c r="S13" s="79"/>
      <c r="T13" s="79"/>
      <c r="U13" s="77" t="str">
        <f>Commodities!$N$14&amp;"_"&amp;$U$3&amp;"_ST"</f>
        <v>TRAAVDOM_N_ST</v>
      </c>
      <c r="V13" s="77" t="s">
        <v>1140</v>
      </c>
      <c r="W13" s="107" t="str">
        <f>General!$D$26</f>
        <v>000s_km_flown</v>
      </c>
      <c r="X13" s="107" t="str">
        <f>General!$D$27</f>
        <v>000spas/year</v>
      </c>
      <c r="Y13" s="77"/>
      <c r="Z13" s="107" t="s">
        <v>815</v>
      </c>
      <c r="AA13" s="107"/>
    </row>
    <row r="14" spans="2:37" ht="13.8" x14ac:dyDescent="0.25">
      <c r="S14" s="79"/>
      <c r="T14" s="79"/>
      <c r="U14" s="77" t="str">
        <f>Commodities!$N$14&amp;"_"&amp;$U$3&amp;"_IM"</f>
        <v>TRAAVDOM_N_IM</v>
      </c>
      <c r="V14" s="77" t="s">
        <v>1141</v>
      </c>
      <c r="W14" s="107" t="str">
        <f>General!$D$26</f>
        <v>000s_km_flown</v>
      </c>
      <c r="X14" s="107" t="str">
        <f>General!$D$27</f>
        <v>000spas/year</v>
      </c>
      <c r="Y14" s="77"/>
      <c r="Z14" s="107" t="s">
        <v>815</v>
      </c>
      <c r="AA14" s="107"/>
    </row>
    <row r="15" spans="2:37" ht="13.8" x14ac:dyDescent="0.25">
      <c r="S15" s="125"/>
      <c r="T15" s="125"/>
      <c r="U15" s="125" t="str">
        <f>Commodities!$N$14&amp;"_"&amp;$U$3&amp;"_AD"</f>
        <v>TRAAVDOM_N_AD</v>
      </c>
      <c r="V15" s="125" t="s">
        <v>1142</v>
      </c>
      <c r="W15" s="126" t="str">
        <f>General!$D$26</f>
        <v>000s_km_flown</v>
      </c>
      <c r="X15" s="126" t="str">
        <f>General!$D$27</f>
        <v>000spas/year</v>
      </c>
      <c r="Y15" s="125"/>
      <c r="Z15" s="126" t="s">
        <v>815</v>
      </c>
      <c r="AA15" s="126"/>
    </row>
    <row r="16" spans="2:37" ht="13.8" x14ac:dyDescent="0.25">
      <c r="S16" s="125"/>
      <c r="T16" s="125"/>
      <c r="U16" s="125" t="str">
        <f>Commodities!$N$14&amp;"_"&amp;$U$3&amp;"_AD_H2"</f>
        <v>TRAAVDOM_N_AD_H2</v>
      </c>
      <c r="V16" s="125" t="s">
        <v>1209</v>
      </c>
      <c r="W16" s="126" t="str">
        <f>General!$D$26</f>
        <v>000s_km_flown</v>
      </c>
      <c r="X16" s="126" t="str">
        <f>General!$D$27</f>
        <v>000spas/year</v>
      </c>
      <c r="Y16" s="125"/>
      <c r="Z16" s="126" t="s">
        <v>815</v>
      </c>
      <c r="AA16" s="126"/>
    </row>
    <row r="17" spans="2:14" ht="17.399999999999999" x14ac:dyDescent="0.3">
      <c r="B17" s="78" t="s">
        <v>71</v>
      </c>
      <c r="C17" s="78"/>
      <c r="D17" s="78"/>
      <c r="E17" s="107"/>
      <c r="F17" s="107"/>
      <c r="G17" s="107"/>
      <c r="H17" s="77"/>
      <c r="I17" s="107"/>
      <c r="J17" s="77"/>
      <c r="K17" s="77"/>
      <c r="L17" s="77"/>
      <c r="M17" s="77"/>
      <c r="N17" s="77"/>
    </row>
    <row r="18" spans="2:14" ht="17.399999999999999" x14ac:dyDescent="0.3">
      <c r="B18" s="78" t="s">
        <v>161</v>
      </c>
      <c r="D18" s="77"/>
      <c r="E18" s="107"/>
      <c r="F18" s="107"/>
      <c r="G18" s="107"/>
      <c r="H18" s="77"/>
      <c r="I18" s="107"/>
      <c r="J18" s="77"/>
      <c r="K18" s="77"/>
      <c r="L18" s="77"/>
      <c r="M18" s="77"/>
      <c r="N18" s="77"/>
    </row>
    <row r="20" spans="2:14" ht="13.8" x14ac:dyDescent="0.25">
      <c r="B20" s="77"/>
      <c r="C20" s="77"/>
      <c r="D20" s="77"/>
      <c r="E20" s="173"/>
      <c r="F20" s="140" t="s">
        <v>0</v>
      </c>
      <c r="G20" s="140"/>
      <c r="H20" s="82"/>
      <c r="I20" s="107"/>
      <c r="J20" s="77"/>
    </row>
    <row r="21" spans="2:14" ht="13.8" x14ac:dyDescent="0.25">
      <c r="B21" s="90" t="s">
        <v>1</v>
      </c>
      <c r="C21" s="90" t="s">
        <v>809</v>
      </c>
      <c r="D21" s="90" t="s">
        <v>3</v>
      </c>
      <c r="E21" s="167" t="s">
        <v>4</v>
      </c>
      <c r="F21" s="180" t="s">
        <v>816</v>
      </c>
      <c r="G21" s="94" t="s">
        <v>15</v>
      </c>
      <c r="H21" s="93" t="s">
        <v>17</v>
      </c>
      <c r="I21" s="93" t="s">
        <v>43</v>
      </c>
      <c r="J21" s="93" t="s">
        <v>49</v>
      </c>
      <c r="K21" s="93" t="s">
        <v>1128</v>
      </c>
    </row>
    <row r="22" spans="2:14" ht="14.4" thickBot="1" x14ac:dyDescent="0.3">
      <c r="B22" s="102" t="s">
        <v>824</v>
      </c>
      <c r="C22" s="102" t="s">
        <v>32</v>
      </c>
      <c r="D22" s="102" t="s">
        <v>36</v>
      </c>
      <c r="E22" s="102" t="s">
        <v>37</v>
      </c>
      <c r="F22" s="103"/>
      <c r="G22" s="104" t="s">
        <v>42</v>
      </c>
      <c r="H22" s="102" t="s">
        <v>40</v>
      </c>
      <c r="I22" s="104" t="s">
        <v>44</v>
      </c>
      <c r="J22" s="102" t="s">
        <v>79</v>
      </c>
      <c r="K22" s="102" t="s">
        <v>833</v>
      </c>
    </row>
    <row r="23" spans="2:14" ht="13.8" x14ac:dyDescent="0.25">
      <c r="B23" s="112"/>
      <c r="C23" s="113"/>
      <c r="D23" s="113"/>
      <c r="E23" s="113" t="s">
        <v>813</v>
      </c>
      <c r="F23" s="114"/>
      <c r="G23" s="113"/>
      <c r="H23" s="113" t="str">
        <f>General!$D$13</f>
        <v>000passenger/PJ</v>
      </c>
      <c r="I23" s="113" t="str">
        <f>General!$D$30</f>
        <v>000USD/unit</v>
      </c>
      <c r="J23" s="113" t="str">
        <f>General!$D$20</f>
        <v>Years</v>
      </c>
      <c r="K23" s="113" t="s">
        <v>834</v>
      </c>
    </row>
    <row r="24" spans="2:14" ht="13.8" x14ac:dyDescent="0.25">
      <c r="B24" s="77" t="str">
        <f>U13</f>
        <v>TRAAVDOM_N_ST</v>
      </c>
      <c r="C24" s="77" t="str">
        <f>V13</f>
        <v>Airplanes - Domestic NEW Standard</v>
      </c>
      <c r="D24" s="79" t="s">
        <v>630</v>
      </c>
      <c r="E24" s="107" t="str">
        <f>Commodities!$N$14</f>
        <v>TRAAVDOM</v>
      </c>
      <c r="F24" s="124">
        <f>G24</f>
        <v>2018</v>
      </c>
      <c r="G24" s="119">
        <f>BASE_YEAR+1</f>
        <v>2018</v>
      </c>
      <c r="H24" s="107"/>
      <c r="I24" s="120">
        <f>100000*(1/0.9)</f>
        <v>111111.11111111111</v>
      </c>
      <c r="J24" s="107">
        <v>30</v>
      </c>
      <c r="K24" s="107">
        <v>1</v>
      </c>
    </row>
    <row r="25" spans="2:14" ht="13.8" x14ac:dyDescent="0.25">
      <c r="B25" s="77"/>
      <c r="C25" s="77"/>
      <c r="D25" s="183" t="s">
        <v>832</v>
      </c>
      <c r="E25" s="107"/>
      <c r="F25" s="124">
        <f>F24</f>
        <v>2018</v>
      </c>
      <c r="G25" s="119"/>
      <c r="H25" s="107"/>
      <c r="I25" s="120"/>
      <c r="J25" s="107"/>
      <c r="K25" s="107">
        <v>1</v>
      </c>
    </row>
    <row r="26" spans="2:14" ht="13.8" x14ac:dyDescent="0.25">
      <c r="B26" s="77" t="str">
        <f>U14</f>
        <v>TRAAVDOM_N_IM</v>
      </c>
      <c r="C26" s="77" t="str">
        <f>V14</f>
        <v>Airplanes - Domestic NEW Improved</v>
      </c>
      <c r="D26" s="79" t="s">
        <v>630</v>
      </c>
      <c r="E26" s="107" t="str">
        <f>Commodities!$N$14</f>
        <v>TRAAVDOM</v>
      </c>
      <c r="F26" s="124">
        <f>G26</f>
        <v>2025</v>
      </c>
      <c r="G26" s="119">
        <f>BASE_YEAR+8</f>
        <v>2025</v>
      </c>
      <c r="H26" s="107"/>
      <c r="I26" s="120">
        <f>111000*(1/0.9)</f>
        <v>123333.33333333334</v>
      </c>
      <c r="J26" s="107">
        <v>30</v>
      </c>
      <c r="K26" s="107">
        <v>1</v>
      </c>
    </row>
    <row r="27" spans="2:14" ht="13.8" x14ac:dyDescent="0.25">
      <c r="B27" s="77"/>
      <c r="C27" s="77"/>
      <c r="D27" s="183" t="s">
        <v>832</v>
      </c>
      <c r="E27" s="107"/>
      <c r="F27" s="124">
        <f>F26</f>
        <v>2025</v>
      </c>
      <c r="G27" s="119"/>
      <c r="H27" s="107"/>
      <c r="I27" s="120"/>
      <c r="J27" s="107"/>
      <c r="K27" s="107">
        <v>1</v>
      </c>
    </row>
    <row r="28" spans="2:14" ht="13.8" x14ac:dyDescent="0.25">
      <c r="B28" s="77" t="str">
        <f>U15</f>
        <v>TRAAVDOM_N_AD</v>
      </c>
      <c r="C28" s="77" t="str">
        <f>V15</f>
        <v>Airplanes - Domestic NEW Advanced</v>
      </c>
      <c r="D28" s="79" t="s">
        <v>630</v>
      </c>
      <c r="E28" s="107" t="str">
        <f>Commodities!$N$14</f>
        <v>TRAAVDOM</v>
      </c>
      <c r="F28" s="124">
        <f>G28</f>
        <v>2035</v>
      </c>
      <c r="G28" s="119">
        <f>BASE_YEAR+18</f>
        <v>2035</v>
      </c>
      <c r="H28" s="107"/>
      <c r="I28" s="120">
        <f>125000*(1/0.9)</f>
        <v>138888.88888888891</v>
      </c>
      <c r="J28" s="107">
        <v>30</v>
      </c>
      <c r="K28" s="107">
        <v>1</v>
      </c>
    </row>
    <row r="29" spans="2:14" ht="13.8" x14ac:dyDescent="0.25">
      <c r="B29" s="77"/>
      <c r="C29" s="77"/>
      <c r="D29" s="79" t="s">
        <v>832</v>
      </c>
      <c r="E29" s="107"/>
      <c r="F29" s="124">
        <f>F28</f>
        <v>2035</v>
      </c>
      <c r="G29" s="119"/>
      <c r="H29" s="107"/>
      <c r="I29" s="120"/>
      <c r="J29" s="107"/>
      <c r="K29" s="107">
        <v>1</v>
      </c>
    </row>
    <row r="30" spans="2:14" ht="13.8" x14ac:dyDescent="0.25">
      <c r="B30" s="77" t="str">
        <f>U16</f>
        <v>TRAAVDOM_N_AD_H2</v>
      </c>
      <c r="C30" s="77" t="str">
        <f>V16</f>
        <v>Airplanes - Domestic NEW Advanced H2</v>
      </c>
      <c r="D30" s="79" t="str">
        <f>D29</f>
        <v>TRABIOKER</v>
      </c>
      <c r="E30" s="107" t="str">
        <f>Commodities!$N$14</f>
        <v>TRAAVDOM</v>
      </c>
      <c r="F30" s="124">
        <f>G30</f>
        <v>2040</v>
      </c>
      <c r="G30" s="119">
        <v>2040</v>
      </c>
      <c r="H30" s="107"/>
      <c r="I30" s="120">
        <f>I28*1.5</f>
        <v>208333.33333333337</v>
      </c>
      <c r="J30" s="107">
        <v>30</v>
      </c>
      <c r="K30" s="107">
        <v>1</v>
      </c>
    </row>
    <row r="31" spans="2:14" ht="13.8" x14ac:dyDescent="0.25">
      <c r="B31" s="77"/>
      <c r="C31" s="77"/>
      <c r="D31" s="79" t="s">
        <v>1210</v>
      </c>
      <c r="E31" s="107"/>
      <c r="F31" s="124">
        <f>F30</f>
        <v>2040</v>
      </c>
      <c r="G31" s="119"/>
      <c r="H31" s="107"/>
      <c r="I31" s="120"/>
      <c r="J31" s="107"/>
      <c r="K31" s="107">
        <v>0.5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350"/>
  <sheetViews>
    <sheetView tabSelected="1" topLeftCell="A291" zoomScale="70" zoomScaleNormal="70" workbookViewId="0">
      <selection activeCell="A291" sqref="A1:XFD1048576"/>
    </sheetView>
  </sheetViews>
  <sheetFormatPr defaultColWidth="9.109375" defaultRowHeight="13.8" x14ac:dyDescent="0.25"/>
  <cols>
    <col min="1" max="1" width="9.109375" style="77"/>
    <col min="2" max="2" width="23.109375" style="77" customWidth="1"/>
    <col min="3" max="3" width="22" style="77" customWidth="1"/>
    <col min="4" max="4" width="54.5546875" style="77" bestFit="1" customWidth="1"/>
    <col min="5" max="5" width="8.88671875" style="77" customWidth="1"/>
    <col min="6" max="6" width="12.5546875" style="77" customWidth="1"/>
    <col min="7" max="7" width="12.109375" style="77" customWidth="1"/>
    <col min="8" max="8" width="11.88671875" style="77" customWidth="1"/>
    <col min="9" max="9" width="15.33203125" style="77" customWidth="1"/>
    <col min="10" max="10" width="3" style="77" customWidth="1"/>
    <col min="11" max="11" width="12.33203125" style="77" customWidth="1"/>
    <col min="12" max="12" width="16.6640625" style="77" customWidth="1"/>
    <col min="13" max="13" width="13.44140625" style="77" bestFit="1" customWidth="1"/>
    <col min="14" max="14" width="17.33203125" style="77" bestFit="1" customWidth="1"/>
    <col min="15" max="15" width="39.5546875" style="77" customWidth="1"/>
    <col min="16" max="16" width="10.44140625" style="77" bestFit="1" customWidth="1"/>
    <col min="17" max="17" width="27" style="77" bestFit="1" customWidth="1"/>
    <col min="18" max="18" width="16.5546875" style="77" bestFit="1" customWidth="1"/>
    <col min="19" max="19" width="17.33203125" style="77" bestFit="1" customWidth="1"/>
    <col min="20" max="20" width="21.5546875" style="77" bestFit="1" customWidth="1"/>
    <col min="21" max="21" width="2.88671875" style="77" customWidth="1"/>
    <col min="22" max="22" width="9.109375" style="77"/>
    <col min="23" max="23" width="15.44140625" style="77" bestFit="1" customWidth="1"/>
    <col min="24" max="24" width="12.33203125" style="77" bestFit="1" customWidth="1"/>
    <col min="25" max="25" width="16.5546875" style="77" bestFit="1" customWidth="1"/>
    <col min="26" max="26" width="20.5546875" style="77" customWidth="1"/>
    <col min="27" max="27" width="6.88671875" style="77" bestFit="1" customWidth="1"/>
    <col min="28" max="28" width="12.88671875" style="77" bestFit="1" customWidth="1"/>
    <col min="29" max="29" width="14.44140625" style="77" bestFit="1" customWidth="1"/>
    <col min="30" max="30" width="15.44140625" style="77" bestFit="1" customWidth="1"/>
    <col min="31" max="31" width="10.33203125" style="77" bestFit="1" customWidth="1"/>
    <col min="32" max="32" width="3.109375" style="77" customWidth="1"/>
    <col min="33" max="16384" width="9.109375" style="77"/>
  </cols>
  <sheetData>
    <row r="1" spans="2:31" s="185" customFormat="1" ht="15.6" x14ac:dyDescent="0.3">
      <c r="B1" s="184" t="s">
        <v>896</v>
      </c>
    </row>
    <row r="2" spans="2:31" s="185" customFormat="1" ht="15.6" x14ac:dyDescent="0.3">
      <c r="B2" s="184" t="s">
        <v>91</v>
      </c>
      <c r="L2" s="184" t="s">
        <v>92</v>
      </c>
      <c r="W2" s="184" t="s">
        <v>60</v>
      </c>
    </row>
    <row r="4" spans="2:31" x14ac:dyDescent="0.25">
      <c r="B4" s="186" t="s">
        <v>8</v>
      </c>
      <c r="C4" s="186" t="s">
        <v>6</v>
      </c>
      <c r="D4" s="186" t="s">
        <v>9</v>
      </c>
      <c r="E4" s="187" t="s">
        <v>10</v>
      </c>
      <c r="F4" s="187" t="s">
        <v>11</v>
      </c>
      <c r="G4" s="187" t="s">
        <v>12</v>
      </c>
      <c r="H4" s="187" t="s">
        <v>13</v>
      </c>
      <c r="I4" s="187" t="s">
        <v>14</v>
      </c>
      <c r="K4" s="188"/>
      <c r="L4" s="186" t="s">
        <v>8</v>
      </c>
      <c r="M4" s="96" t="s">
        <v>93</v>
      </c>
      <c r="N4" s="186" t="s">
        <v>6</v>
      </c>
      <c r="O4" s="186" t="s">
        <v>9</v>
      </c>
      <c r="P4" s="187" t="s">
        <v>10</v>
      </c>
      <c r="Q4" s="187" t="s">
        <v>11</v>
      </c>
      <c r="R4" s="187" t="s">
        <v>12</v>
      </c>
      <c r="S4" s="187" t="s">
        <v>13</v>
      </c>
      <c r="T4" s="187" t="s">
        <v>14</v>
      </c>
      <c r="W4" s="186" t="s">
        <v>8</v>
      </c>
      <c r="X4" s="96" t="s">
        <v>93</v>
      </c>
      <c r="Y4" s="186" t="s">
        <v>6</v>
      </c>
      <c r="Z4" s="186" t="s">
        <v>9</v>
      </c>
      <c r="AA4" s="187" t="s">
        <v>10</v>
      </c>
      <c r="AB4" s="187" t="s">
        <v>11</v>
      </c>
      <c r="AC4" s="187" t="s">
        <v>12</v>
      </c>
      <c r="AD4" s="187" t="s">
        <v>13</v>
      </c>
      <c r="AE4" s="187" t="s">
        <v>14</v>
      </c>
    </row>
    <row r="5" spans="2:31" s="190" customFormat="1" ht="31.5" customHeight="1" thickBot="1" x14ac:dyDescent="0.3">
      <c r="B5" s="189" t="s">
        <v>94</v>
      </c>
      <c r="C5" s="189" t="s">
        <v>25</v>
      </c>
      <c r="D5" s="189" t="s">
        <v>26</v>
      </c>
      <c r="E5" s="189" t="s">
        <v>10</v>
      </c>
      <c r="F5" s="189" t="s">
        <v>96</v>
      </c>
      <c r="G5" s="189" t="s">
        <v>97</v>
      </c>
      <c r="H5" s="189" t="s">
        <v>29</v>
      </c>
      <c r="I5" s="189" t="s">
        <v>30</v>
      </c>
      <c r="K5" s="191"/>
      <c r="L5" s="189" t="s">
        <v>94</v>
      </c>
      <c r="M5" s="192" t="s">
        <v>95</v>
      </c>
      <c r="N5" s="189" t="s">
        <v>25</v>
      </c>
      <c r="O5" s="189" t="s">
        <v>26</v>
      </c>
      <c r="P5" s="189" t="s">
        <v>10</v>
      </c>
      <c r="Q5" s="189" t="s">
        <v>96</v>
      </c>
      <c r="R5" s="189" t="s">
        <v>97</v>
      </c>
      <c r="S5" s="189" t="s">
        <v>29</v>
      </c>
      <c r="T5" s="189" t="s">
        <v>30</v>
      </c>
      <c r="W5" s="189" t="s">
        <v>94</v>
      </c>
      <c r="X5" s="192" t="s">
        <v>95</v>
      </c>
      <c r="Y5" s="189" t="s">
        <v>25</v>
      </c>
      <c r="Z5" s="189" t="s">
        <v>26</v>
      </c>
      <c r="AA5" s="189" t="s">
        <v>10</v>
      </c>
      <c r="AB5" s="189" t="s">
        <v>96</v>
      </c>
      <c r="AC5" s="189" t="s">
        <v>97</v>
      </c>
      <c r="AD5" s="189" t="s">
        <v>29</v>
      </c>
      <c r="AE5" s="189" t="s">
        <v>30</v>
      </c>
    </row>
    <row r="6" spans="2:31" x14ac:dyDescent="0.25">
      <c r="B6" s="77" t="s">
        <v>98</v>
      </c>
      <c r="C6" s="77" t="s">
        <v>1145</v>
      </c>
      <c r="D6" s="77" t="s">
        <v>1147</v>
      </c>
      <c r="E6" s="107" t="s">
        <v>55</v>
      </c>
      <c r="L6" s="77" t="s">
        <v>99</v>
      </c>
      <c r="N6" s="77" t="s">
        <v>100</v>
      </c>
      <c r="O6" s="77" t="s">
        <v>101</v>
      </c>
      <c r="P6" s="107" t="str">
        <f>General!$D$24</f>
        <v>Mpgkm</v>
      </c>
      <c r="W6" s="77" t="s">
        <v>102</v>
      </c>
      <c r="Y6" s="77" t="s">
        <v>103</v>
      </c>
      <c r="Z6" s="107" t="s">
        <v>104</v>
      </c>
      <c r="AA6" s="107" t="str">
        <f>General!$B$5</f>
        <v>Gg</v>
      </c>
    </row>
    <row r="7" spans="2:31" x14ac:dyDescent="0.25">
      <c r="C7" s="77" t="s">
        <v>1148</v>
      </c>
      <c r="D7" s="77" t="s">
        <v>105</v>
      </c>
      <c r="E7" s="107" t="s">
        <v>55</v>
      </c>
      <c r="N7" s="77" t="s">
        <v>110</v>
      </c>
      <c r="O7" s="77" t="s">
        <v>111</v>
      </c>
      <c r="P7" s="107" t="str">
        <f>General!$D$24</f>
        <v>Mpgkm</v>
      </c>
      <c r="Y7" s="77" t="s">
        <v>106</v>
      </c>
      <c r="Z7" s="107" t="s">
        <v>107</v>
      </c>
      <c r="AA7" s="107" t="str">
        <f>AA6</f>
        <v>Gg</v>
      </c>
    </row>
    <row r="8" spans="2:31" x14ac:dyDescent="0.25">
      <c r="C8" s="77" t="s">
        <v>108</v>
      </c>
      <c r="D8" s="77" t="s">
        <v>109</v>
      </c>
      <c r="E8" s="107" t="s">
        <v>55</v>
      </c>
      <c r="N8" s="77" t="s">
        <v>114</v>
      </c>
      <c r="O8" s="77" t="s">
        <v>115</v>
      </c>
      <c r="P8" s="107" t="str">
        <f>General!$D$24</f>
        <v>Mpgkm</v>
      </c>
      <c r="Y8" s="77" t="s">
        <v>112</v>
      </c>
      <c r="Z8" s="107" t="s">
        <v>113</v>
      </c>
      <c r="AA8" s="107" t="str">
        <f t="shared" ref="AA8:AA32" si="0">AA7</f>
        <v>Gg</v>
      </c>
    </row>
    <row r="9" spans="2:31" x14ac:dyDescent="0.25">
      <c r="C9" s="77" t="s">
        <v>1146</v>
      </c>
      <c r="D9" s="77" t="s">
        <v>1149</v>
      </c>
      <c r="E9" s="107" t="s">
        <v>55</v>
      </c>
      <c r="N9" s="77" t="s">
        <v>124</v>
      </c>
      <c r="O9" s="77" t="s">
        <v>125</v>
      </c>
      <c r="P9" s="107" t="str">
        <f>General!$D$25</f>
        <v>Mtnkm</v>
      </c>
      <c r="Y9" s="77" t="s">
        <v>116</v>
      </c>
      <c r="Z9" s="107" t="s">
        <v>117</v>
      </c>
      <c r="AA9" s="107" t="str">
        <f t="shared" si="0"/>
        <v>Gg</v>
      </c>
    </row>
    <row r="10" spans="2:31" x14ac:dyDescent="0.25">
      <c r="C10" s="77" t="s">
        <v>118</v>
      </c>
      <c r="D10" s="77" t="s">
        <v>119</v>
      </c>
      <c r="E10" s="107" t="s">
        <v>55</v>
      </c>
      <c r="N10" s="77" t="s">
        <v>130</v>
      </c>
      <c r="O10" s="77" t="s">
        <v>131</v>
      </c>
      <c r="P10" s="107" t="str">
        <f>General!$D$25</f>
        <v>Mtnkm</v>
      </c>
      <c r="Y10" s="77" t="s">
        <v>120</v>
      </c>
      <c r="Z10" s="107" t="s">
        <v>121</v>
      </c>
      <c r="AA10" s="107" t="str">
        <f t="shared" si="0"/>
        <v>Gg</v>
      </c>
    </row>
    <row r="11" spans="2:31" x14ac:dyDescent="0.25">
      <c r="C11" s="77" t="s">
        <v>122</v>
      </c>
      <c r="D11" s="77" t="s">
        <v>123</v>
      </c>
      <c r="E11" s="107" t="s">
        <v>55</v>
      </c>
      <c r="N11" s="77" t="s">
        <v>140</v>
      </c>
      <c r="O11" s="77" t="s">
        <v>141</v>
      </c>
      <c r="P11" s="107" t="str">
        <f>General!$D$24</f>
        <v>Mpgkm</v>
      </c>
      <c r="Y11" s="77" t="s">
        <v>126</v>
      </c>
      <c r="Z11" s="107" t="s">
        <v>127</v>
      </c>
      <c r="AA11" s="107" t="str">
        <f t="shared" si="0"/>
        <v>Gg</v>
      </c>
    </row>
    <row r="12" spans="2:31" x14ac:dyDescent="0.25">
      <c r="C12" s="77" t="s">
        <v>128</v>
      </c>
      <c r="D12" s="77" t="s">
        <v>129</v>
      </c>
      <c r="E12" s="107" t="s">
        <v>55</v>
      </c>
      <c r="N12" s="77" t="s">
        <v>146</v>
      </c>
      <c r="O12" s="77" t="s">
        <v>147</v>
      </c>
      <c r="P12" s="107" t="str">
        <f>General!$D$25</f>
        <v>Mtnkm</v>
      </c>
      <c r="Y12" s="77" t="s">
        <v>132</v>
      </c>
      <c r="Z12" s="107" t="s">
        <v>133</v>
      </c>
      <c r="AA12" s="107" t="str">
        <f t="shared" si="0"/>
        <v>Gg</v>
      </c>
    </row>
    <row r="13" spans="2:31" x14ac:dyDescent="0.25">
      <c r="C13" s="77" t="s">
        <v>134</v>
      </c>
      <c r="D13" s="77" t="s">
        <v>135</v>
      </c>
      <c r="E13" s="107" t="s">
        <v>55</v>
      </c>
      <c r="N13" s="77" t="s">
        <v>152</v>
      </c>
      <c r="O13" s="77" t="s">
        <v>1069</v>
      </c>
      <c r="P13" s="107" t="str">
        <f>General!$D$24</f>
        <v>Mpgkm</v>
      </c>
      <c r="Y13" s="77" t="s">
        <v>136</v>
      </c>
      <c r="Z13" s="107" t="s">
        <v>137</v>
      </c>
      <c r="AA13" s="107" t="str">
        <f t="shared" si="0"/>
        <v>Gg</v>
      </c>
    </row>
    <row r="14" spans="2:31" x14ac:dyDescent="0.25">
      <c r="C14" s="77" t="s">
        <v>138</v>
      </c>
      <c r="D14" s="77" t="s">
        <v>139</v>
      </c>
      <c r="E14" s="107" t="s">
        <v>55</v>
      </c>
      <c r="N14" s="77" t="s">
        <v>1143</v>
      </c>
      <c r="O14" s="77" t="s">
        <v>1144</v>
      </c>
      <c r="P14" s="107" t="str">
        <f>General!$D$26</f>
        <v>000s_km_flown</v>
      </c>
      <c r="Y14" s="77" t="s">
        <v>142</v>
      </c>
      <c r="Z14" s="107" t="s">
        <v>143</v>
      </c>
      <c r="AA14" s="107" t="str">
        <f t="shared" si="0"/>
        <v>Gg</v>
      </c>
    </row>
    <row r="15" spans="2:31" x14ac:dyDescent="0.25">
      <c r="C15" s="77" t="s">
        <v>144</v>
      </c>
      <c r="D15" s="77" t="s">
        <v>145</v>
      </c>
      <c r="E15" s="107" t="s">
        <v>55</v>
      </c>
      <c r="N15" s="77" t="s">
        <v>170</v>
      </c>
      <c r="O15" s="77" t="s">
        <v>171</v>
      </c>
      <c r="P15" s="107" t="str">
        <f>General!$B$2</f>
        <v>PJ</v>
      </c>
      <c r="Y15" s="77" t="s">
        <v>148</v>
      </c>
      <c r="Z15" s="107" t="s">
        <v>149</v>
      </c>
      <c r="AA15" s="107" t="str">
        <f t="shared" si="0"/>
        <v>Gg</v>
      </c>
    </row>
    <row r="16" spans="2:31" x14ac:dyDescent="0.25">
      <c r="C16" s="77" t="s">
        <v>150</v>
      </c>
      <c r="D16" s="77" t="s">
        <v>151</v>
      </c>
      <c r="E16" s="107" t="s">
        <v>55</v>
      </c>
      <c r="Y16" s="77" t="s">
        <v>153</v>
      </c>
      <c r="Z16" s="107" t="s">
        <v>154</v>
      </c>
      <c r="AA16" s="107" t="str">
        <f t="shared" si="0"/>
        <v>Gg</v>
      </c>
    </row>
    <row r="17" spans="3:27" x14ac:dyDescent="0.25">
      <c r="C17" s="77" t="s">
        <v>155</v>
      </c>
      <c r="D17" s="77" t="s">
        <v>156</v>
      </c>
      <c r="E17" s="107" t="s">
        <v>55</v>
      </c>
      <c r="Y17" s="77" t="s">
        <v>157</v>
      </c>
      <c r="Z17" s="107" t="s">
        <v>158</v>
      </c>
      <c r="AA17" s="107" t="str">
        <f>AA16</f>
        <v>Gg</v>
      </c>
    </row>
    <row r="18" spans="3:27" x14ac:dyDescent="0.25">
      <c r="C18" s="77" t="s">
        <v>159</v>
      </c>
      <c r="D18" s="77" t="s">
        <v>160</v>
      </c>
      <c r="E18" s="107" t="s">
        <v>55</v>
      </c>
      <c r="Y18" s="77" t="s">
        <v>162</v>
      </c>
      <c r="Z18" s="107" t="s">
        <v>163</v>
      </c>
      <c r="AA18" s="107" t="str">
        <f t="shared" si="0"/>
        <v>Gg</v>
      </c>
    </row>
    <row r="19" spans="3:27" x14ac:dyDescent="0.25">
      <c r="C19" s="77" t="s">
        <v>164</v>
      </c>
      <c r="D19" s="77" t="s">
        <v>165</v>
      </c>
      <c r="E19" s="107" t="s">
        <v>55</v>
      </c>
      <c r="Y19" s="77" t="s">
        <v>166</v>
      </c>
      <c r="Z19" s="107" t="s">
        <v>167</v>
      </c>
      <c r="AA19" s="107" t="str">
        <f t="shared" si="0"/>
        <v>Gg</v>
      </c>
    </row>
    <row r="20" spans="3:27" x14ac:dyDescent="0.25">
      <c r="C20" s="77" t="s">
        <v>168</v>
      </c>
      <c r="D20" s="77" t="s">
        <v>169</v>
      </c>
      <c r="E20" s="107" t="s">
        <v>55</v>
      </c>
      <c r="Y20" s="77" t="s">
        <v>172</v>
      </c>
      <c r="Z20" s="107" t="s">
        <v>173</v>
      </c>
      <c r="AA20" s="107" t="str">
        <f>AA19</f>
        <v>Gg</v>
      </c>
    </row>
    <row r="21" spans="3:27" x14ac:dyDescent="0.25">
      <c r="C21" s="77" t="s">
        <v>1150</v>
      </c>
      <c r="D21" s="77" t="s">
        <v>1151</v>
      </c>
      <c r="E21" s="107" t="s">
        <v>55</v>
      </c>
      <c r="Y21" s="77" t="s">
        <v>174</v>
      </c>
      <c r="Z21" s="107" t="s">
        <v>175</v>
      </c>
      <c r="AA21" s="107" t="str">
        <f t="shared" si="0"/>
        <v>Gg</v>
      </c>
    </row>
    <row r="22" spans="3:27" x14ac:dyDescent="0.25">
      <c r="C22" s="77" t="s">
        <v>1152</v>
      </c>
      <c r="D22" s="77" t="s">
        <v>1153</v>
      </c>
      <c r="E22" s="107" t="s">
        <v>55</v>
      </c>
      <c r="Y22" s="77" t="s">
        <v>176</v>
      </c>
      <c r="Z22" s="107" t="s">
        <v>177</v>
      </c>
      <c r="AA22" s="107" t="str">
        <f t="shared" si="0"/>
        <v>Gg</v>
      </c>
    </row>
    <row r="23" spans="3:27" x14ac:dyDescent="0.25">
      <c r="C23" s="77" t="s">
        <v>178</v>
      </c>
      <c r="D23" s="77" t="s">
        <v>179</v>
      </c>
      <c r="E23" s="107" t="s">
        <v>55</v>
      </c>
      <c r="Y23" s="77" t="s">
        <v>180</v>
      </c>
      <c r="Z23" s="107" t="s">
        <v>181</v>
      </c>
      <c r="AA23" s="107" t="str">
        <f t="shared" si="0"/>
        <v>Gg</v>
      </c>
    </row>
    <row r="24" spans="3:27" x14ac:dyDescent="0.25">
      <c r="C24" s="77" t="s">
        <v>182</v>
      </c>
      <c r="D24" s="77" t="s">
        <v>183</v>
      </c>
      <c r="E24" s="107" t="s">
        <v>55</v>
      </c>
      <c r="Y24" s="77" t="s">
        <v>184</v>
      </c>
      <c r="Z24" s="107" t="s">
        <v>185</v>
      </c>
      <c r="AA24" s="107" t="str">
        <f t="shared" si="0"/>
        <v>Gg</v>
      </c>
    </row>
    <row r="25" spans="3:27" x14ac:dyDescent="0.25">
      <c r="C25" s="77" t="s">
        <v>186</v>
      </c>
      <c r="D25" s="77" t="s">
        <v>187</v>
      </c>
      <c r="E25" s="107" t="s">
        <v>55</v>
      </c>
      <c r="Y25" s="77" t="s">
        <v>188</v>
      </c>
      <c r="Z25" s="107" t="s">
        <v>189</v>
      </c>
      <c r="AA25" s="107" t="str">
        <f t="shared" si="0"/>
        <v>Gg</v>
      </c>
    </row>
    <row r="26" spans="3:27" x14ac:dyDescent="0.25">
      <c r="C26" s="77" t="s">
        <v>190</v>
      </c>
      <c r="D26" s="77" t="s">
        <v>191</v>
      </c>
      <c r="E26" s="107" t="s">
        <v>55</v>
      </c>
      <c r="Y26" s="77" t="s">
        <v>192</v>
      </c>
      <c r="Z26" s="107" t="s">
        <v>193</v>
      </c>
      <c r="AA26" s="107" t="str">
        <f t="shared" si="0"/>
        <v>Gg</v>
      </c>
    </row>
    <row r="27" spans="3:27" x14ac:dyDescent="0.25">
      <c r="C27" s="77" t="s">
        <v>194</v>
      </c>
      <c r="D27" s="77" t="s">
        <v>171</v>
      </c>
      <c r="E27" s="107" t="s">
        <v>55</v>
      </c>
      <c r="Y27" s="77" t="s">
        <v>195</v>
      </c>
      <c r="Z27" s="107" t="s">
        <v>196</v>
      </c>
      <c r="AA27" s="107" t="str">
        <f t="shared" si="0"/>
        <v>Gg</v>
      </c>
    </row>
    <row r="28" spans="3:27" x14ac:dyDescent="0.25">
      <c r="C28" s="77" t="s">
        <v>197</v>
      </c>
      <c r="D28" s="77" t="s">
        <v>198</v>
      </c>
      <c r="E28" s="107" t="s">
        <v>55</v>
      </c>
      <c r="Y28" s="77" t="s">
        <v>199</v>
      </c>
      <c r="Z28" s="107" t="s">
        <v>200</v>
      </c>
      <c r="AA28" s="107" t="str">
        <f t="shared" si="0"/>
        <v>Gg</v>
      </c>
    </row>
    <row r="29" spans="3:27" x14ac:dyDescent="0.25">
      <c r="C29" s="77" t="s">
        <v>201</v>
      </c>
      <c r="D29" s="77" t="s">
        <v>202</v>
      </c>
      <c r="E29" s="107" t="s">
        <v>55</v>
      </c>
      <c r="Y29" s="77" t="s">
        <v>203</v>
      </c>
      <c r="Z29" s="107" t="s">
        <v>204</v>
      </c>
      <c r="AA29" s="107" t="str">
        <f t="shared" si="0"/>
        <v>Gg</v>
      </c>
    </row>
    <row r="30" spans="3:27" x14ac:dyDescent="0.25">
      <c r="C30" s="77" t="s">
        <v>205</v>
      </c>
      <c r="D30" s="77" t="s">
        <v>206</v>
      </c>
      <c r="E30" s="107" t="s">
        <v>55</v>
      </c>
      <c r="Y30" s="77" t="s">
        <v>207</v>
      </c>
      <c r="Z30" s="107" t="s">
        <v>208</v>
      </c>
      <c r="AA30" s="107" t="str">
        <f t="shared" si="0"/>
        <v>Gg</v>
      </c>
    </row>
    <row r="31" spans="3:27" x14ac:dyDescent="0.25">
      <c r="C31" s="77" t="s">
        <v>209</v>
      </c>
      <c r="D31" s="77" t="s">
        <v>210</v>
      </c>
      <c r="E31" s="107" t="s">
        <v>55</v>
      </c>
      <c r="Y31" s="77" t="s">
        <v>211</v>
      </c>
      <c r="Z31" s="107" t="s">
        <v>212</v>
      </c>
      <c r="AA31" s="107" t="str">
        <f t="shared" si="0"/>
        <v>Gg</v>
      </c>
    </row>
    <row r="32" spans="3:27" x14ac:dyDescent="0.25">
      <c r="C32" s="77" t="s">
        <v>213</v>
      </c>
      <c r="D32" s="77" t="s">
        <v>214</v>
      </c>
      <c r="E32" s="107" t="s">
        <v>55</v>
      </c>
      <c r="Y32" s="77" t="s">
        <v>215</v>
      </c>
      <c r="Z32" s="107" t="s">
        <v>216</v>
      </c>
      <c r="AA32" s="107" t="str">
        <f t="shared" si="0"/>
        <v>Gg</v>
      </c>
    </row>
    <row r="33" spans="3:5" x14ac:dyDescent="0.25">
      <c r="C33" s="77" t="s">
        <v>217</v>
      </c>
      <c r="D33" s="77" t="s">
        <v>218</v>
      </c>
      <c r="E33" s="107" t="s">
        <v>55</v>
      </c>
    </row>
    <row r="34" spans="3:5" x14ac:dyDescent="0.25">
      <c r="C34" s="77" t="s">
        <v>219</v>
      </c>
      <c r="D34" s="77" t="s">
        <v>220</v>
      </c>
      <c r="E34" s="107" t="s">
        <v>55</v>
      </c>
    </row>
    <row r="35" spans="3:5" x14ac:dyDescent="0.25">
      <c r="C35" s="77" t="s">
        <v>221</v>
      </c>
      <c r="D35" s="77" t="s">
        <v>222</v>
      </c>
      <c r="E35" s="107" t="s">
        <v>55</v>
      </c>
    </row>
    <row r="36" spans="3:5" x14ac:dyDescent="0.25">
      <c r="C36" s="77" t="s">
        <v>223</v>
      </c>
      <c r="D36" s="77" t="s">
        <v>224</v>
      </c>
      <c r="E36" s="107" t="s">
        <v>55</v>
      </c>
    </row>
    <row r="37" spans="3:5" x14ac:dyDescent="0.25">
      <c r="C37" s="77" t="s">
        <v>225</v>
      </c>
      <c r="D37" s="77" t="s">
        <v>226</v>
      </c>
      <c r="E37" s="107" t="s">
        <v>55</v>
      </c>
    </row>
    <row r="38" spans="3:5" x14ac:dyDescent="0.25">
      <c r="C38" s="77" t="s">
        <v>227</v>
      </c>
      <c r="D38" s="77" t="s">
        <v>228</v>
      </c>
      <c r="E38" s="107" t="s">
        <v>55</v>
      </c>
    </row>
    <row r="39" spans="3:5" x14ac:dyDescent="0.25">
      <c r="C39" s="77" t="s">
        <v>229</v>
      </c>
      <c r="D39" s="77" t="s">
        <v>230</v>
      </c>
      <c r="E39" s="107" t="s">
        <v>55</v>
      </c>
    </row>
    <row r="40" spans="3:5" x14ac:dyDescent="0.25">
      <c r="C40" s="77" t="s">
        <v>231</v>
      </c>
      <c r="D40" s="77" t="s">
        <v>232</v>
      </c>
      <c r="E40" s="107" t="s">
        <v>55</v>
      </c>
    </row>
    <row r="41" spans="3:5" x14ac:dyDescent="0.25">
      <c r="C41" s="77" t="s">
        <v>233</v>
      </c>
      <c r="D41" s="77" t="s">
        <v>234</v>
      </c>
      <c r="E41" s="107" t="s">
        <v>55</v>
      </c>
    </row>
    <row r="42" spans="3:5" x14ac:dyDescent="0.25">
      <c r="C42" s="77" t="s">
        <v>235</v>
      </c>
      <c r="D42" s="77" t="s">
        <v>236</v>
      </c>
      <c r="E42" s="107" t="s">
        <v>55</v>
      </c>
    </row>
    <row r="43" spans="3:5" x14ac:dyDescent="0.25">
      <c r="C43" s="77" t="s">
        <v>237</v>
      </c>
      <c r="D43" s="77" t="s">
        <v>238</v>
      </c>
      <c r="E43" s="107" t="s">
        <v>55</v>
      </c>
    </row>
    <row r="44" spans="3:5" x14ac:dyDescent="0.25">
      <c r="C44" s="77" t="s">
        <v>239</v>
      </c>
      <c r="D44" s="77" t="s">
        <v>240</v>
      </c>
      <c r="E44" s="107" t="s">
        <v>55</v>
      </c>
    </row>
    <row r="45" spans="3:5" x14ac:dyDescent="0.25">
      <c r="C45" s="77" t="s">
        <v>241</v>
      </c>
      <c r="D45" s="77" t="s">
        <v>242</v>
      </c>
      <c r="E45" s="107" t="s">
        <v>55</v>
      </c>
    </row>
    <row r="46" spans="3:5" x14ac:dyDescent="0.25">
      <c r="C46" s="77" t="s">
        <v>243</v>
      </c>
      <c r="D46" s="77" t="s">
        <v>244</v>
      </c>
      <c r="E46" s="107" t="s">
        <v>55</v>
      </c>
    </row>
    <row r="47" spans="3:5" x14ac:dyDescent="0.25">
      <c r="C47" s="77" t="s">
        <v>245</v>
      </c>
      <c r="D47" s="77" t="s">
        <v>246</v>
      </c>
      <c r="E47" s="107" t="s">
        <v>55</v>
      </c>
    </row>
    <row r="48" spans="3:5" x14ac:dyDescent="0.25">
      <c r="C48" s="77" t="s">
        <v>237</v>
      </c>
      <c r="D48" s="77" t="s">
        <v>247</v>
      </c>
      <c r="E48" s="107" t="s">
        <v>55</v>
      </c>
    </row>
    <row r="49" spans="3:5" x14ac:dyDescent="0.25">
      <c r="C49" s="77" t="s">
        <v>248</v>
      </c>
      <c r="D49" s="77" t="s">
        <v>249</v>
      </c>
      <c r="E49" s="107" t="s">
        <v>55</v>
      </c>
    </row>
    <row r="50" spans="3:5" x14ac:dyDescent="0.25">
      <c r="C50" s="77" t="s">
        <v>250</v>
      </c>
      <c r="D50" s="77" t="s">
        <v>251</v>
      </c>
      <c r="E50" s="107" t="s">
        <v>55</v>
      </c>
    </row>
    <row r="51" spans="3:5" x14ac:dyDescent="0.25">
      <c r="C51" s="77" t="s">
        <v>252</v>
      </c>
      <c r="D51" s="77" t="s">
        <v>253</v>
      </c>
      <c r="E51" s="107" t="s">
        <v>55</v>
      </c>
    </row>
    <row r="52" spans="3:5" x14ac:dyDescent="0.25">
      <c r="C52" s="77" t="s">
        <v>254</v>
      </c>
      <c r="D52" s="77" t="s">
        <v>255</v>
      </c>
      <c r="E52" s="107" t="s">
        <v>55</v>
      </c>
    </row>
    <row r="53" spans="3:5" x14ac:dyDescent="0.25">
      <c r="C53" s="77" t="s">
        <v>256</v>
      </c>
      <c r="D53" s="77" t="s">
        <v>257</v>
      </c>
      <c r="E53" s="107" t="s">
        <v>55</v>
      </c>
    </row>
    <row r="54" spans="3:5" x14ac:dyDescent="0.25">
      <c r="C54" s="77" t="s">
        <v>258</v>
      </c>
      <c r="D54" s="77" t="s">
        <v>259</v>
      </c>
      <c r="E54" s="107" t="s">
        <v>55</v>
      </c>
    </row>
    <row r="55" spans="3:5" x14ac:dyDescent="0.25">
      <c r="C55" s="77" t="s">
        <v>260</v>
      </c>
      <c r="D55" s="77" t="s">
        <v>261</v>
      </c>
      <c r="E55" s="107" t="s">
        <v>55</v>
      </c>
    </row>
    <row r="56" spans="3:5" x14ac:dyDescent="0.25">
      <c r="C56" s="77" t="s">
        <v>262</v>
      </c>
      <c r="D56" s="77" t="s">
        <v>263</v>
      </c>
      <c r="E56" s="107" t="s">
        <v>55</v>
      </c>
    </row>
    <row r="57" spans="3:5" x14ac:dyDescent="0.25">
      <c r="C57" s="77" t="s">
        <v>264</v>
      </c>
      <c r="D57" s="77" t="s">
        <v>265</v>
      </c>
      <c r="E57" s="107" t="s">
        <v>55</v>
      </c>
    </row>
    <row r="58" spans="3:5" x14ac:dyDescent="0.25">
      <c r="C58" s="77" t="s">
        <v>1154</v>
      </c>
      <c r="D58" s="77" t="s">
        <v>1155</v>
      </c>
      <c r="E58" s="107" t="s">
        <v>55</v>
      </c>
    </row>
    <row r="59" spans="3:5" x14ac:dyDescent="0.25">
      <c r="C59" s="77" t="s">
        <v>266</v>
      </c>
      <c r="D59" s="77" t="s">
        <v>267</v>
      </c>
      <c r="E59" s="107" t="s">
        <v>55</v>
      </c>
    </row>
    <row r="60" spans="3:5" x14ac:dyDescent="0.25">
      <c r="C60" s="77" t="s">
        <v>1156</v>
      </c>
      <c r="D60" s="77" t="s">
        <v>268</v>
      </c>
      <c r="E60" s="107" t="s">
        <v>55</v>
      </c>
    </row>
    <row r="61" spans="3:5" x14ac:dyDescent="0.25">
      <c r="C61" s="77" t="s">
        <v>269</v>
      </c>
      <c r="D61" s="77" t="s">
        <v>270</v>
      </c>
      <c r="E61" s="107" t="s">
        <v>55</v>
      </c>
    </row>
    <row r="62" spans="3:5" x14ac:dyDescent="0.25">
      <c r="C62" s="77" t="s">
        <v>271</v>
      </c>
      <c r="D62" s="77" t="s">
        <v>272</v>
      </c>
      <c r="E62" s="107" t="s">
        <v>55</v>
      </c>
    </row>
    <row r="63" spans="3:5" x14ac:dyDescent="0.25">
      <c r="C63" s="77" t="s">
        <v>273</v>
      </c>
      <c r="D63" s="77" t="s">
        <v>274</v>
      </c>
      <c r="E63" s="107" t="s">
        <v>55</v>
      </c>
    </row>
    <row r="64" spans="3:5" x14ac:dyDescent="0.25">
      <c r="C64" s="77" t="s">
        <v>275</v>
      </c>
      <c r="D64" s="77" t="s">
        <v>276</v>
      </c>
      <c r="E64" s="107" t="s">
        <v>55</v>
      </c>
    </row>
    <row r="65" spans="3:5" x14ac:dyDescent="0.25">
      <c r="C65" s="77" t="s">
        <v>277</v>
      </c>
      <c r="D65" s="77" t="s">
        <v>278</v>
      </c>
      <c r="E65" s="107" t="s">
        <v>55</v>
      </c>
    </row>
    <row r="66" spans="3:5" x14ac:dyDescent="0.25">
      <c r="C66" s="77" t="s">
        <v>1157</v>
      </c>
      <c r="D66" s="77" t="s">
        <v>279</v>
      </c>
      <c r="E66" s="107" t="s">
        <v>55</v>
      </c>
    </row>
    <row r="67" spans="3:5" x14ac:dyDescent="0.25">
      <c r="C67" s="77" t="s">
        <v>280</v>
      </c>
      <c r="D67" s="77" t="s">
        <v>281</v>
      </c>
      <c r="E67" s="107" t="s">
        <v>55</v>
      </c>
    </row>
    <row r="68" spans="3:5" x14ac:dyDescent="0.25">
      <c r="C68" s="77" t="s">
        <v>282</v>
      </c>
      <c r="D68" s="77" t="s">
        <v>283</v>
      </c>
      <c r="E68" s="107" t="s">
        <v>55</v>
      </c>
    </row>
    <row r="69" spans="3:5" x14ac:dyDescent="0.25">
      <c r="C69" s="77" t="s">
        <v>1158</v>
      </c>
      <c r="D69" s="77" t="s">
        <v>1159</v>
      </c>
      <c r="E69" s="107" t="s">
        <v>55</v>
      </c>
    </row>
    <row r="70" spans="3:5" x14ac:dyDescent="0.25">
      <c r="C70" s="77" t="s">
        <v>284</v>
      </c>
      <c r="D70" s="77" t="s">
        <v>285</v>
      </c>
      <c r="E70" s="107" t="s">
        <v>55</v>
      </c>
    </row>
    <row r="71" spans="3:5" x14ac:dyDescent="0.25">
      <c r="C71" s="77" t="s">
        <v>286</v>
      </c>
      <c r="D71" s="77" t="s">
        <v>287</v>
      </c>
      <c r="E71" s="107" t="s">
        <v>55</v>
      </c>
    </row>
    <row r="72" spans="3:5" x14ac:dyDescent="0.25">
      <c r="C72" s="77" t="s">
        <v>1160</v>
      </c>
      <c r="D72" s="77" t="s">
        <v>288</v>
      </c>
      <c r="E72" s="107" t="s">
        <v>55</v>
      </c>
    </row>
    <row r="73" spans="3:5" x14ac:dyDescent="0.25">
      <c r="C73" s="77" t="s">
        <v>289</v>
      </c>
      <c r="D73" s="77" t="s">
        <v>290</v>
      </c>
      <c r="E73" s="107" t="s">
        <v>55</v>
      </c>
    </row>
    <row r="74" spans="3:5" x14ac:dyDescent="0.25">
      <c r="C74" s="77" t="s">
        <v>291</v>
      </c>
      <c r="D74" s="77" t="s">
        <v>292</v>
      </c>
      <c r="E74" s="107" t="s">
        <v>55</v>
      </c>
    </row>
    <row r="75" spans="3:5" x14ac:dyDescent="0.25">
      <c r="C75" s="77" t="s">
        <v>293</v>
      </c>
      <c r="D75" s="77" t="s">
        <v>294</v>
      </c>
      <c r="E75" s="107" t="s">
        <v>55</v>
      </c>
    </row>
    <row r="76" spans="3:5" x14ac:dyDescent="0.25">
      <c r="C76" s="77" t="s">
        <v>295</v>
      </c>
      <c r="D76" s="77" t="s">
        <v>296</v>
      </c>
      <c r="E76" s="107" t="s">
        <v>55</v>
      </c>
    </row>
    <row r="77" spans="3:5" x14ac:dyDescent="0.25">
      <c r="C77" s="77" t="s">
        <v>297</v>
      </c>
      <c r="D77" s="77" t="s">
        <v>298</v>
      </c>
      <c r="E77" s="107" t="s">
        <v>55</v>
      </c>
    </row>
    <row r="78" spans="3:5" x14ac:dyDescent="0.25">
      <c r="C78" s="77" t="s">
        <v>299</v>
      </c>
      <c r="D78" s="77" t="s">
        <v>300</v>
      </c>
      <c r="E78" s="107" t="s">
        <v>55</v>
      </c>
    </row>
    <row r="79" spans="3:5" x14ac:dyDescent="0.25">
      <c r="C79" s="77" t="s">
        <v>301</v>
      </c>
      <c r="D79" s="77" t="s">
        <v>302</v>
      </c>
      <c r="E79" s="107" t="s">
        <v>55</v>
      </c>
    </row>
    <row r="80" spans="3:5" x14ac:dyDescent="0.25">
      <c r="C80" s="77" t="s">
        <v>303</v>
      </c>
      <c r="D80" s="77" t="s">
        <v>304</v>
      </c>
      <c r="E80" s="107" t="s">
        <v>55</v>
      </c>
    </row>
    <row r="81" spans="3:5" x14ac:dyDescent="0.25">
      <c r="C81" s="77" t="s">
        <v>305</v>
      </c>
      <c r="D81" s="77" t="s">
        <v>306</v>
      </c>
      <c r="E81" s="107" t="s">
        <v>55</v>
      </c>
    </row>
    <row r="82" spans="3:5" x14ac:dyDescent="0.25">
      <c r="C82" s="77" t="s">
        <v>307</v>
      </c>
      <c r="D82" s="77" t="s">
        <v>308</v>
      </c>
      <c r="E82" s="107" t="s">
        <v>55</v>
      </c>
    </row>
    <row r="83" spans="3:5" x14ac:dyDescent="0.25">
      <c r="C83" s="77" t="s">
        <v>309</v>
      </c>
      <c r="D83" s="77" t="s">
        <v>310</v>
      </c>
      <c r="E83" s="107" t="s">
        <v>55</v>
      </c>
    </row>
    <row r="84" spans="3:5" x14ac:dyDescent="0.25">
      <c r="C84" s="77" t="s">
        <v>311</v>
      </c>
      <c r="D84" s="77" t="s">
        <v>312</v>
      </c>
      <c r="E84" s="107" t="s">
        <v>55</v>
      </c>
    </row>
    <row r="85" spans="3:5" x14ac:dyDescent="0.25">
      <c r="C85" s="77" t="s">
        <v>313</v>
      </c>
      <c r="D85" s="77" t="s">
        <v>314</v>
      </c>
      <c r="E85" s="107" t="s">
        <v>55</v>
      </c>
    </row>
    <row r="86" spans="3:5" x14ac:dyDescent="0.25">
      <c r="C86" s="77" t="s">
        <v>315</v>
      </c>
      <c r="D86" s="77" t="s">
        <v>316</v>
      </c>
      <c r="E86" s="107" t="s">
        <v>55</v>
      </c>
    </row>
    <row r="87" spans="3:5" x14ac:dyDescent="0.25">
      <c r="C87" s="77" t="s">
        <v>317</v>
      </c>
      <c r="D87" s="77" t="s">
        <v>318</v>
      </c>
      <c r="E87" s="107" t="s">
        <v>55</v>
      </c>
    </row>
    <row r="88" spans="3:5" x14ac:dyDescent="0.25">
      <c r="C88" s="77" t="s">
        <v>319</v>
      </c>
      <c r="D88" s="77" t="s">
        <v>320</v>
      </c>
      <c r="E88" s="107" t="s">
        <v>55</v>
      </c>
    </row>
    <row r="89" spans="3:5" x14ac:dyDescent="0.25">
      <c r="C89" s="77" t="s">
        <v>321</v>
      </c>
      <c r="D89" s="77" t="s">
        <v>322</v>
      </c>
      <c r="E89" s="107" t="s">
        <v>55</v>
      </c>
    </row>
    <row r="90" spans="3:5" x14ac:dyDescent="0.25">
      <c r="C90" s="77" t="s">
        <v>323</v>
      </c>
      <c r="D90" s="77" t="s">
        <v>324</v>
      </c>
      <c r="E90" s="107" t="s">
        <v>55</v>
      </c>
    </row>
    <row r="91" spans="3:5" x14ac:dyDescent="0.25">
      <c r="C91" s="77" t="s">
        <v>325</v>
      </c>
      <c r="D91" s="77" t="s">
        <v>326</v>
      </c>
      <c r="E91" s="107" t="s">
        <v>55</v>
      </c>
    </row>
    <row r="92" spans="3:5" x14ac:dyDescent="0.25">
      <c r="C92" s="77" t="s">
        <v>327</v>
      </c>
      <c r="D92" s="77" t="s">
        <v>328</v>
      </c>
      <c r="E92" s="107" t="s">
        <v>55</v>
      </c>
    </row>
    <row r="93" spans="3:5" x14ac:dyDescent="0.25">
      <c r="C93" s="77" t="s">
        <v>329</v>
      </c>
      <c r="D93" s="77" t="s">
        <v>330</v>
      </c>
      <c r="E93" s="107" t="s">
        <v>55</v>
      </c>
    </row>
    <row r="94" spans="3:5" x14ac:dyDescent="0.25">
      <c r="C94" s="77" t="s">
        <v>331</v>
      </c>
      <c r="D94" s="77" t="s">
        <v>332</v>
      </c>
      <c r="E94" s="107" t="s">
        <v>55</v>
      </c>
    </row>
    <row r="95" spans="3:5" x14ac:dyDescent="0.25">
      <c r="C95" s="77" t="s">
        <v>333</v>
      </c>
      <c r="D95" s="77" t="s">
        <v>334</v>
      </c>
      <c r="E95" s="107" t="s">
        <v>55</v>
      </c>
    </row>
    <row r="96" spans="3:5" x14ac:dyDescent="0.25">
      <c r="C96" s="77" t="s">
        <v>335</v>
      </c>
      <c r="D96" s="77" t="s">
        <v>336</v>
      </c>
      <c r="E96" s="107" t="s">
        <v>55</v>
      </c>
    </row>
    <row r="97" spans="3:5" x14ac:dyDescent="0.25">
      <c r="C97" s="77" t="s">
        <v>337</v>
      </c>
      <c r="D97" s="77" t="s">
        <v>338</v>
      </c>
      <c r="E97" s="107" t="s">
        <v>55</v>
      </c>
    </row>
    <row r="98" spans="3:5" x14ac:dyDescent="0.25">
      <c r="C98" s="77" t="s">
        <v>339</v>
      </c>
      <c r="D98" s="77" t="s">
        <v>340</v>
      </c>
      <c r="E98" s="107" t="s">
        <v>55</v>
      </c>
    </row>
    <row r="99" spans="3:5" x14ac:dyDescent="0.25">
      <c r="C99" s="77" t="s">
        <v>341</v>
      </c>
      <c r="D99" s="77" t="s">
        <v>342</v>
      </c>
      <c r="E99" s="107" t="s">
        <v>55</v>
      </c>
    </row>
    <row r="100" spans="3:5" x14ac:dyDescent="0.25">
      <c r="C100" s="77" t="s">
        <v>343</v>
      </c>
      <c r="D100" s="77" t="s">
        <v>344</v>
      </c>
      <c r="E100" s="107" t="s">
        <v>55</v>
      </c>
    </row>
    <row r="101" spans="3:5" x14ac:dyDescent="0.25">
      <c r="C101" s="77" t="s">
        <v>345</v>
      </c>
      <c r="D101" s="77" t="s">
        <v>346</v>
      </c>
      <c r="E101" s="107" t="s">
        <v>55</v>
      </c>
    </row>
    <row r="102" spans="3:5" x14ac:dyDescent="0.25">
      <c r="C102" s="77" t="s">
        <v>347</v>
      </c>
      <c r="D102" s="77" t="s">
        <v>348</v>
      </c>
      <c r="E102" s="107" t="s">
        <v>55</v>
      </c>
    </row>
    <row r="103" spans="3:5" x14ac:dyDescent="0.25">
      <c r="C103" s="77" t="s">
        <v>349</v>
      </c>
      <c r="D103" s="77" t="s">
        <v>350</v>
      </c>
      <c r="E103" s="107" t="s">
        <v>55</v>
      </c>
    </row>
    <row r="104" spans="3:5" x14ac:dyDescent="0.25">
      <c r="C104" s="77" t="s">
        <v>351</v>
      </c>
      <c r="D104" s="77" t="s">
        <v>352</v>
      </c>
      <c r="E104" s="107" t="s">
        <v>55</v>
      </c>
    </row>
    <row r="105" spans="3:5" x14ac:dyDescent="0.25">
      <c r="C105" s="77" t="s">
        <v>343</v>
      </c>
      <c r="D105" s="77" t="s">
        <v>353</v>
      </c>
      <c r="E105" s="107" t="s">
        <v>55</v>
      </c>
    </row>
    <row r="106" spans="3:5" x14ac:dyDescent="0.25">
      <c r="C106" s="77" t="s">
        <v>354</v>
      </c>
      <c r="D106" s="77" t="s">
        <v>355</v>
      </c>
      <c r="E106" s="107" t="s">
        <v>55</v>
      </c>
    </row>
    <row r="107" spans="3:5" x14ac:dyDescent="0.25">
      <c r="C107" s="77" t="s">
        <v>356</v>
      </c>
      <c r="D107" s="77" t="s">
        <v>357</v>
      </c>
      <c r="E107" s="107" t="s">
        <v>55</v>
      </c>
    </row>
    <row r="108" spans="3:5" x14ac:dyDescent="0.25">
      <c r="C108" s="77" t="s">
        <v>358</v>
      </c>
      <c r="D108" s="77" t="s">
        <v>359</v>
      </c>
      <c r="E108" s="107" t="s">
        <v>55</v>
      </c>
    </row>
    <row r="109" spans="3:5" x14ac:dyDescent="0.25">
      <c r="C109" s="77" t="s">
        <v>360</v>
      </c>
      <c r="D109" s="77" t="s">
        <v>361</v>
      </c>
      <c r="E109" s="107" t="s">
        <v>55</v>
      </c>
    </row>
    <row r="110" spans="3:5" x14ac:dyDescent="0.25">
      <c r="C110" s="77" t="s">
        <v>362</v>
      </c>
      <c r="D110" s="77" t="s">
        <v>363</v>
      </c>
      <c r="E110" s="107" t="s">
        <v>55</v>
      </c>
    </row>
    <row r="111" spans="3:5" x14ac:dyDescent="0.25">
      <c r="C111" s="77" t="s">
        <v>364</v>
      </c>
      <c r="D111" s="77" t="s">
        <v>365</v>
      </c>
      <c r="E111" s="107" t="s">
        <v>55</v>
      </c>
    </row>
    <row r="112" spans="3:5" x14ac:dyDescent="0.25">
      <c r="C112" s="77" t="s">
        <v>366</v>
      </c>
      <c r="D112" s="77" t="s">
        <v>367</v>
      </c>
      <c r="E112" s="107" t="s">
        <v>55</v>
      </c>
    </row>
    <row r="113" spans="3:5" x14ac:dyDescent="0.25">
      <c r="C113" s="77" t="s">
        <v>368</v>
      </c>
      <c r="D113" s="77" t="s">
        <v>369</v>
      </c>
      <c r="E113" s="107" t="s">
        <v>55</v>
      </c>
    </row>
    <row r="114" spans="3:5" x14ac:dyDescent="0.25">
      <c r="C114" s="77" t="s">
        <v>1161</v>
      </c>
      <c r="D114" s="77" t="s">
        <v>1162</v>
      </c>
      <c r="E114" s="107" t="s">
        <v>55</v>
      </c>
    </row>
    <row r="115" spans="3:5" x14ac:dyDescent="0.25">
      <c r="C115" s="77" t="s">
        <v>370</v>
      </c>
      <c r="D115" s="77" t="s">
        <v>371</v>
      </c>
      <c r="E115" s="107" t="s">
        <v>55</v>
      </c>
    </row>
    <row r="116" spans="3:5" x14ac:dyDescent="0.25">
      <c r="C116" s="77" t="s">
        <v>372</v>
      </c>
      <c r="D116" s="77" t="s">
        <v>373</v>
      </c>
      <c r="E116" s="107" t="s">
        <v>55</v>
      </c>
    </row>
    <row r="117" spans="3:5" x14ac:dyDescent="0.25">
      <c r="C117" s="77" t="s">
        <v>1163</v>
      </c>
      <c r="D117" s="77" t="s">
        <v>374</v>
      </c>
      <c r="E117" s="107" t="s">
        <v>55</v>
      </c>
    </row>
    <row r="118" spans="3:5" x14ac:dyDescent="0.25">
      <c r="C118" s="77" t="s">
        <v>375</v>
      </c>
      <c r="D118" s="77" t="s">
        <v>376</v>
      </c>
      <c r="E118" s="107" t="s">
        <v>55</v>
      </c>
    </row>
    <row r="119" spans="3:5" x14ac:dyDescent="0.25">
      <c r="C119" s="77" t="s">
        <v>377</v>
      </c>
      <c r="D119" s="77" t="s">
        <v>378</v>
      </c>
      <c r="E119" s="107" t="s">
        <v>55</v>
      </c>
    </row>
    <row r="120" spans="3:5" x14ac:dyDescent="0.25">
      <c r="C120" s="77" t="s">
        <v>379</v>
      </c>
      <c r="D120" s="77" t="s">
        <v>380</v>
      </c>
      <c r="E120" s="107" t="s">
        <v>55</v>
      </c>
    </row>
    <row r="121" spans="3:5" x14ac:dyDescent="0.25">
      <c r="C121" s="77" t="s">
        <v>381</v>
      </c>
      <c r="D121" s="77" t="s">
        <v>382</v>
      </c>
      <c r="E121" s="107" t="s">
        <v>55</v>
      </c>
    </row>
    <row r="122" spans="3:5" x14ac:dyDescent="0.25">
      <c r="C122" s="77" t="s">
        <v>383</v>
      </c>
      <c r="D122" s="77" t="s">
        <v>384</v>
      </c>
      <c r="E122" s="107" t="s">
        <v>55</v>
      </c>
    </row>
    <row r="123" spans="3:5" x14ac:dyDescent="0.25">
      <c r="C123" s="77" t="s">
        <v>385</v>
      </c>
      <c r="D123" s="77" t="s">
        <v>386</v>
      </c>
      <c r="E123" s="107" t="s">
        <v>55</v>
      </c>
    </row>
    <row r="124" spans="3:5" x14ac:dyDescent="0.25">
      <c r="C124" s="77" t="s">
        <v>387</v>
      </c>
      <c r="D124" s="77" t="s">
        <v>388</v>
      </c>
      <c r="E124" s="107" t="s">
        <v>55</v>
      </c>
    </row>
    <row r="125" spans="3:5" x14ac:dyDescent="0.25">
      <c r="C125" s="77" t="s">
        <v>389</v>
      </c>
      <c r="D125" s="77" t="s">
        <v>390</v>
      </c>
      <c r="E125" s="107" t="s">
        <v>55</v>
      </c>
    </row>
    <row r="126" spans="3:5" x14ac:dyDescent="0.25">
      <c r="C126" s="77" t="s">
        <v>391</v>
      </c>
      <c r="D126" s="77" t="s">
        <v>392</v>
      </c>
      <c r="E126" s="107" t="s">
        <v>55</v>
      </c>
    </row>
    <row r="127" spans="3:5" x14ac:dyDescent="0.25">
      <c r="C127" s="77" t="s">
        <v>393</v>
      </c>
      <c r="D127" s="77" t="s">
        <v>394</v>
      </c>
      <c r="E127" s="107" t="s">
        <v>55</v>
      </c>
    </row>
    <row r="128" spans="3:5" x14ac:dyDescent="0.25">
      <c r="C128" s="77" t="s">
        <v>395</v>
      </c>
      <c r="D128" s="77" t="s">
        <v>396</v>
      </c>
      <c r="E128" s="107" t="s">
        <v>55</v>
      </c>
    </row>
    <row r="129" spans="3:5" x14ac:dyDescent="0.25">
      <c r="C129" s="77" t="s">
        <v>397</v>
      </c>
      <c r="D129" s="77" t="s">
        <v>398</v>
      </c>
      <c r="E129" s="107" t="s">
        <v>55</v>
      </c>
    </row>
    <row r="130" spans="3:5" x14ac:dyDescent="0.25">
      <c r="C130" s="77" t="s">
        <v>399</v>
      </c>
      <c r="D130" s="77" t="s">
        <v>400</v>
      </c>
      <c r="E130" s="107" t="s">
        <v>55</v>
      </c>
    </row>
    <row r="131" spans="3:5" x14ac:dyDescent="0.25">
      <c r="C131" s="77" t="s">
        <v>401</v>
      </c>
      <c r="D131" s="77" t="s">
        <v>402</v>
      </c>
      <c r="E131" s="107" t="s">
        <v>55</v>
      </c>
    </row>
    <row r="132" spans="3:5" x14ac:dyDescent="0.25">
      <c r="C132" s="77" t="s">
        <v>403</v>
      </c>
      <c r="D132" s="77" t="s">
        <v>404</v>
      </c>
      <c r="E132" s="107" t="s">
        <v>55</v>
      </c>
    </row>
    <row r="133" spans="3:5" x14ac:dyDescent="0.25">
      <c r="C133" s="77" t="s">
        <v>405</v>
      </c>
      <c r="D133" s="77" t="s">
        <v>406</v>
      </c>
      <c r="E133" s="107" t="s">
        <v>55</v>
      </c>
    </row>
    <row r="134" spans="3:5" x14ac:dyDescent="0.25">
      <c r="C134" s="77" t="s">
        <v>407</v>
      </c>
      <c r="D134" s="77" t="s">
        <v>408</v>
      </c>
      <c r="E134" s="107" t="s">
        <v>55</v>
      </c>
    </row>
    <row r="135" spans="3:5" x14ac:dyDescent="0.25">
      <c r="C135" s="77" t="s">
        <v>409</v>
      </c>
      <c r="D135" s="77" t="s">
        <v>410</v>
      </c>
      <c r="E135" s="107" t="s">
        <v>55</v>
      </c>
    </row>
    <row r="136" spans="3:5" x14ac:dyDescent="0.25">
      <c r="C136" s="77" t="s">
        <v>411</v>
      </c>
      <c r="D136" s="77" t="s">
        <v>412</v>
      </c>
      <c r="E136" s="107" t="s">
        <v>55</v>
      </c>
    </row>
    <row r="137" spans="3:5" x14ac:dyDescent="0.25">
      <c r="C137" s="77" t="s">
        <v>413</v>
      </c>
      <c r="D137" s="77" t="s">
        <v>414</v>
      </c>
      <c r="E137" s="107" t="s">
        <v>55</v>
      </c>
    </row>
    <row r="138" spans="3:5" x14ac:dyDescent="0.25">
      <c r="C138" s="77" t="s">
        <v>415</v>
      </c>
      <c r="D138" s="77" t="s">
        <v>416</v>
      </c>
      <c r="E138" s="107" t="s">
        <v>55</v>
      </c>
    </row>
    <row r="139" spans="3:5" x14ac:dyDescent="0.25">
      <c r="C139" s="77" t="s">
        <v>417</v>
      </c>
      <c r="D139" s="77" t="s">
        <v>418</v>
      </c>
      <c r="E139" s="107" t="s">
        <v>55</v>
      </c>
    </row>
    <row r="140" spans="3:5" x14ac:dyDescent="0.25">
      <c r="C140" s="77" t="s">
        <v>419</v>
      </c>
      <c r="D140" s="77" t="s">
        <v>420</v>
      </c>
      <c r="E140" s="107" t="s">
        <v>55</v>
      </c>
    </row>
    <row r="141" spans="3:5" x14ac:dyDescent="0.25">
      <c r="C141" s="77" t="s">
        <v>421</v>
      </c>
      <c r="D141" s="77" t="s">
        <v>422</v>
      </c>
      <c r="E141" s="107" t="s">
        <v>55</v>
      </c>
    </row>
    <row r="142" spans="3:5" x14ac:dyDescent="0.25">
      <c r="C142" s="77" t="s">
        <v>419</v>
      </c>
      <c r="D142" s="77" t="s">
        <v>423</v>
      </c>
      <c r="E142" s="107" t="s">
        <v>55</v>
      </c>
    </row>
    <row r="143" spans="3:5" x14ac:dyDescent="0.25">
      <c r="C143" s="77" t="s">
        <v>424</v>
      </c>
      <c r="D143" s="77" t="s">
        <v>425</v>
      </c>
      <c r="E143" s="107" t="s">
        <v>55</v>
      </c>
    </row>
    <row r="144" spans="3:5" x14ac:dyDescent="0.25">
      <c r="C144" s="77" t="s">
        <v>426</v>
      </c>
      <c r="D144" s="77" t="s">
        <v>427</v>
      </c>
      <c r="E144" s="107" t="s">
        <v>55</v>
      </c>
    </row>
    <row r="145" spans="3:5" x14ac:dyDescent="0.25">
      <c r="C145" s="77" t="s">
        <v>428</v>
      </c>
      <c r="D145" s="77" t="s">
        <v>429</v>
      </c>
      <c r="E145" s="107" t="s">
        <v>55</v>
      </c>
    </row>
    <row r="146" spans="3:5" x14ac:dyDescent="0.25">
      <c r="C146" s="77" t="s">
        <v>430</v>
      </c>
      <c r="D146" s="77" t="s">
        <v>431</v>
      </c>
      <c r="E146" s="107" t="s">
        <v>55</v>
      </c>
    </row>
    <row r="147" spans="3:5" x14ac:dyDescent="0.25">
      <c r="C147" s="77" t="s">
        <v>432</v>
      </c>
      <c r="D147" s="77" t="s">
        <v>433</v>
      </c>
      <c r="E147" s="107" t="s">
        <v>55</v>
      </c>
    </row>
    <row r="148" spans="3:5" x14ac:dyDescent="0.25">
      <c r="C148" s="77" t="s">
        <v>434</v>
      </c>
      <c r="D148" s="77" t="s">
        <v>435</v>
      </c>
      <c r="E148" s="107" t="s">
        <v>55</v>
      </c>
    </row>
    <row r="149" spans="3:5" x14ac:dyDescent="0.25">
      <c r="C149" s="77" t="s">
        <v>436</v>
      </c>
      <c r="D149" s="77" t="s">
        <v>437</v>
      </c>
      <c r="E149" s="107" t="s">
        <v>55</v>
      </c>
    </row>
    <row r="150" spans="3:5" x14ac:dyDescent="0.25">
      <c r="C150" s="77" t="s">
        <v>1164</v>
      </c>
      <c r="D150" s="77" t="s">
        <v>1165</v>
      </c>
      <c r="E150" s="107" t="s">
        <v>55</v>
      </c>
    </row>
    <row r="151" spans="3:5" x14ac:dyDescent="0.25">
      <c r="C151" s="77" t="s">
        <v>438</v>
      </c>
      <c r="D151" s="77" t="s">
        <v>439</v>
      </c>
      <c r="E151" s="107" t="s">
        <v>55</v>
      </c>
    </row>
    <row r="152" spans="3:5" x14ac:dyDescent="0.25">
      <c r="C152" s="77" t="s">
        <v>440</v>
      </c>
      <c r="D152" s="77" t="s">
        <v>441</v>
      </c>
      <c r="E152" s="107" t="s">
        <v>55</v>
      </c>
    </row>
    <row r="153" spans="3:5" x14ac:dyDescent="0.25">
      <c r="C153" s="77" t="s">
        <v>1166</v>
      </c>
      <c r="D153" s="77" t="s">
        <v>442</v>
      </c>
      <c r="E153" s="107" t="s">
        <v>55</v>
      </c>
    </row>
    <row r="154" spans="3:5" x14ac:dyDescent="0.25">
      <c r="C154" s="77" t="s">
        <v>443</v>
      </c>
      <c r="D154" s="77" t="s">
        <v>444</v>
      </c>
      <c r="E154" s="107" t="s">
        <v>55</v>
      </c>
    </row>
    <row r="155" spans="3:5" x14ac:dyDescent="0.25">
      <c r="C155" s="77" t="s">
        <v>445</v>
      </c>
      <c r="D155" s="77" t="s">
        <v>446</v>
      </c>
      <c r="E155" s="107" t="s">
        <v>55</v>
      </c>
    </row>
    <row r="156" spans="3:5" x14ac:dyDescent="0.25">
      <c r="C156" s="77" t="s">
        <v>447</v>
      </c>
      <c r="D156" s="77" t="s">
        <v>448</v>
      </c>
      <c r="E156" s="107" t="s">
        <v>55</v>
      </c>
    </row>
    <row r="157" spans="3:5" x14ac:dyDescent="0.25">
      <c r="C157" s="77" t="s">
        <v>449</v>
      </c>
      <c r="D157" s="77" t="s">
        <v>450</v>
      </c>
      <c r="E157" s="107" t="s">
        <v>55</v>
      </c>
    </row>
    <row r="158" spans="3:5" x14ac:dyDescent="0.25">
      <c r="C158" s="77" t="s">
        <v>451</v>
      </c>
      <c r="D158" s="77" t="s">
        <v>452</v>
      </c>
      <c r="E158" s="107" t="s">
        <v>55</v>
      </c>
    </row>
    <row r="159" spans="3:5" x14ac:dyDescent="0.25">
      <c r="C159" s="77" t="s">
        <v>453</v>
      </c>
      <c r="D159" s="77" t="s">
        <v>454</v>
      </c>
      <c r="E159" s="107" t="s">
        <v>55</v>
      </c>
    </row>
    <row r="160" spans="3:5" x14ac:dyDescent="0.25">
      <c r="C160" s="77" t="s">
        <v>455</v>
      </c>
      <c r="D160" s="77" t="s">
        <v>456</v>
      </c>
      <c r="E160" s="107" t="s">
        <v>55</v>
      </c>
    </row>
    <row r="161" spans="3:5" x14ac:dyDescent="0.25">
      <c r="C161" s="77" t="s">
        <v>457</v>
      </c>
      <c r="D161" s="77" t="s">
        <v>458</v>
      </c>
      <c r="E161" s="107" t="s">
        <v>55</v>
      </c>
    </row>
    <row r="162" spans="3:5" x14ac:dyDescent="0.25">
      <c r="C162" s="77" t="s">
        <v>459</v>
      </c>
      <c r="D162" s="77" t="s">
        <v>460</v>
      </c>
      <c r="E162" s="107" t="s">
        <v>55</v>
      </c>
    </row>
    <row r="163" spans="3:5" x14ac:dyDescent="0.25">
      <c r="C163" s="77" t="s">
        <v>461</v>
      </c>
      <c r="D163" s="77" t="s">
        <v>462</v>
      </c>
      <c r="E163" s="107" t="s">
        <v>55</v>
      </c>
    </row>
    <row r="164" spans="3:5" x14ac:dyDescent="0.25">
      <c r="C164" s="77" t="s">
        <v>463</v>
      </c>
      <c r="D164" s="77" t="s">
        <v>464</v>
      </c>
      <c r="E164" s="107" t="s">
        <v>55</v>
      </c>
    </row>
    <row r="165" spans="3:5" x14ac:dyDescent="0.25">
      <c r="C165" s="77" t="s">
        <v>465</v>
      </c>
      <c r="D165" s="77" t="s">
        <v>466</v>
      </c>
      <c r="E165" s="107" t="s">
        <v>55</v>
      </c>
    </row>
    <row r="166" spans="3:5" x14ac:dyDescent="0.25">
      <c r="C166" s="77" t="s">
        <v>467</v>
      </c>
      <c r="D166" s="77" t="s">
        <v>468</v>
      </c>
      <c r="E166" s="107" t="s">
        <v>55</v>
      </c>
    </row>
    <row r="167" spans="3:5" x14ac:dyDescent="0.25">
      <c r="C167" s="77" t="s">
        <v>469</v>
      </c>
      <c r="D167" s="77" t="s">
        <v>470</v>
      </c>
      <c r="E167" s="107" t="s">
        <v>55</v>
      </c>
    </row>
    <row r="168" spans="3:5" x14ac:dyDescent="0.25">
      <c r="C168" s="77" t="s">
        <v>471</v>
      </c>
      <c r="D168" s="77" t="s">
        <v>472</v>
      </c>
      <c r="E168" s="107" t="s">
        <v>55</v>
      </c>
    </row>
    <row r="169" spans="3:5" x14ac:dyDescent="0.25">
      <c r="C169" s="77" t="s">
        <v>473</v>
      </c>
      <c r="D169" s="77" t="s">
        <v>474</v>
      </c>
      <c r="E169" s="107" t="s">
        <v>55</v>
      </c>
    </row>
    <row r="170" spans="3:5" x14ac:dyDescent="0.25">
      <c r="C170" s="77" t="s">
        <v>475</v>
      </c>
      <c r="D170" s="77" t="s">
        <v>476</v>
      </c>
      <c r="E170" s="107" t="s">
        <v>55</v>
      </c>
    </row>
    <row r="171" spans="3:5" x14ac:dyDescent="0.25">
      <c r="C171" s="77" t="s">
        <v>477</v>
      </c>
      <c r="D171" s="77" t="s">
        <v>478</v>
      </c>
      <c r="E171" s="107" t="s">
        <v>55</v>
      </c>
    </row>
    <row r="172" spans="3:5" x14ac:dyDescent="0.25">
      <c r="C172" s="77" t="s">
        <v>479</v>
      </c>
      <c r="D172" s="77" t="s">
        <v>480</v>
      </c>
      <c r="E172" s="107" t="s">
        <v>55</v>
      </c>
    </row>
    <row r="173" spans="3:5" x14ac:dyDescent="0.25">
      <c r="C173" s="77" t="s">
        <v>481</v>
      </c>
      <c r="D173" s="77" t="s">
        <v>482</v>
      </c>
      <c r="E173" s="107" t="s">
        <v>55</v>
      </c>
    </row>
    <row r="174" spans="3:5" x14ac:dyDescent="0.25">
      <c r="C174" s="77" t="s">
        <v>479</v>
      </c>
      <c r="D174" s="77" t="s">
        <v>483</v>
      </c>
      <c r="E174" s="107" t="s">
        <v>55</v>
      </c>
    </row>
    <row r="175" spans="3:5" x14ac:dyDescent="0.25">
      <c r="C175" s="77" t="s">
        <v>484</v>
      </c>
      <c r="D175" s="77" t="s">
        <v>485</v>
      </c>
      <c r="E175" s="107" t="s">
        <v>55</v>
      </c>
    </row>
    <row r="176" spans="3:5" x14ac:dyDescent="0.25">
      <c r="C176" s="77" t="s">
        <v>486</v>
      </c>
      <c r="D176" s="77" t="s">
        <v>487</v>
      </c>
      <c r="E176" s="107" t="s">
        <v>55</v>
      </c>
    </row>
    <row r="177" spans="3:5" x14ac:dyDescent="0.25">
      <c r="C177" s="77" t="s">
        <v>488</v>
      </c>
      <c r="D177" s="77" t="s">
        <v>489</v>
      </c>
      <c r="E177" s="107" t="s">
        <v>55</v>
      </c>
    </row>
    <row r="178" spans="3:5" x14ac:dyDescent="0.25">
      <c r="C178" s="77" t="s">
        <v>490</v>
      </c>
      <c r="D178" s="77" t="s">
        <v>491</v>
      </c>
      <c r="E178" s="107" t="s">
        <v>55</v>
      </c>
    </row>
    <row r="179" spans="3:5" x14ac:dyDescent="0.25">
      <c r="C179" s="77" t="s">
        <v>492</v>
      </c>
      <c r="D179" s="77" t="s">
        <v>493</v>
      </c>
      <c r="E179" s="107" t="s">
        <v>55</v>
      </c>
    </row>
    <row r="180" spans="3:5" x14ac:dyDescent="0.25">
      <c r="C180" s="77" t="s">
        <v>494</v>
      </c>
      <c r="D180" s="77" t="s">
        <v>495</v>
      </c>
      <c r="E180" s="107" t="s">
        <v>55</v>
      </c>
    </row>
    <row r="181" spans="3:5" x14ac:dyDescent="0.25">
      <c r="C181" s="77" t="s">
        <v>496</v>
      </c>
      <c r="D181" s="77" t="s">
        <v>497</v>
      </c>
      <c r="E181" s="107" t="s">
        <v>55</v>
      </c>
    </row>
    <row r="182" spans="3:5" x14ac:dyDescent="0.25">
      <c r="C182" s="77" t="s">
        <v>1167</v>
      </c>
      <c r="D182" s="77" t="s">
        <v>1168</v>
      </c>
      <c r="E182" s="107" t="s">
        <v>55</v>
      </c>
    </row>
    <row r="183" spans="3:5" x14ac:dyDescent="0.25">
      <c r="C183" s="77" t="s">
        <v>498</v>
      </c>
      <c r="D183" s="77" t="s">
        <v>499</v>
      </c>
      <c r="E183" s="107" t="s">
        <v>55</v>
      </c>
    </row>
    <row r="184" spans="3:5" x14ac:dyDescent="0.25">
      <c r="C184" s="77" t="s">
        <v>500</v>
      </c>
      <c r="D184" s="77" t="s">
        <v>501</v>
      </c>
      <c r="E184" s="107" t="s">
        <v>55</v>
      </c>
    </row>
    <row r="185" spans="3:5" x14ac:dyDescent="0.25">
      <c r="C185" s="77" t="s">
        <v>1169</v>
      </c>
      <c r="D185" s="77" t="s">
        <v>502</v>
      </c>
      <c r="E185" s="107" t="s">
        <v>55</v>
      </c>
    </row>
    <row r="186" spans="3:5" x14ac:dyDescent="0.25">
      <c r="C186" s="77" t="s">
        <v>503</v>
      </c>
      <c r="D186" s="77" t="s">
        <v>504</v>
      </c>
      <c r="E186" s="107" t="s">
        <v>55</v>
      </c>
    </row>
    <row r="187" spans="3:5" x14ac:dyDescent="0.25">
      <c r="C187" s="77" t="s">
        <v>505</v>
      </c>
      <c r="D187" s="77" t="s">
        <v>506</v>
      </c>
      <c r="E187" s="107" t="s">
        <v>55</v>
      </c>
    </row>
    <row r="188" spans="3:5" x14ac:dyDescent="0.25">
      <c r="C188" s="77" t="s">
        <v>507</v>
      </c>
      <c r="D188" s="77" t="s">
        <v>508</v>
      </c>
      <c r="E188" s="107" t="s">
        <v>55</v>
      </c>
    </row>
    <row r="189" spans="3:5" x14ac:dyDescent="0.25">
      <c r="C189" s="77" t="s">
        <v>509</v>
      </c>
      <c r="D189" s="77" t="s">
        <v>510</v>
      </c>
      <c r="E189" s="107" t="s">
        <v>55</v>
      </c>
    </row>
    <row r="190" spans="3:5" x14ac:dyDescent="0.25">
      <c r="C190" s="77" t="s">
        <v>511</v>
      </c>
      <c r="D190" s="77" t="s">
        <v>512</v>
      </c>
      <c r="E190" s="107" t="s">
        <v>55</v>
      </c>
    </row>
    <row r="191" spans="3:5" x14ac:dyDescent="0.25">
      <c r="C191" s="77" t="s">
        <v>513</v>
      </c>
      <c r="D191" s="77" t="s">
        <v>514</v>
      </c>
      <c r="E191" s="107" t="s">
        <v>55</v>
      </c>
    </row>
    <row r="192" spans="3:5" x14ac:dyDescent="0.25">
      <c r="C192" s="77" t="s">
        <v>515</v>
      </c>
      <c r="D192" s="77" t="s">
        <v>516</v>
      </c>
      <c r="E192" s="107" t="s">
        <v>55</v>
      </c>
    </row>
    <row r="193" spans="3:5" x14ac:dyDescent="0.25">
      <c r="C193" s="77" t="s">
        <v>517</v>
      </c>
      <c r="D193" s="77" t="s">
        <v>518</v>
      </c>
      <c r="E193" s="107" t="s">
        <v>55</v>
      </c>
    </row>
    <row r="194" spans="3:5" x14ac:dyDescent="0.25">
      <c r="C194" s="77" t="s">
        <v>519</v>
      </c>
      <c r="D194" s="77" t="s">
        <v>520</v>
      </c>
      <c r="E194" s="107" t="s">
        <v>55</v>
      </c>
    </row>
    <row r="195" spans="3:5" x14ac:dyDescent="0.25">
      <c r="C195" s="77" t="s">
        <v>521</v>
      </c>
      <c r="D195" s="77" t="s">
        <v>522</v>
      </c>
      <c r="E195" s="107" t="s">
        <v>55</v>
      </c>
    </row>
    <row r="196" spans="3:5" x14ac:dyDescent="0.25">
      <c r="C196" s="77" t="s">
        <v>523</v>
      </c>
      <c r="D196" s="77" t="s">
        <v>524</v>
      </c>
      <c r="E196" s="107" t="s">
        <v>55</v>
      </c>
    </row>
    <row r="197" spans="3:5" x14ac:dyDescent="0.25">
      <c r="C197" s="77" t="s">
        <v>525</v>
      </c>
      <c r="D197" s="77" t="s">
        <v>526</v>
      </c>
      <c r="E197" s="107" t="s">
        <v>55</v>
      </c>
    </row>
    <row r="198" spans="3:5" x14ac:dyDescent="0.25">
      <c r="C198" s="77" t="s">
        <v>527</v>
      </c>
      <c r="D198" s="77" t="s">
        <v>528</v>
      </c>
      <c r="E198" s="107" t="s">
        <v>55</v>
      </c>
    </row>
    <row r="199" spans="3:5" x14ac:dyDescent="0.25">
      <c r="C199" s="77" t="s">
        <v>529</v>
      </c>
      <c r="D199" s="77" t="s">
        <v>530</v>
      </c>
      <c r="E199" s="107" t="s">
        <v>55</v>
      </c>
    </row>
    <row r="200" spans="3:5" x14ac:dyDescent="0.25">
      <c r="C200" s="77" t="s">
        <v>531</v>
      </c>
      <c r="D200" s="77" t="s">
        <v>532</v>
      </c>
      <c r="E200" s="107" t="s">
        <v>55</v>
      </c>
    </row>
    <row r="201" spans="3:5" x14ac:dyDescent="0.25">
      <c r="C201" s="77" t="s">
        <v>533</v>
      </c>
      <c r="D201" s="77" t="s">
        <v>534</v>
      </c>
      <c r="E201" s="107" t="s">
        <v>55</v>
      </c>
    </row>
    <row r="202" spans="3:5" x14ac:dyDescent="0.25">
      <c r="C202" s="77" t="s">
        <v>535</v>
      </c>
      <c r="D202" s="77" t="s">
        <v>536</v>
      </c>
      <c r="E202" s="107" t="s">
        <v>55</v>
      </c>
    </row>
    <row r="203" spans="3:5" x14ac:dyDescent="0.25">
      <c r="C203" s="77" t="s">
        <v>537</v>
      </c>
      <c r="D203" s="77" t="s">
        <v>538</v>
      </c>
      <c r="E203" s="107" t="s">
        <v>55</v>
      </c>
    </row>
    <row r="204" spans="3:5" x14ac:dyDescent="0.25">
      <c r="C204" s="77" t="s">
        <v>539</v>
      </c>
      <c r="D204" s="77" t="s">
        <v>540</v>
      </c>
      <c r="E204" s="107" t="s">
        <v>55</v>
      </c>
    </row>
    <row r="205" spans="3:5" x14ac:dyDescent="0.25">
      <c r="C205" s="77" t="s">
        <v>541</v>
      </c>
      <c r="D205" s="77" t="s">
        <v>542</v>
      </c>
      <c r="E205" s="107" t="s">
        <v>55</v>
      </c>
    </row>
    <row r="206" spans="3:5" x14ac:dyDescent="0.25">
      <c r="C206" s="77" t="s">
        <v>539</v>
      </c>
      <c r="D206" s="77" t="s">
        <v>543</v>
      </c>
      <c r="E206" s="107" t="s">
        <v>55</v>
      </c>
    </row>
    <row r="207" spans="3:5" x14ac:dyDescent="0.25">
      <c r="C207" s="77" t="s">
        <v>544</v>
      </c>
      <c r="D207" s="77" t="s">
        <v>545</v>
      </c>
      <c r="E207" s="107" t="s">
        <v>55</v>
      </c>
    </row>
    <row r="208" spans="3:5" x14ac:dyDescent="0.25">
      <c r="C208" s="77" t="s">
        <v>546</v>
      </c>
      <c r="D208" s="77" t="s">
        <v>547</v>
      </c>
      <c r="E208" s="107" t="s">
        <v>55</v>
      </c>
    </row>
    <row r="209" spans="3:5" x14ac:dyDescent="0.25">
      <c r="C209" s="77" t="s">
        <v>548</v>
      </c>
      <c r="D209" s="77" t="s">
        <v>549</v>
      </c>
      <c r="E209" s="107" t="s">
        <v>55</v>
      </c>
    </row>
    <row r="210" spans="3:5" x14ac:dyDescent="0.25">
      <c r="C210" s="77" t="s">
        <v>550</v>
      </c>
      <c r="D210" s="77" t="s">
        <v>551</v>
      </c>
      <c r="E210" s="107" t="s">
        <v>55</v>
      </c>
    </row>
    <row r="211" spans="3:5" x14ac:dyDescent="0.25">
      <c r="C211" s="77" t="s">
        <v>552</v>
      </c>
      <c r="D211" s="77" t="s">
        <v>553</v>
      </c>
      <c r="E211" s="107" t="s">
        <v>55</v>
      </c>
    </row>
    <row r="212" spans="3:5" x14ac:dyDescent="0.25">
      <c r="C212" s="77" t="s">
        <v>554</v>
      </c>
      <c r="D212" s="77" t="s">
        <v>555</v>
      </c>
      <c r="E212" s="107" t="s">
        <v>55</v>
      </c>
    </row>
    <row r="213" spans="3:5" x14ac:dyDescent="0.25">
      <c r="C213" s="77" t="s">
        <v>556</v>
      </c>
      <c r="D213" s="77" t="s">
        <v>557</v>
      </c>
      <c r="E213" s="107" t="s">
        <v>55</v>
      </c>
    </row>
    <row r="214" spans="3:5" x14ac:dyDescent="0.25">
      <c r="C214" s="77" t="s">
        <v>1170</v>
      </c>
      <c r="D214" s="77" t="s">
        <v>1171</v>
      </c>
      <c r="E214" s="107" t="s">
        <v>55</v>
      </c>
    </row>
    <row r="215" spans="3:5" x14ac:dyDescent="0.25">
      <c r="C215" s="77" t="s">
        <v>558</v>
      </c>
      <c r="D215" s="77" t="s">
        <v>559</v>
      </c>
      <c r="E215" s="107" t="s">
        <v>55</v>
      </c>
    </row>
    <row r="216" spans="3:5" x14ac:dyDescent="0.25">
      <c r="C216" s="77" t="s">
        <v>560</v>
      </c>
      <c r="D216" s="77" t="s">
        <v>561</v>
      </c>
      <c r="E216" s="107" t="s">
        <v>55</v>
      </c>
    </row>
    <row r="217" spans="3:5" x14ac:dyDescent="0.25">
      <c r="C217" s="77" t="s">
        <v>1172</v>
      </c>
      <c r="D217" s="77" t="s">
        <v>562</v>
      </c>
      <c r="E217" s="107" t="s">
        <v>55</v>
      </c>
    </row>
    <row r="218" spans="3:5" x14ac:dyDescent="0.25">
      <c r="C218" s="77" t="s">
        <v>563</v>
      </c>
      <c r="D218" s="77" t="s">
        <v>564</v>
      </c>
      <c r="E218" s="107" t="s">
        <v>55</v>
      </c>
    </row>
    <row r="219" spans="3:5" x14ac:dyDescent="0.25">
      <c r="C219" s="77" t="s">
        <v>565</v>
      </c>
      <c r="D219" s="77" t="s">
        <v>566</v>
      </c>
      <c r="E219" s="107" t="s">
        <v>55</v>
      </c>
    </row>
    <row r="220" spans="3:5" x14ac:dyDescent="0.25">
      <c r="C220" s="77" t="s">
        <v>567</v>
      </c>
      <c r="D220" s="77" t="s">
        <v>568</v>
      </c>
      <c r="E220" s="107" t="s">
        <v>55</v>
      </c>
    </row>
    <row r="221" spans="3:5" x14ac:dyDescent="0.25">
      <c r="C221" s="77" t="s">
        <v>569</v>
      </c>
      <c r="D221" s="77" t="s">
        <v>570</v>
      </c>
      <c r="E221" s="107" t="s">
        <v>55</v>
      </c>
    </row>
    <row r="222" spans="3:5" x14ac:dyDescent="0.25">
      <c r="C222" s="77" t="s">
        <v>571</v>
      </c>
      <c r="D222" s="77" t="s">
        <v>572</v>
      </c>
      <c r="E222" s="107" t="s">
        <v>55</v>
      </c>
    </row>
    <row r="223" spans="3:5" x14ac:dyDescent="0.25">
      <c r="C223" s="77" t="s">
        <v>573</v>
      </c>
      <c r="D223" s="77" t="s">
        <v>574</v>
      </c>
      <c r="E223" s="107" t="s">
        <v>55</v>
      </c>
    </row>
    <row r="224" spans="3:5" x14ac:dyDescent="0.25">
      <c r="C224" s="77" t="s">
        <v>575</v>
      </c>
      <c r="D224" s="77" t="s">
        <v>576</v>
      </c>
      <c r="E224" s="107" t="s">
        <v>55</v>
      </c>
    </row>
    <row r="225" spans="3:5" x14ac:dyDescent="0.25">
      <c r="C225" s="77" t="s">
        <v>577</v>
      </c>
      <c r="D225" s="77" t="s">
        <v>578</v>
      </c>
      <c r="E225" s="107" t="s">
        <v>55</v>
      </c>
    </row>
    <row r="226" spans="3:5" x14ac:dyDescent="0.25">
      <c r="C226" s="77" t="s">
        <v>579</v>
      </c>
      <c r="D226" s="77" t="s">
        <v>580</v>
      </c>
      <c r="E226" s="107" t="s">
        <v>55</v>
      </c>
    </row>
    <row r="227" spans="3:5" x14ac:dyDescent="0.25">
      <c r="C227" s="77" t="s">
        <v>581</v>
      </c>
      <c r="D227" s="77" t="s">
        <v>582</v>
      </c>
      <c r="E227" s="107" t="s">
        <v>55</v>
      </c>
    </row>
    <row r="228" spans="3:5" x14ac:dyDescent="0.25">
      <c r="C228" s="77" t="s">
        <v>583</v>
      </c>
      <c r="D228" s="77" t="s">
        <v>584</v>
      </c>
      <c r="E228" s="107" t="s">
        <v>55</v>
      </c>
    </row>
    <row r="229" spans="3:5" x14ac:dyDescent="0.25">
      <c r="C229" s="77" t="s">
        <v>585</v>
      </c>
      <c r="D229" s="77" t="s">
        <v>586</v>
      </c>
      <c r="E229" s="107" t="s">
        <v>55</v>
      </c>
    </row>
    <row r="230" spans="3:5" x14ac:dyDescent="0.25">
      <c r="C230" s="77" t="s">
        <v>587</v>
      </c>
      <c r="D230" s="77" t="s">
        <v>588</v>
      </c>
      <c r="E230" s="107" t="s">
        <v>55</v>
      </c>
    </row>
    <row r="231" spans="3:5" x14ac:dyDescent="0.25">
      <c r="C231" s="77" t="s">
        <v>589</v>
      </c>
      <c r="D231" s="77" t="s">
        <v>590</v>
      </c>
      <c r="E231" s="107" t="s">
        <v>55</v>
      </c>
    </row>
    <row r="232" spans="3:5" x14ac:dyDescent="0.25">
      <c r="C232" s="77" t="s">
        <v>591</v>
      </c>
      <c r="D232" s="77" t="s">
        <v>592</v>
      </c>
      <c r="E232" s="107" t="s">
        <v>55</v>
      </c>
    </row>
    <row r="233" spans="3:5" x14ac:dyDescent="0.25">
      <c r="C233" s="77" t="s">
        <v>593</v>
      </c>
      <c r="D233" s="77" t="s">
        <v>594</v>
      </c>
      <c r="E233" s="107" t="s">
        <v>55</v>
      </c>
    </row>
    <row r="234" spans="3:5" x14ac:dyDescent="0.25">
      <c r="C234" s="77" t="s">
        <v>595</v>
      </c>
      <c r="D234" s="77" t="s">
        <v>596</v>
      </c>
      <c r="E234" s="107" t="s">
        <v>55</v>
      </c>
    </row>
    <row r="235" spans="3:5" x14ac:dyDescent="0.25">
      <c r="C235" s="77" t="s">
        <v>597</v>
      </c>
      <c r="D235" s="77" t="s">
        <v>598</v>
      </c>
      <c r="E235" s="107" t="s">
        <v>55</v>
      </c>
    </row>
    <row r="236" spans="3:5" x14ac:dyDescent="0.25">
      <c r="C236" s="77" t="s">
        <v>599</v>
      </c>
      <c r="D236" s="77" t="s">
        <v>600</v>
      </c>
      <c r="E236" s="107" t="s">
        <v>55</v>
      </c>
    </row>
    <row r="237" spans="3:5" x14ac:dyDescent="0.25">
      <c r="C237" s="77" t="s">
        <v>601</v>
      </c>
      <c r="D237" s="77" t="s">
        <v>602</v>
      </c>
      <c r="E237" s="107" t="s">
        <v>55</v>
      </c>
    </row>
    <row r="238" spans="3:5" x14ac:dyDescent="0.25">
      <c r="C238" s="77" t="s">
        <v>599</v>
      </c>
      <c r="D238" s="77" t="s">
        <v>603</v>
      </c>
      <c r="E238" s="107" t="s">
        <v>55</v>
      </c>
    </row>
    <row r="239" spans="3:5" x14ac:dyDescent="0.25">
      <c r="C239" s="77" t="s">
        <v>604</v>
      </c>
      <c r="D239" s="77" t="s">
        <v>605</v>
      </c>
      <c r="E239" s="107" t="s">
        <v>55</v>
      </c>
    </row>
    <row r="240" spans="3:5" x14ac:dyDescent="0.25">
      <c r="C240" s="77" t="s">
        <v>606</v>
      </c>
      <c r="D240" s="77" t="s">
        <v>607</v>
      </c>
      <c r="E240" s="107" t="s">
        <v>55</v>
      </c>
    </row>
    <row r="241" spans="3:5" x14ac:dyDescent="0.25">
      <c r="C241" s="77" t="s">
        <v>608</v>
      </c>
      <c r="D241" s="77" t="s">
        <v>609</v>
      </c>
      <c r="E241" s="107" t="s">
        <v>55</v>
      </c>
    </row>
    <row r="242" spans="3:5" x14ac:dyDescent="0.25">
      <c r="C242" s="77" t="s">
        <v>610</v>
      </c>
      <c r="D242" s="77" t="s">
        <v>611</v>
      </c>
      <c r="E242" s="107" t="s">
        <v>55</v>
      </c>
    </row>
    <row r="243" spans="3:5" x14ac:dyDescent="0.25">
      <c r="C243" s="77" t="s">
        <v>612</v>
      </c>
      <c r="D243" s="77" t="s">
        <v>613</v>
      </c>
      <c r="E243" s="107" t="s">
        <v>55</v>
      </c>
    </row>
    <row r="244" spans="3:5" x14ac:dyDescent="0.25">
      <c r="C244" s="77" t="s">
        <v>614</v>
      </c>
      <c r="D244" s="77" t="s">
        <v>615</v>
      </c>
      <c r="E244" s="107" t="s">
        <v>55</v>
      </c>
    </row>
    <row r="245" spans="3:5" x14ac:dyDescent="0.25">
      <c r="C245" s="77" t="s">
        <v>616</v>
      </c>
      <c r="D245" s="77" t="s">
        <v>617</v>
      </c>
      <c r="E245" s="107" t="s">
        <v>55</v>
      </c>
    </row>
    <row r="246" spans="3:5" x14ac:dyDescent="0.25">
      <c r="C246" s="77" t="s">
        <v>618</v>
      </c>
      <c r="D246" s="77" t="s">
        <v>619</v>
      </c>
      <c r="E246" s="107" t="s">
        <v>55</v>
      </c>
    </row>
    <row r="247" spans="3:5" x14ac:dyDescent="0.25">
      <c r="C247" s="77" t="s">
        <v>620</v>
      </c>
      <c r="D247" s="77" t="s">
        <v>621</v>
      </c>
      <c r="E247" s="107" t="s">
        <v>55</v>
      </c>
    </row>
    <row r="248" spans="3:5" x14ac:dyDescent="0.25">
      <c r="C248" s="77" t="s">
        <v>622</v>
      </c>
      <c r="D248" s="77" t="s">
        <v>623</v>
      </c>
      <c r="E248" s="107" t="s">
        <v>55</v>
      </c>
    </row>
    <row r="249" spans="3:5" x14ac:dyDescent="0.25">
      <c r="C249" s="77" t="s">
        <v>624</v>
      </c>
      <c r="D249" s="77" t="s">
        <v>625</v>
      </c>
      <c r="E249" s="107" t="s">
        <v>55</v>
      </c>
    </row>
    <row r="250" spans="3:5" x14ac:dyDescent="0.25">
      <c r="C250" s="77" t="s">
        <v>626</v>
      </c>
      <c r="D250" s="77" t="s">
        <v>627</v>
      </c>
      <c r="E250" s="107" t="s">
        <v>55</v>
      </c>
    </row>
    <row r="251" spans="3:5" x14ac:dyDescent="0.25">
      <c r="C251" s="77" t="s">
        <v>628</v>
      </c>
      <c r="D251" s="77" t="s">
        <v>629</v>
      </c>
      <c r="E251" s="107" t="s">
        <v>55</v>
      </c>
    </row>
    <row r="252" spans="3:5" x14ac:dyDescent="0.25">
      <c r="C252" s="77" t="s">
        <v>630</v>
      </c>
      <c r="D252" s="77" t="s">
        <v>631</v>
      </c>
      <c r="E252" s="107" t="s">
        <v>55</v>
      </c>
    </row>
    <row r="253" spans="3:5" x14ac:dyDescent="0.25">
      <c r="C253" s="77" t="s">
        <v>632</v>
      </c>
      <c r="D253" s="77" t="s">
        <v>633</v>
      </c>
      <c r="E253" s="107" t="s">
        <v>55</v>
      </c>
    </row>
    <row r="254" spans="3:5" x14ac:dyDescent="0.25">
      <c r="C254" s="77" t="s">
        <v>634</v>
      </c>
      <c r="D254" s="77" t="s">
        <v>635</v>
      </c>
      <c r="E254" s="107" t="s">
        <v>55</v>
      </c>
    </row>
    <row r="255" spans="3:5" x14ac:dyDescent="0.25">
      <c r="C255" s="77" t="s">
        <v>636</v>
      </c>
      <c r="D255" s="77" t="s">
        <v>637</v>
      </c>
      <c r="E255" s="107" t="s">
        <v>55</v>
      </c>
    </row>
    <row r="256" spans="3:5" x14ac:dyDescent="0.25">
      <c r="C256" s="77" t="s">
        <v>638</v>
      </c>
      <c r="D256" s="77" t="s">
        <v>639</v>
      </c>
      <c r="E256" s="107" t="s">
        <v>55</v>
      </c>
    </row>
    <row r="257" spans="3:5" x14ac:dyDescent="0.25">
      <c r="C257" s="77" t="s">
        <v>640</v>
      </c>
      <c r="D257" s="77" t="s">
        <v>641</v>
      </c>
      <c r="E257" s="107" t="s">
        <v>55</v>
      </c>
    </row>
    <row r="258" spans="3:5" x14ac:dyDescent="0.25">
      <c r="C258" s="77" t="s">
        <v>638</v>
      </c>
      <c r="D258" s="77" t="s">
        <v>642</v>
      </c>
      <c r="E258" s="107" t="s">
        <v>55</v>
      </c>
    </row>
    <row r="259" spans="3:5" x14ac:dyDescent="0.25">
      <c r="C259" s="77" t="s">
        <v>643</v>
      </c>
      <c r="D259" s="77" t="s">
        <v>644</v>
      </c>
      <c r="E259" s="107" t="s">
        <v>55</v>
      </c>
    </row>
    <row r="260" spans="3:5" x14ac:dyDescent="0.25">
      <c r="C260" s="77" t="s">
        <v>1173</v>
      </c>
      <c r="D260" s="77" t="s">
        <v>1174</v>
      </c>
      <c r="E260" s="107" t="s">
        <v>55</v>
      </c>
    </row>
    <row r="261" spans="3:5" x14ac:dyDescent="0.25">
      <c r="C261" s="77" t="s">
        <v>645</v>
      </c>
      <c r="D261" s="77" t="s">
        <v>646</v>
      </c>
      <c r="E261" s="107" t="s">
        <v>55</v>
      </c>
    </row>
    <row r="262" spans="3:5" x14ac:dyDescent="0.25">
      <c r="C262" s="77" t="s">
        <v>647</v>
      </c>
      <c r="D262" s="77" t="s">
        <v>648</v>
      </c>
      <c r="E262" s="107" t="s">
        <v>55</v>
      </c>
    </row>
    <row r="263" spans="3:5" x14ac:dyDescent="0.25">
      <c r="C263" s="77" t="s">
        <v>1175</v>
      </c>
      <c r="D263" s="77" t="s">
        <v>649</v>
      </c>
      <c r="E263" s="107" t="s">
        <v>55</v>
      </c>
    </row>
    <row r="264" spans="3:5" x14ac:dyDescent="0.25">
      <c r="C264" s="77" t="s">
        <v>650</v>
      </c>
      <c r="D264" s="77" t="s">
        <v>651</v>
      </c>
      <c r="E264" s="107" t="s">
        <v>55</v>
      </c>
    </row>
    <row r="265" spans="3:5" x14ac:dyDescent="0.25">
      <c r="C265" s="77" t="s">
        <v>652</v>
      </c>
      <c r="D265" s="77" t="s">
        <v>653</v>
      </c>
      <c r="E265" s="107" t="s">
        <v>55</v>
      </c>
    </row>
    <row r="266" spans="3:5" x14ac:dyDescent="0.25">
      <c r="C266" s="77" t="s">
        <v>654</v>
      </c>
      <c r="D266" s="77" t="s">
        <v>655</v>
      </c>
      <c r="E266" s="107" t="s">
        <v>55</v>
      </c>
    </row>
    <row r="267" spans="3:5" x14ac:dyDescent="0.25">
      <c r="C267" s="77" t="s">
        <v>656</v>
      </c>
      <c r="D267" s="77" t="s">
        <v>657</v>
      </c>
      <c r="E267" s="107" t="s">
        <v>55</v>
      </c>
    </row>
    <row r="268" spans="3:5" x14ac:dyDescent="0.25">
      <c r="C268" s="77" t="s">
        <v>658</v>
      </c>
      <c r="D268" s="77" t="s">
        <v>659</v>
      </c>
      <c r="E268" s="107" t="s">
        <v>55</v>
      </c>
    </row>
    <row r="269" spans="3:5" x14ac:dyDescent="0.25">
      <c r="C269" s="77" t="s">
        <v>660</v>
      </c>
      <c r="D269" s="77" t="s">
        <v>661</v>
      </c>
      <c r="E269" s="107" t="s">
        <v>55</v>
      </c>
    </row>
    <row r="270" spans="3:5" x14ac:dyDescent="0.25">
      <c r="C270" s="77" t="s">
        <v>662</v>
      </c>
      <c r="D270" s="77" t="s">
        <v>663</v>
      </c>
      <c r="E270" s="107" t="s">
        <v>55</v>
      </c>
    </row>
    <row r="271" spans="3:5" x14ac:dyDescent="0.25">
      <c r="C271" s="77" t="s">
        <v>664</v>
      </c>
      <c r="D271" s="77" t="s">
        <v>665</v>
      </c>
      <c r="E271" s="107" t="s">
        <v>55</v>
      </c>
    </row>
    <row r="272" spans="3:5" x14ac:dyDescent="0.25">
      <c r="C272" s="77" t="s">
        <v>666</v>
      </c>
      <c r="D272" s="77" t="s">
        <v>667</v>
      </c>
      <c r="E272" s="107" t="s">
        <v>55</v>
      </c>
    </row>
    <row r="273" spans="3:5" x14ac:dyDescent="0.25">
      <c r="C273" s="77" t="s">
        <v>668</v>
      </c>
      <c r="D273" s="77" t="s">
        <v>669</v>
      </c>
      <c r="E273" s="107" t="s">
        <v>55</v>
      </c>
    </row>
    <row r="274" spans="3:5" x14ac:dyDescent="0.25">
      <c r="C274" s="77" t="s">
        <v>670</v>
      </c>
      <c r="D274" s="77" t="s">
        <v>671</v>
      </c>
      <c r="E274" s="107" t="s">
        <v>55</v>
      </c>
    </row>
    <row r="275" spans="3:5" x14ac:dyDescent="0.25">
      <c r="C275" s="77" t="s">
        <v>672</v>
      </c>
      <c r="D275" s="77" t="s">
        <v>673</v>
      </c>
      <c r="E275" s="107" t="s">
        <v>55</v>
      </c>
    </row>
    <row r="276" spans="3:5" x14ac:dyDescent="0.25">
      <c r="C276" s="77" t="s">
        <v>674</v>
      </c>
      <c r="D276" s="77" t="s">
        <v>675</v>
      </c>
      <c r="E276" s="107" t="s">
        <v>55</v>
      </c>
    </row>
    <row r="277" spans="3:5" x14ac:dyDescent="0.25">
      <c r="C277" s="77" t="s">
        <v>676</v>
      </c>
      <c r="D277" s="77" t="s">
        <v>677</v>
      </c>
      <c r="E277" s="107" t="s">
        <v>55</v>
      </c>
    </row>
    <row r="278" spans="3:5" x14ac:dyDescent="0.25">
      <c r="C278" s="77" t="s">
        <v>678</v>
      </c>
      <c r="D278" s="77" t="s">
        <v>679</v>
      </c>
      <c r="E278" s="107" t="s">
        <v>55</v>
      </c>
    </row>
    <row r="279" spans="3:5" x14ac:dyDescent="0.25">
      <c r="C279" s="77" t="s">
        <v>680</v>
      </c>
      <c r="D279" s="77" t="s">
        <v>681</v>
      </c>
      <c r="E279" s="107" t="s">
        <v>55</v>
      </c>
    </row>
    <row r="280" spans="3:5" x14ac:dyDescent="0.25">
      <c r="C280" s="77" t="s">
        <v>682</v>
      </c>
      <c r="D280" s="77" t="s">
        <v>683</v>
      </c>
      <c r="E280" s="107" t="s">
        <v>55</v>
      </c>
    </row>
    <row r="281" spans="3:5" x14ac:dyDescent="0.25">
      <c r="C281" s="77" t="s">
        <v>684</v>
      </c>
      <c r="D281" s="77" t="s">
        <v>685</v>
      </c>
      <c r="E281" s="107" t="s">
        <v>55</v>
      </c>
    </row>
    <row r="282" spans="3:5" x14ac:dyDescent="0.25">
      <c r="C282" s="77" t="s">
        <v>686</v>
      </c>
      <c r="D282" s="77" t="s">
        <v>687</v>
      </c>
      <c r="E282" s="107" t="s">
        <v>55</v>
      </c>
    </row>
    <row r="283" spans="3:5" x14ac:dyDescent="0.25">
      <c r="C283" s="77" t="s">
        <v>688</v>
      </c>
      <c r="D283" s="77" t="s">
        <v>689</v>
      </c>
      <c r="E283" s="107" t="s">
        <v>55</v>
      </c>
    </row>
    <row r="284" spans="3:5" x14ac:dyDescent="0.25">
      <c r="C284" s="77" t="s">
        <v>690</v>
      </c>
      <c r="D284" s="77" t="s">
        <v>691</v>
      </c>
      <c r="E284" s="107" t="s">
        <v>55</v>
      </c>
    </row>
    <row r="285" spans="3:5" x14ac:dyDescent="0.25">
      <c r="C285" s="77" t="s">
        <v>692</v>
      </c>
      <c r="D285" s="77" t="s">
        <v>693</v>
      </c>
      <c r="E285" s="107" t="s">
        <v>55</v>
      </c>
    </row>
    <row r="286" spans="3:5" x14ac:dyDescent="0.25">
      <c r="C286" s="77" t="s">
        <v>694</v>
      </c>
      <c r="D286" s="77" t="s">
        <v>695</v>
      </c>
      <c r="E286" s="107" t="s">
        <v>55</v>
      </c>
    </row>
    <row r="287" spans="3:5" x14ac:dyDescent="0.25">
      <c r="C287" s="77" t="s">
        <v>696</v>
      </c>
      <c r="D287" s="77" t="s">
        <v>697</v>
      </c>
      <c r="E287" s="107" t="s">
        <v>55</v>
      </c>
    </row>
    <row r="288" spans="3:5" x14ac:dyDescent="0.25">
      <c r="C288" s="77" t="s">
        <v>698</v>
      </c>
      <c r="D288" s="77" t="s">
        <v>699</v>
      </c>
      <c r="E288" s="107" t="s">
        <v>55</v>
      </c>
    </row>
    <row r="289" spans="3:5" x14ac:dyDescent="0.25">
      <c r="C289" s="77" t="s">
        <v>696</v>
      </c>
      <c r="D289" s="77" t="s">
        <v>700</v>
      </c>
      <c r="E289" s="107" t="s">
        <v>55</v>
      </c>
    </row>
    <row r="290" spans="3:5" x14ac:dyDescent="0.25">
      <c r="C290" s="77" t="s">
        <v>701</v>
      </c>
      <c r="D290" s="77" t="s">
        <v>702</v>
      </c>
      <c r="E290" s="107" t="s">
        <v>55</v>
      </c>
    </row>
    <row r="291" spans="3:5" x14ac:dyDescent="0.25">
      <c r="C291" s="77" t="s">
        <v>703</v>
      </c>
      <c r="D291" s="77" t="s">
        <v>704</v>
      </c>
      <c r="E291" s="107" t="s">
        <v>55</v>
      </c>
    </row>
    <row r="292" spans="3:5" x14ac:dyDescent="0.25">
      <c r="C292" s="77" t="s">
        <v>705</v>
      </c>
      <c r="D292" s="77" t="s">
        <v>706</v>
      </c>
      <c r="E292" s="107" t="s">
        <v>55</v>
      </c>
    </row>
    <row r="293" spans="3:5" x14ac:dyDescent="0.25">
      <c r="C293" s="77" t="s">
        <v>707</v>
      </c>
      <c r="D293" s="77" t="s">
        <v>708</v>
      </c>
      <c r="E293" s="107" t="s">
        <v>55</v>
      </c>
    </row>
    <row r="294" spans="3:5" x14ac:dyDescent="0.25">
      <c r="C294" s="77" t="s">
        <v>709</v>
      </c>
      <c r="D294" s="77" t="s">
        <v>710</v>
      </c>
      <c r="E294" s="107" t="s">
        <v>55</v>
      </c>
    </row>
    <row r="295" spans="3:5" x14ac:dyDescent="0.25">
      <c r="C295" s="77" t="s">
        <v>711</v>
      </c>
      <c r="D295" s="77" t="s">
        <v>712</v>
      </c>
      <c r="E295" s="107" t="s">
        <v>55</v>
      </c>
    </row>
    <row r="296" spans="3:5" x14ac:dyDescent="0.25">
      <c r="C296" s="77" t="s">
        <v>713</v>
      </c>
      <c r="D296" s="77" t="s">
        <v>714</v>
      </c>
      <c r="E296" s="107" t="s">
        <v>55</v>
      </c>
    </row>
    <row r="297" spans="3:5" x14ac:dyDescent="0.25">
      <c r="C297" s="77" t="s">
        <v>1176</v>
      </c>
      <c r="D297" s="77" t="s">
        <v>1177</v>
      </c>
      <c r="E297" s="107" t="s">
        <v>55</v>
      </c>
    </row>
    <row r="298" spans="3:5" x14ac:dyDescent="0.25">
      <c r="C298" s="77" t="s">
        <v>715</v>
      </c>
      <c r="D298" s="77" t="s">
        <v>716</v>
      </c>
      <c r="E298" s="107" t="s">
        <v>55</v>
      </c>
    </row>
    <row r="299" spans="3:5" x14ac:dyDescent="0.25">
      <c r="C299" s="77" t="s">
        <v>717</v>
      </c>
      <c r="D299" s="77" t="s">
        <v>718</v>
      </c>
      <c r="E299" s="107" t="s">
        <v>55</v>
      </c>
    </row>
    <row r="300" spans="3:5" x14ac:dyDescent="0.25">
      <c r="C300" s="77" t="s">
        <v>1178</v>
      </c>
      <c r="D300" s="77" t="s">
        <v>719</v>
      </c>
      <c r="E300" s="107" t="s">
        <v>55</v>
      </c>
    </row>
    <row r="301" spans="3:5" x14ac:dyDescent="0.25">
      <c r="C301" s="77" t="s">
        <v>720</v>
      </c>
      <c r="D301" s="77" t="s">
        <v>721</v>
      </c>
      <c r="E301" s="107" t="s">
        <v>55</v>
      </c>
    </row>
    <row r="302" spans="3:5" x14ac:dyDescent="0.25">
      <c r="C302" s="77" t="s">
        <v>722</v>
      </c>
      <c r="D302" s="77" t="s">
        <v>723</v>
      </c>
      <c r="E302" s="107" t="s">
        <v>55</v>
      </c>
    </row>
    <row r="303" spans="3:5" x14ac:dyDescent="0.25">
      <c r="C303" s="77" t="s">
        <v>724</v>
      </c>
      <c r="D303" s="77" t="s">
        <v>725</v>
      </c>
      <c r="E303" s="107" t="s">
        <v>55</v>
      </c>
    </row>
    <row r="304" spans="3:5" x14ac:dyDescent="0.25">
      <c r="C304" s="77" t="s">
        <v>726</v>
      </c>
      <c r="D304" s="77" t="s">
        <v>727</v>
      </c>
      <c r="E304" s="107" t="s">
        <v>55</v>
      </c>
    </row>
    <row r="305" spans="3:5" x14ac:dyDescent="0.25">
      <c r="C305" s="77" t="s">
        <v>728</v>
      </c>
      <c r="D305" s="77" t="s">
        <v>729</v>
      </c>
      <c r="E305" s="107" t="s">
        <v>55</v>
      </c>
    </row>
    <row r="306" spans="3:5" x14ac:dyDescent="0.25">
      <c r="C306" s="77" t="s">
        <v>730</v>
      </c>
      <c r="D306" s="77" t="s">
        <v>731</v>
      </c>
      <c r="E306" s="107" t="s">
        <v>55</v>
      </c>
    </row>
    <row r="307" spans="3:5" x14ac:dyDescent="0.25">
      <c r="C307" s="77" t="s">
        <v>732</v>
      </c>
      <c r="D307" s="77" t="s">
        <v>733</v>
      </c>
      <c r="E307" s="107" t="s">
        <v>55</v>
      </c>
    </row>
    <row r="308" spans="3:5" x14ac:dyDescent="0.25">
      <c r="C308" s="77" t="s">
        <v>734</v>
      </c>
      <c r="D308" s="77" t="s">
        <v>735</v>
      </c>
      <c r="E308" s="107" t="s">
        <v>55</v>
      </c>
    </row>
    <row r="309" spans="3:5" x14ac:dyDescent="0.25">
      <c r="C309" s="77" t="s">
        <v>736</v>
      </c>
      <c r="D309" s="77" t="s">
        <v>737</v>
      </c>
      <c r="E309" s="107" t="s">
        <v>55</v>
      </c>
    </row>
    <row r="310" spans="3:5" x14ac:dyDescent="0.25">
      <c r="C310" s="77" t="s">
        <v>738</v>
      </c>
      <c r="D310" s="77" t="s">
        <v>739</v>
      </c>
      <c r="E310" s="107" t="s">
        <v>55</v>
      </c>
    </row>
    <row r="311" spans="3:5" x14ac:dyDescent="0.25">
      <c r="C311" s="77" t="s">
        <v>740</v>
      </c>
      <c r="D311" s="77" t="s">
        <v>741</v>
      </c>
      <c r="E311" s="107" t="s">
        <v>55</v>
      </c>
    </row>
    <row r="312" spans="3:5" x14ac:dyDescent="0.25">
      <c r="C312" s="77" t="s">
        <v>742</v>
      </c>
      <c r="D312" s="77" t="s">
        <v>743</v>
      </c>
      <c r="E312" s="107" t="s">
        <v>55</v>
      </c>
    </row>
    <row r="313" spans="3:5" x14ac:dyDescent="0.25">
      <c r="C313" s="77" t="s">
        <v>744</v>
      </c>
      <c r="D313" s="77" t="s">
        <v>745</v>
      </c>
      <c r="E313" s="107" t="s">
        <v>55</v>
      </c>
    </row>
    <row r="314" spans="3:5" x14ac:dyDescent="0.25">
      <c r="C314" s="77" t="s">
        <v>746</v>
      </c>
      <c r="D314" s="77" t="s">
        <v>747</v>
      </c>
      <c r="E314" s="107" t="s">
        <v>55</v>
      </c>
    </row>
    <row r="315" spans="3:5" x14ac:dyDescent="0.25">
      <c r="C315" s="77" t="s">
        <v>748</v>
      </c>
      <c r="D315" s="77" t="s">
        <v>749</v>
      </c>
      <c r="E315" s="107" t="s">
        <v>55</v>
      </c>
    </row>
    <row r="316" spans="3:5" x14ac:dyDescent="0.25">
      <c r="C316" s="77" t="s">
        <v>750</v>
      </c>
      <c r="D316" s="77" t="s">
        <v>751</v>
      </c>
      <c r="E316" s="107" t="s">
        <v>55</v>
      </c>
    </row>
    <row r="317" spans="3:5" x14ac:dyDescent="0.25">
      <c r="C317" s="77" t="s">
        <v>752</v>
      </c>
      <c r="D317" s="77" t="s">
        <v>753</v>
      </c>
      <c r="E317" s="107" t="s">
        <v>55</v>
      </c>
    </row>
    <row r="318" spans="3:5" x14ac:dyDescent="0.25">
      <c r="C318" s="77" t="s">
        <v>754</v>
      </c>
      <c r="D318" s="77" t="s">
        <v>755</v>
      </c>
      <c r="E318" s="107" t="s">
        <v>55</v>
      </c>
    </row>
    <row r="319" spans="3:5" x14ac:dyDescent="0.25">
      <c r="C319" s="77" t="s">
        <v>756</v>
      </c>
      <c r="D319" s="77" t="s">
        <v>757</v>
      </c>
      <c r="E319" s="107" t="s">
        <v>55</v>
      </c>
    </row>
    <row r="320" spans="3:5" x14ac:dyDescent="0.25">
      <c r="C320" s="77" t="s">
        <v>758</v>
      </c>
      <c r="D320" s="77" t="s">
        <v>759</v>
      </c>
      <c r="E320" s="107" t="s">
        <v>55</v>
      </c>
    </row>
    <row r="321" spans="3:5" x14ac:dyDescent="0.25">
      <c r="C321" s="77" t="s">
        <v>760</v>
      </c>
      <c r="D321" s="77" t="s">
        <v>761</v>
      </c>
      <c r="E321" s="107" t="s">
        <v>55</v>
      </c>
    </row>
    <row r="322" spans="3:5" x14ac:dyDescent="0.25">
      <c r="C322" s="77" t="s">
        <v>762</v>
      </c>
      <c r="D322" s="77" t="s">
        <v>763</v>
      </c>
      <c r="E322" s="107" t="s">
        <v>55</v>
      </c>
    </row>
    <row r="323" spans="3:5" x14ac:dyDescent="0.25">
      <c r="C323" s="77" t="s">
        <v>764</v>
      </c>
      <c r="D323" s="77" t="s">
        <v>765</v>
      </c>
      <c r="E323" s="107" t="s">
        <v>55</v>
      </c>
    </row>
    <row r="324" spans="3:5" x14ac:dyDescent="0.25">
      <c r="C324" s="77" t="s">
        <v>766</v>
      </c>
      <c r="D324" s="77" t="s">
        <v>767</v>
      </c>
      <c r="E324" s="107" t="s">
        <v>55</v>
      </c>
    </row>
    <row r="325" spans="3:5" x14ac:dyDescent="0.25">
      <c r="C325" s="77" t="s">
        <v>768</v>
      </c>
      <c r="D325" s="77" t="s">
        <v>769</v>
      </c>
      <c r="E325" s="107" t="s">
        <v>55</v>
      </c>
    </row>
    <row r="326" spans="3:5" x14ac:dyDescent="0.25">
      <c r="C326" s="77" t="s">
        <v>766</v>
      </c>
      <c r="D326" s="77" t="s">
        <v>770</v>
      </c>
      <c r="E326" s="107" t="s">
        <v>55</v>
      </c>
    </row>
    <row r="327" spans="3:5" x14ac:dyDescent="0.25">
      <c r="C327" s="77" t="s">
        <v>771</v>
      </c>
      <c r="D327" s="77" t="s">
        <v>772</v>
      </c>
      <c r="E327" s="107" t="s">
        <v>55</v>
      </c>
    </row>
    <row r="328" spans="3:5" x14ac:dyDescent="0.25">
      <c r="C328" s="77" t="s">
        <v>773</v>
      </c>
      <c r="D328" s="77" t="s">
        <v>774</v>
      </c>
      <c r="E328" s="107" t="s">
        <v>55</v>
      </c>
    </row>
    <row r="329" spans="3:5" x14ac:dyDescent="0.25">
      <c r="C329" s="77" t="s">
        <v>802</v>
      </c>
      <c r="D329" s="77" t="s">
        <v>803</v>
      </c>
      <c r="E329" s="107" t="s">
        <v>55</v>
      </c>
    </row>
    <row r="330" spans="3:5" x14ac:dyDescent="0.25">
      <c r="C330" s="77" t="s">
        <v>775</v>
      </c>
      <c r="D330" s="77" t="s">
        <v>776</v>
      </c>
      <c r="E330" s="107" t="s">
        <v>55</v>
      </c>
    </row>
    <row r="331" spans="3:5" x14ac:dyDescent="0.25">
      <c r="C331" s="77" t="s">
        <v>777</v>
      </c>
      <c r="D331" s="77" t="s">
        <v>778</v>
      </c>
      <c r="E331" s="107" t="s">
        <v>55</v>
      </c>
    </row>
    <row r="332" spans="3:5" x14ac:dyDescent="0.25">
      <c r="C332" s="77" t="s">
        <v>779</v>
      </c>
      <c r="D332" s="77" t="s">
        <v>780</v>
      </c>
      <c r="E332" s="107" t="s">
        <v>55</v>
      </c>
    </row>
    <row r="333" spans="3:5" x14ac:dyDescent="0.25">
      <c r="C333" s="77" t="s">
        <v>781</v>
      </c>
      <c r="D333" s="77" t="s">
        <v>782</v>
      </c>
      <c r="E333" s="107" t="s">
        <v>55</v>
      </c>
    </row>
    <row r="334" spans="3:5" x14ac:dyDescent="0.25">
      <c r="C334" s="77" t="s">
        <v>783</v>
      </c>
      <c r="D334" s="77" t="s">
        <v>784</v>
      </c>
      <c r="E334" s="107" t="s">
        <v>55</v>
      </c>
    </row>
    <row r="335" spans="3:5" x14ac:dyDescent="0.25">
      <c r="C335" s="77" t="s">
        <v>785</v>
      </c>
      <c r="D335" s="77" t="s">
        <v>786</v>
      </c>
      <c r="E335" s="107" t="s">
        <v>55</v>
      </c>
    </row>
    <row r="336" spans="3:5" x14ac:dyDescent="0.25">
      <c r="C336" s="77" t="s">
        <v>787</v>
      </c>
      <c r="D336" s="77" t="s">
        <v>788</v>
      </c>
      <c r="E336" s="107" t="s">
        <v>55</v>
      </c>
    </row>
    <row r="337" spans="3:5" x14ac:dyDescent="0.25">
      <c r="C337" s="77" t="s">
        <v>789</v>
      </c>
      <c r="D337" s="77" t="s">
        <v>790</v>
      </c>
      <c r="E337" s="107" t="s">
        <v>55</v>
      </c>
    </row>
    <row r="338" spans="3:5" x14ac:dyDescent="0.25">
      <c r="C338" s="77" t="s">
        <v>791</v>
      </c>
      <c r="D338" s="77" t="s">
        <v>792</v>
      </c>
      <c r="E338" s="107" t="s">
        <v>55</v>
      </c>
    </row>
    <row r="339" spans="3:5" x14ac:dyDescent="0.25">
      <c r="C339" s="77" t="s">
        <v>793</v>
      </c>
      <c r="D339" s="77" t="s">
        <v>794</v>
      </c>
      <c r="E339" s="107" t="s">
        <v>55</v>
      </c>
    </row>
    <row r="340" spans="3:5" x14ac:dyDescent="0.25">
      <c r="C340" s="77" t="s">
        <v>795</v>
      </c>
      <c r="D340" s="77" t="s">
        <v>796</v>
      </c>
      <c r="E340" s="107" t="s">
        <v>55</v>
      </c>
    </row>
    <row r="341" spans="3:5" x14ac:dyDescent="0.25">
      <c r="C341" s="77" t="s">
        <v>1186</v>
      </c>
      <c r="D341" s="77" t="s">
        <v>797</v>
      </c>
      <c r="E341" s="107" t="s">
        <v>55</v>
      </c>
    </row>
    <row r="342" spans="3:5" x14ac:dyDescent="0.25">
      <c r="C342" s="77" t="s">
        <v>798</v>
      </c>
      <c r="D342" s="77" t="s">
        <v>799</v>
      </c>
      <c r="E342" s="107" t="s">
        <v>55</v>
      </c>
    </row>
    <row r="343" spans="3:5" x14ac:dyDescent="0.25">
      <c r="C343" s="77" t="s">
        <v>800</v>
      </c>
      <c r="D343" s="77" t="s">
        <v>801</v>
      </c>
      <c r="E343" s="107" t="s">
        <v>55</v>
      </c>
    </row>
    <row r="344" spans="3:5" x14ac:dyDescent="0.25">
      <c r="C344" s="77" t="s">
        <v>802</v>
      </c>
      <c r="D344" s="77" t="s">
        <v>803</v>
      </c>
      <c r="E344" s="107" t="s">
        <v>55</v>
      </c>
    </row>
    <row r="345" spans="3:5" x14ac:dyDescent="0.25">
      <c r="C345" s="77" t="s">
        <v>804</v>
      </c>
      <c r="D345" s="77" t="s">
        <v>805</v>
      </c>
      <c r="E345" s="107" t="s">
        <v>55</v>
      </c>
    </row>
    <row r="346" spans="3:5" x14ac:dyDescent="0.25">
      <c r="C346" s="77" t="s">
        <v>1179</v>
      </c>
      <c r="D346" s="77" t="s">
        <v>1180</v>
      </c>
      <c r="E346" s="107" t="s">
        <v>55</v>
      </c>
    </row>
    <row r="347" spans="3:5" x14ac:dyDescent="0.25">
      <c r="C347" s="77" t="s">
        <v>1181</v>
      </c>
      <c r="D347" s="77" t="s">
        <v>1180</v>
      </c>
      <c r="E347" s="77" t="s">
        <v>55</v>
      </c>
    </row>
    <row r="348" spans="3:5" x14ac:dyDescent="0.25">
      <c r="C348" s="77" t="s">
        <v>1182</v>
      </c>
      <c r="D348" s="77" t="s">
        <v>1183</v>
      </c>
      <c r="E348" s="77" t="s">
        <v>55</v>
      </c>
    </row>
    <row r="349" spans="3:5" x14ac:dyDescent="0.25">
      <c r="C349" s="77" t="s">
        <v>821</v>
      </c>
      <c r="D349" s="77" t="s">
        <v>1184</v>
      </c>
      <c r="E349" s="77" t="s">
        <v>55</v>
      </c>
    </row>
    <row r="350" spans="3:5" x14ac:dyDescent="0.25">
      <c r="C350" s="77" t="s">
        <v>822</v>
      </c>
      <c r="D350" s="77" t="s">
        <v>1185</v>
      </c>
      <c r="E350" s="77" t="s">
        <v>55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A213"/>
  <sheetViews>
    <sheetView topLeftCell="D1" zoomScale="85" zoomScaleNormal="85" workbookViewId="0">
      <selection activeCell="AB1" sqref="AB1"/>
    </sheetView>
  </sheetViews>
  <sheetFormatPr defaultColWidth="9" defaultRowHeight="13.2" x14ac:dyDescent="0.25"/>
  <cols>
    <col min="2" max="2" width="59" bestFit="1" customWidth="1"/>
    <col min="3" max="3" width="8.6640625" bestFit="1" customWidth="1"/>
    <col min="4" max="4" width="10" bestFit="1" customWidth="1"/>
    <col min="5" max="5" width="10.109375" bestFit="1" customWidth="1"/>
    <col min="6" max="6" width="9.44140625" bestFit="1" customWidth="1"/>
    <col min="7" max="7" width="8.6640625" bestFit="1" customWidth="1"/>
    <col min="8" max="8" width="10" bestFit="1" customWidth="1"/>
    <col min="9" max="9" width="10.109375" bestFit="1" customWidth="1"/>
    <col min="10" max="10" width="9.6640625" bestFit="1" customWidth="1"/>
    <col min="11" max="11" width="8.6640625" bestFit="1" customWidth="1"/>
    <col min="12" max="12" width="10" bestFit="1" customWidth="1"/>
    <col min="13" max="13" width="10.109375" bestFit="1" customWidth="1"/>
    <col min="14" max="14" width="9.44140625" bestFit="1" customWidth="1"/>
  </cols>
  <sheetData>
    <row r="1" spans="1:27" ht="14.4" x14ac:dyDescent="0.3">
      <c r="Q1" s="29" t="s">
        <v>890</v>
      </c>
      <c r="R1" s="30"/>
      <c r="S1" s="30"/>
    </row>
    <row r="2" spans="1:27" ht="13.8" x14ac:dyDescent="0.3">
      <c r="Q2" s="31"/>
      <c r="R2" s="32" t="s">
        <v>891</v>
      </c>
      <c r="S2" s="32" t="s">
        <v>892</v>
      </c>
      <c r="T2" t="s">
        <v>891</v>
      </c>
    </row>
    <row r="3" spans="1:27" ht="14.4" x14ac:dyDescent="0.3">
      <c r="B3" s="13"/>
      <c r="C3">
        <f>1/0.9</f>
        <v>1.1111111111111112</v>
      </c>
      <c r="G3" s="25"/>
      <c r="Q3" s="31"/>
      <c r="R3" s="32" t="s">
        <v>893</v>
      </c>
      <c r="S3" s="32" t="s">
        <v>894</v>
      </c>
      <c r="T3" s="1" t="s">
        <v>889</v>
      </c>
      <c r="Y3" s="32" t="s">
        <v>893</v>
      </c>
      <c r="Z3" s="32" t="s">
        <v>894</v>
      </c>
      <c r="AA3" s="1" t="s">
        <v>889</v>
      </c>
    </row>
    <row r="4" spans="1:27" ht="13.8" x14ac:dyDescent="0.3">
      <c r="P4">
        <v>1</v>
      </c>
      <c r="Q4" s="31" t="s">
        <v>160</v>
      </c>
      <c r="R4" s="33">
        <v>44.3</v>
      </c>
      <c r="S4" s="33">
        <v>744.4</v>
      </c>
      <c r="T4" s="26">
        <f t="shared" ref="T4:T9" si="0">R4*S4</f>
        <v>32976.92</v>
      </c>
      <c r="W4" s="71">
        <v>1</v>
      </c>
      <c r="X4" s="31" t="s">
        <v>160</v>
      </c>
      <c r="Y4" s="33">
        <v>44.3</v>
      </c>
      <c r="Z4" s="33">
        <v>744.4</v>
      </c>
      <c r="AA4" s="26">
        <f t="shared" ref="AA4:AA7" si="1">Y4*Z4</f>
        <v>32976.92</v>
      </c>
    </row>
    <row r="5" spans="1:27" ht="14.4" thickBot="1" x14ac:dyDescent="0.35">
      <c r="B5" s="202" t="s">
        <v>836</v>
      </c>
      <c r="C5" s="203"/>
      <c r="D5" s="203"/>
      <c r="E5" s="203"/>
      <c r="F5" s="203"/>
      <c r="G5" s="203"/>
      <c r="H5" s="203"/>
      <c r="I5" s="203"/>
      <c r="J5" s="203"/>
      <c r="P5">
        <v>2</v>
      </c>
      <c r="Q5" s="31" t="s">
        <v>156</v>
      </c>
      <c r="R5" s="33">
        <v>44.3</v>
      </c>
      <c r="S5" s="33">
        <v>744.4</v>
      </c>
      <c r="T5" s="26">
        <f t="shared" ref="T5:T8" si="2">R5*S5</f>
        <v>32976.92</v>
      </c>
      <c r="W5" s="71">
        <v>2</v>
      </c>
      <c r="X5" s="31" t="s">
        <v>156</v>
      </c>
      <c r="Y5" s="33">
        <v>43</v>
      </c>
      <c r="Z5" s="33">
        <v>843.1</v>
      </c>
      <c r="AA5" s="26">
        <f t="shared" si="1"/>
        <v>36253.300000000003</v>
      </c>
    </row>
    <row r="6" spans="1:27" ht="13.8" x14ac:dyDescent="0.3">
      <c r="B6" s="14" t="s">
        <v>837</v>
      </c>
      <c r="C6" s="35" t="s">
        <v>838</v>
      </c>
      <c r="D6" s="36" t="s">
        <v>839</v>
      </c>
      <c r="E6" s="36" t="s">
        <v>840</v>
      </c>
      <c r="F6" s="37" t="s">
        <v>841</v>
      </c>
      <c r="G6" s="35" t="s">
        <v>838</v>
      </c>
      <c r="H6" s="36" t="s">
        <v>839</v>
      </c>
      <c r="I6" s="36" t="s">
        <v>840</v>
      </c>
      <c r="J6" s="44" t="s">
        <v>841</v>
      </c>
      <c r="K6" s="35" t="s">
        <v>838</v>
      </c>
      <c r="L6" s="36" t="s">
        <v>839</v>
      </c>
      <c r="M6" s="36" t="s">
        <v>840</v>
      </c>
      <c r="N6" s="37" t="s">
        <v>841</v>
      </c>
      <c r="P6">
        <v>3</v>
      </c>
      <c r="Q6" s="31" t="s">
        <v>246</v>
      </c>
      <c r="R6" s="33">
        <v>44.3</v>
      </c>
      <c r="S6" s="33">
        <v>744.4</v>
      </c>
      <c r="T6" s="26">
        <f t="shared" si="2"/>
        <v>32976.92</v>
      </c>
      <c r="W6" s="71">
        <v>3</v>
      </c>
      <c r="X6" s="31" t="s">
        <v>246</v>
      </c>
      <c r="Y6" s="33">
        <v>27</v>
      </c>
      <c r="Z6" s="33">
        <v>880</v>
      </c>
      <c r="AA6" s="26">
        <f t="shared" si="1"/>
        <v>23760</v>
      </c>
    </row>
    <row r="7" spans="1:27" ht="13.8" x14ac:dyDescent="0.3">
      <c r="B7" s="14"/>
      <c r="C7" s="204" t="s">
        <v>842</v>
      </c>
      <c r="D7" s="194"/>
      <c r="E7" s="194"/>
      <c r="F7" s="205"/>
      <c r="G7" s="204" t="s">
        <v>1127</v>
      </c>
      <c r="H7" s="194"/>
      <c r="I7" s="194"/>
      <c r="J7" s="194"/>
      <c r="K7" s="196" t="s">
        <v>886</v>
      </c>
      <c r="L7" s="197"/>
      <c r="M7" s="197"/>
      <c r="N7" s="198"/>
      <c r="P7">
        <v>4</v>
      </c>
      <c r="Q7" s="31" t="s">
        <v>888</v>
      </c>
      <c r="R7" s="33">
        <v>44.3</v>
      </c>
      <c r="S7" s="33">
        <v>744.4</v>
      </c>
      <c r="T7" s="26">
        <f t="shared" si="2"/>
        <v>32976.92</v>
      </c>
      <c r="W7" s="71">
        <v>4</v>
      </c>
      <c r="X7" s="31" t="s">
        <v>888</v>
      </c>
      <c r="Y7" s="33">
        <v>47.3</v>
      </c>
      <c r="Z7" s="33">
        <v>542.20000000000005</v>
      </c>
      <c r="AA7" s="26">
        <f t="shared" si="1"/>
        <v>25646.06</v>
      </c>
    </row>
    <row r="8" spans="1:27" ht="13.8" x14ac:dyDescent="0.3">
      <c r="A8">
        <v>1</v>
      </c>
      <c r="B8" s="15" t="s">
        <v>843</v>
      </c>
      <c r="C8" s="53">
        <f>18918.12*(1/0.9)</f>
        <v>21020.133333333331</v>
      </c>
      <c r="D8" s="16">
        <f>19403.12*(1/0.9)</f>
        <v>21559.022222222222</v>
      </c>
      <c r="E8" s="16">
        <f>20344.12*(1/0.9)</f>
        <v>22604.577777777777</v>
      </c>
      <c r="F8" s="54">
        <f>21963.12*(1/0.9)</f>
        <v>24403.466666666667</v>
      </c>
      <c r="G8" s="38">
        <v>7.7</v>
      </c>
      <c r="H8" s="17">
        <v>6.16</v>
      </c>
      <c r="I8" s="17">
        <v>4.62</v>
      </c>
      <c r="J8" s="17">
        <v>3.4649999999999999</v>
      </c>
      <c r="K8" s="45">
        <f t="shared" ref="K8:K34" si="3">100000000/(G8*VLOOKUP($A8,$P$4:$T$9,5,FALSE))</f>
        <v>393.82128431075392</v>
      </c>
      <c r="L8" s="18">
        <f t="shared" ref="L8:L34" si="4">100000000/(H8*VLOOKUP($A8,$P$4:$T$9,5,FALSE))</f>
        <v>492.27660538844242</v>
      </c>
      <c r="M8" s="18">
        <f t="shared" ref="M8:M34" si="5">100000000/(I8*VLOOKUP($A8,$P$4:$T$9,5,FALSE))</f>
        <v>656.36880718458997</v>
      </c>
      <c r="N8" s="46">
        <f t="shared" ref="N8:N34" si="6">100000000/(J8*VLOOKUP($A8,$P$4:$T$9,5,FALSE))</f>
        <v>875.15840957945318</v>
      </c>
      <c r="P8" s="34">
        <v>5</v>
      </c>
      <c r="Q8" s="31" t="s">
        <v>887</v>
      </c>
      <c r="R8" s="33">
        <v>44.3</v>
      </c>
      <c r="S8" s="33">
        <v>744.4</v>
      </c>
      <c r="T8" s="26">
        <f t="shared" si="2"/>
        <v>32976.92</v>
      </c>
      <c r="W8" s="34">
        <v>5</v>
      </c>
      <c r="X8" s="31" t="s">
        <v>887</v>
      </c>
      <c r="Y8" s="33">
        <v>44.3</v>
      </c>
      <c r="Z8" s="33">
        <v>744.4</v>
      </c>
      <c r="AA8" s="26">
        <f>Y8*Z8</f>
        <v>32976.92</v>
      </c>
    </row>
    <row r="9" spans="1:27" ht="13.8" x14ac:dyDescent="0.3">
      <c r="A9">
        <v>2</v>
      </c>
      <c r="B9" s="12" t="s">
        <v>844</v>
      </c>
      <c r="C9" s="45">
        <f>22116.432*(1/0.9)</f>
        <v>24573.813333333332</v>
      </c>
      <c r="D9" s="18">
        <f>22795.432*(1/0.9)</f>
        <v>25328.257777777777</v>
      </c>
      <c r="E9" s="18">
        <f>24140.432*(1/0.9)</f>
        <v>26822.702222222219</v>
      </c>
      <c r="F9" s="46">
        <f>26118.432*(1/0.9)</f>
        <v>29020.48</v>
      </c>
      <c r="G9" s="39">
        <v>5.9</v>
      </c>
      <c r="H9" s="19">
        <v>4.7200000000000006</v>
      </c>
      <c r="I9" s="19">
        <v>3.54</v>
      </c>
      <c r="J9" s="19">
        <v>2.95</v>
      </c>
      <c r="K9" s="45">
        <f t="shared" si="3"/>
        <v>513.97015071064493</v>
      </c>
      <c r="L9" s="18">
        <f t="shared" si="4"/>
        <v>642.46268838830611</v>
      </c>
      <c r="M9" s="18">
        <f t="shared" si="5"/>
        <v>856.61691785107496</v>
      </c>
      <c r="N9" s="46">
        <f t="shared" si="6"/>
        <v>1027.9403014212899</v>
      </c>
      <c r="P9" s="34">
        <v>6</v>
      </c>
      <c r="Q9" s="31" t="s">
        <v>895</v>
      </c>
      <c r="R9" s="33"/>
      <c r="S9" s="33"/>
      <c r="T9" s="26">
        <f t="shared" si="0"/>
        <v>0</v>
      </c>
      <c r="W9" s="34">
        <v>6</v>
      </c>
      <c r="X9" s="31" t="s">
        <v>895</v>
      </c>
      <c r="Y9" s="33"/>
      <c r="Z9" s="33"/>
      <c r="AA9" s="26">
        <f t="shared" ref="AA9" si="7">Y9*Z9</f>
        <v>0</v>
      </c>
    </row>
    <row r="10" spans="1:27" x14ac:dyDescent="0.25">
      <c r="A10">
        <v>5</v>
      </c>
      <c r="B10" s="12" t="s">
        <v>845</v>
      </c>
      <c r="C10" s="55">
        <f>20999.1132*(1/0.9)</f>
        <v>23332.348000000002</v>
      </c>
      <c r="D10" s="20">
        <f>21484.1132*(1/0.9)</f>
        <v>23871.236888888889</v>
      </c>
      <c r="E10" s="20">
        <f>22425.1132*(1/0.9)</f>
        <v>24916.792444444447</v>
      </c>
      <c r="F10" s="56">
        <f>24044.1132*(1/0.9)</f>
        <v>26715.681333333334</v>
      </c>
      <c r="G10" s="39">
        <v>4.9000000000000004</v>
      </c>
      <c r="H10" s="19">
        <v>3.9200000000000004</v>
      </c>
      <c r="I10" s="19">
        <v>2.94</v>
      </c>
      <c r="J10" s="19">
        <v>2.2050000000000001</v>
      </c>
      <c r="K10" s="45">
        <f t="shared" si="3"/>
        <v>618.86201820261329</v>
      </c>
      <c r="L10" s="18">
        <f t="shared" si="4"/>
        <v>773.57752275326663</v>
      </c>
      <c r="M10" s="18">
        <f t="shared" si="5"/>
        <v>1031.4366970043554</v>
      </c>
      <c r="N10" s="46">
        <f t="shared" si="6"/>
        <v>1375.2489293391409</v>
      </c>
    </row>
    <row r="11" spans="1:27" x14ac:dyDescent="0.25">
      <c r="A11">
        <v>4</v>
      </c>
      <c r="B11" s="12" t="s">
        <v>846</v>
      </c>
      <c r="C11" s="55">
        <f>20431.5696*(1/0.9)</f>
        <v>22701.743999999999</v>
      </c>
      <c r="D11" s="20">
        <f>20916.5696*(1/0.9)</f>
        <v>23240.632888888889</v>
      </c>
      <c r="E11" s="20">
        <f>21857.5696*(1/0.9)</f>
        <v>24286.188444444444</v>
      </c>
      <c r="F11" s="56">
        <f>23476.5696*(1/0.9)</f>
        <v>26085.077333333335</v>
      </c>
      <c r="G11" s="39">
        <v>9.3000000000000007</v>
      </c>
      <c r="H11" s="19">
        <v>7.4400000000000013</v>
      </c>
      <c r="I11" s="19">
        <v>5.58</v>
      </c>
      <c r="J11" s="19">
        <v>4.1849999999999996</v>
      </c>
      <c r="K11" s="45">
        <f t="shared" si="3"/>
        <v>326.06708485944137</v>
      </c>
      <c r="L11" s="18">
        <f t="shared" si="4"/>
        <v>407.58385607430171</v>
      </c>
      <c r="M11" s="18">
        <f t="shared" si="5"/>
        <v>543.44514143240235</v>
      </c>
      <c r="N11" s="46">
        <f t="shared" si="6"/>
        <v>724.59352190986988</v>
      </c>
    </row>
    <row r="12" spans="1:27" x14ac:dyDescent="0.25">
      <c r="A12">
        <v>3</v>
      </c>
      <c r="B12" s="12" t="s">
        <v>847</v>
      </c>
      <c r="C12" s="55">
        <f>19587.048*(1/0.9)</f>
        <v>21763.386666666665</v>
      </c>
      <c r="D12" s="20">
        <f>20072.048*(1/0.9)</f>
        <v>22302.275555555556</v>
      </c>
      <c r="E12" s="20">
        <f>21013.048*(1/0.9)</f>
        <v>23347.831111111111</v>
      </c>
      <c r="F12" s="56">
        <f>22632.048*(1/0.9)</f>
        <v>25146.720000000001</v>
      </c>
      <c r="G12" s="39">
        <v>9.1999999999999993</v>
      </c>
      <c r="H12" s="19">
        <v>7.3599999999999994</v>
      </c>
      <c r="I12" s="19">
        <v>5.52</v>
      </c>
      <c r="J12" s="19">
        <v>4.1399999999999997</v>
      </c>
      <c r="K12" s="45">
        <f t="shared" si="3"/>
        <v>329.61129230356585</v>
      </c>
      <c r="L12" s="18">
        <f t="shared" si="4"/>
        <v>412.01411537945728</v>
      </c>
      <c r="M12" s="18">
        <f t="shared" si="5"/>
        <v>549.3521538392763</v>
      </c>
      <c r="N12" s="46">
        <f t="shared" si="6"/>
        <v>732.46953845236851</v>
      </c>
    </row>
    <row r="13" spans="1:27" x14ac:dyDescent="0.25">
      <c r="A13">
        <v>1</v>
      </c>
      <c r="B13" s="12" t="s">
        <v>848</v>
      </c>
      <c r="C13" s="55">
        <f>21662.12*(1/0.9)</f>
        <v>24069.022222222222</v>
      </c>
      <c r="D13" s="20">
        <f>21873.12*(1/0.9)</f>
        <v>24303.466666666667</v>
      </c>
      <c r="E13" s="20">
        <f>23244.8176744186*(1/0.9)</f>
        <v>25827.575193798453</v>
      </c>
      <c r="F13" s="56">
        <f>23885.6*(1/0.9)</f>
        <v>26539.555555555555</v>
      </c>
      <c r="G13" s="39">
        <v>5.1975000000000007</v>
      </c>
      <c r="H13" s="19">
        <v>4.620000000000001</v>
      </c>
      <c r="I13" s="19">
        <v>3.4649999999999999</v>
      </c>
      <c r="J13" s="19">
        <v>2.5987499999999994</v>
      </c>
      <c r="K13" s="45">
        <f t="shared" si="3"/>
        <v>583.43893971963541</v>
      </c>
      <c r="L13" s="18">
        <f t="shared" si="4"/>
        <v>656.36880718458974</v>
      </c>
      <c r="M13" s="18">
        <f t="shared" si="5"/>
        <v>875.15840957945318</v>
      </c>
      <c r="N13" s="46">
        <f t="shared" si="6"/>
        <v>1166.8778794392713</v>
      </c>
    </row>
    <row r="14" spans="1:27" x14ac:dyDescent="0.25">
      <c r="A14">
        <v>2</v>
      </c>
      <c r="B14" s="12" t="s">
        <v>849</v>
      </c>
      <c r="C14" s="55">
        <f>24762.432*(1/0.9)</f>
        <v>27513.813333333332</v>
      </c>
      <c r="D14" s="20">
        <f>26128.7864303797*(1/0.9)</f>
        <v>29031.984922644162</v>
      </c>
      <c r="E14" s="20">
        <f>26454.8562424242*(1/0.9)</f>
        <v>29394.284713804715</v>
      </c>
      <c r="F14" s="56">
        <f>27032.2415238095*(1/0.9)</f>
        <v>30035.823915343914</v>
      </c>
      <c r="G14" s="39">
        <v>4.1418000000000008</v>
      </c>
      <c r="H14" s="19">
        <v>3.5990000000000002</v>
      </c>
      <c r="I14" s="19">
        <v>3.2450000000000006</v>
      </c>
      <c r="J14" s="19">
        <v>2.6549999999999998</v>
      </c>
      <c r="K14" s="45">
        <f t="shared" si="3"/>
        <v>732.15121183852546</v>
      </c>
      <c r="L14" s="18">
        <f t="shared" si="4"/>
        <v>842.57401755843432</v>
      </c>
      <c r="M14" s="18">
        <f t="shared" si="5"/>
        <v>934.49118311026336</v>
      </c>
      <c r="N14" s="46">
        <f t="shared" si="6"/>
        <v>1142.1558904680999</v>
      </c>
    </row>
    <row r="15" spans="1:27" x14ac:dyDescent="0.25">
      <c r="A15">
        <v>1</v>
      </c>
      <c r="B15" s="12" t="s">
        <v>850</v>
      </c>
      <c r="C15" s="55">
        <f>23697.8151219512*(1/0.9)</f>
        <v>26330.905691056909</v>
      </c>
      <c r="D15" s="20">
        <f>24428.1509801545*(1/0.9)</f>
        <v>27142.389977949471</v>
      </c>
      <c r="E15" s="20">
        <f>25836.3355315615*(1/0.9)</f>
        <v>28707.039479512736</v>
      </c>
      <c r="F15" s="56">
        <f>26338.366309371*(1/0.9)</f>
        <v>29264.851454856653</v>
      </c>
      <c r="G15" s="39">
        <v>3.4144985692529017</v>
      </c>
      <c r="H15" s="19">
        <v>2.866143051757041</v>
      </c>
      <c r="I15" s="19">
        <v>2.3198804867826506</v>
      </c>
      <c r="J15" s="19">
        <v>2.0546359176459901</v>
      </c>
      <c r="K15" s="45">
        <f>100000000/(G15*VLOOKUP($A15,$P$4:$T$9,5,FALSE))</f>
        <v>888.10225797116232</v>
      </c>
      <c r="L15" s="18">
        <f t="shared" si="4"/>
        <v>1058.0155401991638</v>
      </c>
      <c r="M15" s="18">
        <f t="shared" si="5"/>
        <v>1307.146599348466</v>
      </c>
      <c r="N15" s="46">
        <f t="shared" si="6"/>
        <v>1475.8935454934872</v>
      </c>
    </row>
    <row r="16" spans="1:27" ht="13.8" thickBot="1" x14ac:dyDescent="0.3">
      <c r="A16">
        <v>2</v>
      </c>
      <c r="B16" s="21" t="s">
        <v>851</v>
      </c>
      <c r="C16" s="57">
        <f>27070.1271219511*(1/0.9)</f>
        <v>30077.919024390241</v>
      </c>
      <c r="D16" s="58">
        <f>28277.8500192299*(1/0.9)</f>
        <v>31419.833354699909</v>
      </c>
      <c r="E16" s="58">
        <f>29046.3740995671*(1/0.9)</f>
        <v>32273.748999518997</v>
      </c>
      <c r="F16" s="59">
        <f>29542.4460344689*(1/0.9)</f>
        <v>32824.94003829873</v>
      </c>
      <c r="G16" s="41">
        <v>2.9505849383911738</v>
      </c>
      <c r="H16" s="42">
        <v>2.6243456797025395</v>
      </c>
      <c r="I16" s="42">
        <v>2.200685636568068</v>
      </c>
      <c r="J16" s="42">
        <v>1.9738448377440738</v>
      </c>
      <c r="K16" s="45">
        <f t="shared" si="3"/>
        <v>1027.7365175076964</v>
      </c>
      <c r="L16" s="18">
        <f t="shared" si="4"/>
        <v>1155.4971254916845</v>
      </c>
      <c r="M16" s="18">
        <f t="shared" si="5"/>
        <v>1377.9450543976006</v>
      </c>
      <c r="N16" s="46">
        <f t="shared" si="6"/>
        <v>1536.3030726663358</v>
      </c>
    </row>
    <row r="17" spans="1:20" x14ac:dyDescent="0.25">
      <c r="A17">
        <v>2</v>
      </c>
      <c r="B17" s="15" t="s">
        <v>852</v>
      </c>
      <c r="C17" s="60">
        <f>62301.6595835808*(1/0.9)</f>
        <v>69224.066203978669</v>
      </c>
      <c r="D17" s="61">
        <f>64392.0595835808*(1/0.9)</f>
        <v>71546.732870645341</v>
      </c>
      <c r="E17" s="61">
        <f>68160.3761936243*(1/0.9)</f>
        <v>75733.751326249258</v>
      </c>
      <c r="F17" s="62">
        <f>78721.7515835808*(1/0.9)</f>
        <v>87468.612870645331</v>
      </c>
      <c r="G17" s="63">
        <v>14</v>
      </c>
      <c r="H17" s="64">
        <v>12.88</v>
      </c>
      <c r="I17" s="64">
        <v>11.48</v>
      </c>
      <c r="J17" s="65">
        <v>9.7999999999999989</v>
      </c>
      <c r="K17" s="50">
        <f>100000000/(G17*VLOOKUP($A17,$P$4:$T$9,5,FALSE))</f>
        <v>216.60170637091466</v>
      </c>
      <c r="L17" s="51">
        <f t="shared" si="4"/>
        <v>235.43663735968983</v>
      </c>
      <c r="M17" s="51">
        <f t="shared" si="5"/>
        <v>264.14842240355443</v>
      </c>
      <c r="N17" s="52">
        <f t="shared" si="6"/>
        <v>309.4310091013067</v>
      </c>
      <c r="P17" s="76">
        <f>G17/H17</f>
        <v>1.0869565217391304</v>
      </c>
      <c r="Q17" s="76">
        <f>H17/I17</f>
        <v>1.1219512195121952</v>
      </c>
      <c r="R17" s="76">
        <f>I17/J17</f>
        <v>1.1714285714285717</v>
      </c>
    </row>
    <row r="18" spans="1:20" x14ac:dyDescent="0.25">
      <c r="A18">
        <v>2</v>
      </c>
      <c r="B18" s="12" t="s">
        <v>853</v>
      </c>
      <c r="C18" s="55">
        <f>86644.3675835808*(1/0.9)</f>
        <v>96271.519537311993</v>
      </c>
      <c r="D18" s="20">
        <f>88546.4410093564*(1/0.9)</f>
        <v>98384.934454840404</v>
      </c>
      <c r="E18" s="20">
        <f>93859.423885691*(1/0.9)</f>
        <v>104288.24876187893</v>
      </c>
      <c r="F18" s="56">
        <f>102019.259583581*(1/0.9)</f>
        <v>113354.73287064533</v>
      </c>
      <c r="G18" s="39">
        <v>9.9749999999999979</v>
      </c>
      <c r="H18" s="19">
        <v>9.4500000000000011</v>
      </c>
      <c r="I18" s="19">
        <v>8.4000000000000021</v>
      </c>
      <c r="J18" s="40">
        <v>7.3499999999999988</v>
      </c>
      <c r="K18" s="45">
        <f t="shared" si="3"/>
        <v>304.00239490654701</v>
      </c>
      <c r="L18" s="18">
        <f t="shared" si="4"/>
        <v>320.89141684579948</v>
      </c>
      <c r="M18" s="18">
        <f t="shared" si="5"/>
        <v>361.00284395152431</v>
      </c>
      <c r="N18" s="46">
        <f t="shared" si="6"/>
        <v>412.57467880174232</v>
      </c>
    </row>
    <row r="19" spans="1:20" x14ac:dyDescent="0.25">
      <c r="A19">
        <v>5</v>
      </c>
      <c r="B19" s="12" t="s">
        <v>854</v>
      </c>
      <c r="C19" s="55">
        <f>70133.4981823513*(1/0.9)</f>
        <v>77926.109091501494</v>
      </c>
      <c r="D19" s="20">
        <f>72223.8981823513*(1/0.9)</f>
        <v>80248.775758168151</v>
      </c>
      <c r="E19" s="20">
        <f>75992.2147923949*(1/0.9)</f>
        <v>84435.794213772082</v>
      </c>
      <c r="F19" s="56">
        <f>86553.5901823513*(1/0.9)</f>
        <v>96170.655758168141</v>
      </c>
      <c r="G19" s="39">
        <v>11.6</v>
      </c>
      <c r="H19" s="19">
        <v>10.672000000000001</v>
      </c>
      <c r="I19" s="19">
        <v>9.5120000000000005</v>
      </c>
      <c r="J19" s="40">
        <v>8.1199999999999992</v>
      </c>
      <c r="K19" s="45">
        <f>100000000/(G19*VLOOKUP($A19,$P$4:$T$9,5,FALSE))</f>
        <v>261.41585251662116</v>
      </c>
      <c r="L19" s="18">
        <f t="shared" si="4"/>
        <v>284.14766577893602</v>
      </c>
      <c r="M19" s="18">
        <f t="shared" si="5"/>
        <v>318.79982014222088</v>
      </c>
      <c r="N19" s="46">
        <f t="shared" si="6"/>
        <v>373.45121788088733</v>
      </c>
      <c r="P19" s="76">
        <f>G19/H19</f>
        <v>1.0869565217391304</v>
      </c>
      <c r="Q19" s="76">
        <f>H19/I19</f>
        <v>1.1219512195121952</v>
      </c>
      <c r="R19" s="76">
        <f>I19/J19</f>
        <v>1.1714285714285717</v>
      </c>
      <c r="S19" s="76"/>
    </row>
    <row r="20" spans="1:20" x14ac:dyDescent="0.25">
      <c r="A20">
        <v>4</v>
      </c>
      <c r="B20" s="12" t="s">
        <v>855</v>
      </c>
      <c r="C20" s="55">
        <f>68758.3315513248*(1/0.9)</f>
        <v>76398.146168138715</v>
      </c>
      <c r="D20" s="20">
        <f>70848.7315513248*(1/0.9)</f>
        <v>78720.812834805372</v>
      </c>
      <c r="E20" s="20">
        <f>74617.0481613684*(1/0.9)</f>
        <v>82907.831290409304</v>
      </c>
      <c r="F20" s="56">
        <f>85178.4235513248*(1/0.9)</f>
        <v>94642.692834805392</v>
      </c>
      <c r="G20" s="39">
        <v>17.100000000000001</v>
      </c>
      <c r="H20" s="19">
        <v>15.732000000000003</v>
      </c>
      <c r="I20" s="19">
        <v>14.022000000000002</v>
      </c>
      <c r="J20" s="40">
        <v>11.97</v>
      </c>
      <c r="K20" s="45">
        <f t="shared" si="3"/>
        <v>177.33473036215233</v>
      </c>
      <c r="L20" s="18">
        <f t="shared" si="4"/>
        <v>192.75514169799166</v>
      </c>
      <c r="M20" s="18">
        <f t="shared" si="5"/>
        <v>216.26186629530773</v>
      </c>
      <c r="N20" s="46">
        <f t="shared" si="6"/>
        <v>253.33532908878908</v>
      </c>
      <c r="P20" s="72"/>
      <c r="Q20" s="73"/>
    </row>
    <row r="21" spans="1:20" x14ac:dyDescent="0.25">
      <c r="A21">
        <v>2</v>
      </c>
      <c r="B21" s="12" t="s">
        <v>856</v>
      </c>
      <c r="C21" s="55">
        <f>103836.099305968*(1/0.9)</f>
        <v>115373.44367329775</v>
      </c>
      <c r="D21" s="20">
        <f>105926.499305968*(1/0.9)</f>
        <v>117696.11033996442</v>
      </c>
      <c r="E21" s="20">
        <f>111776.868303288*(1/0.9)</f>
        <v>124196.52033698674</v>
      </c>
      <c r="F21" s="56">
        <f>134000.571305968*(1/0.9)</f>
        <v>148889.52367329778</v>
      </c>
      <c r="G21" s="39">
        <v>30.5</v>
      </c>
      <c r="H21" s="19">
        <v>27.45</v>
      </c>
      <c r="I21" s="19">
        <v>22.875</v>
      </c>
      <c r="J21" s="40">
        <v>18.91</v>
      </c>
      <c r="K21" s="45">
        <f t="shared" si="3"/>
        <v>99.423734071895254</v>
      </c>
      <c r="L21" s="18">
        <f t="shared" si="4"/>
        <v>110.47081563543918</v>
      </c>
      <c r="M21" s="18">
        <f t="shared" si="5"/>
        <v>132.56497876252701</v>
      </c>
      <c r="N21" s="46">
        <f t="shared" si="6"/>
        <v>160.36086140628268</v>
      </c>
    </row>
    <row r="22" spans="1:20" x14ac:dyDescent="0.25">
      <c r="A22">
        <v>2</v>
      </c>
      <c r="B22" s="12" t="s">
        <v>857</v>
      </c>
      <c r="C22" s="55">
        <f>126976.827305968*(1/0.9)</f>
        <v>141085.36367329775</v>
      </c>
      <c r="D22" s="20">
        <f>129193.300556344*(1/0.9)</f>
        <v>143548.11172927066</v>
      </c>
      <c r="E22" s="20">
        <f>138321.69323879*(1/0.9)</f>
        <v>153690.77026532221</v>
      </c>
      <c r="F22" s="56">
        <f>156096.099305968*(1/0.9)</f>
        <v>173440.11033996442</v>
      </c>
      <c r="G22" s="39">
        <v>24.049250000000001</v>
      </c>
      <c r="H22" s="19">
        <v>21.517749999999996</v>
      </c>
      <c r="I22" s="19">
        <v>17.720499999999998</v>
      </c>
      <c r="J22" s="40">
        <v>15.695299999999998</v>
      </c>
      <c r="K22" s="45">
        <f t="shared" si="3"/>
        <v>126.09224359149682</v>
      </c>
      <c r="L22" s="18">
        <f t="shared" si="4"/>
        <v>140.92662519049648</v>
      </c>
      <c r="M22" s="18">
        <f t="shared" si="5"/>
        <v>171.12518773131714</v>
      </c>
      <c r="N22" s="46">
        <f t="shared" si="6"/>
        <v>193.20585711600324</v>
      </c>
    </row>
    <row r="23" spans="1:20" x14ac:dyDescent="0.25">
      <c r="A23">
        <v>6</v>
      </c>
      <c r="B23" s="12" t="s">
        <v>858</v>
      </c>
      <c r="C23" s="55">
        <f>116889.163637252*(1/0.9)</f>
        <v>129876.84848583583</v>
      </c>
      <c r="D23" s="20">
        <f>118979.563637252*(1/0.9)</f>
        <v>132199.51515250248</v>
      </c>
      <c r="E23" s="20">
        <f>124829.932634572*(1/0.9)</f>
        <v>138699.92514952482</v>
      </c>
      <c r="F23" s="56">
        <f>147053.635637252*(1/0.9)</f>
        <v>163392.92848583584</v>
      </c>
      <c r="G23" s="39">
        <v>25.3</v>
      </c>
      <c r="H23" s="19">
        <v>22.77</v>
      </c>
      <c r="I23" s="19">
        <v>18.975000000000001</v>
      </c>
      <c r="J23" s="40">
        <v>15.686</v>
      </c>
      <c r="K23" s="45" t="e">
        <f t="shared" si="3"/>
        <v>#DIV/0!</v>
      </c>
      <c r="L23" s="18" t="e">
        <f t="shared" si="4"/>
        <v>#DIV/0!</v>
      </c>
      <c r="M23" s="18" t="e">
        <f t="shared" si="5"/>
        <v>#DIV/0!</v>
      </c>
      <c r="N23" s="46" t="e">
        <f t="shared" si="6"/>
        <v>#DIV/0!</v>
      </c>
    </row>
    <row r="24" spans="1:20" ht="13.8" thickBot="1" x14ac:dyDescent="0.3">
      <c r="A24">
        <v>6</v>
      </c>
      <c r="B24" s="21" t="s">
        <v>859</v>
      </c>
      <c r="C24" s="57">
        <f>114597.219252208*(1/0.9)</f>
        <v>127330.24361356453</v>
      </c>
      <c r="D24" s="58">
        <f>116687.619252208*(1/0.9)</f>
        <v>129652.9102802312</v>
      </c>
      <c r="E24" s="58">
        <f>122537.988249528*(1/0.9)</f>
        <v>136153.32027725352</v>
      </c>
      <c r="F24" s="59">
        <f>144761.691252208*(1/0.9)</f>
        <v>160846.32361356454</v>
      </c>
      <c r="G24" s="41">
        <v>37.200000000000003</v>
      </c>
      <c r="H24" s="42">
        <v>33.480000000000004</v>
      </c>
      <c r="I24" s="42">
        <v>27.900000000000002</v>
      </c>
      <c r="J24" s="43">
        <v>23.064</v>
      </c>
      <c r="K24" s="45" t="e">
        <f t="shared" si="3"/>
        <v>#DIV/0!</v>
      </c>
      <c r="L24" s="18" t="e">
        <f t="shared" si="4"/>
        <v>#DIV/0!</v>
      </c>
      <c r="M24" s="18" t="e">
        <f t="shared" si="5"/>
        <v>#DIV/0!</v>
      </c>
      <c r="N24" s="46" t="e">
        <f t="shared" si="6"/>
        <v>#DIV/0!</v>
      </c>
    </row>
    <row r="25" spans="1:20" ht="14.4" x14ac:dyDescent="0.3">
      <c r="A25">
        <v>1</v>
      </c>
      <c r="B25" s="15" t="s">
        <v>860</v>
      </c>
      <c r="C25" s="74">
        <f>16875.3437165616*(1/0.9)</f>
        <v>18750.381907290644</v>
      </c>
      <c r="D25" s="61">
        <f>17382.2657165616*(1/0.9)</f>
        <v>19313.62857395731</v>
      </c>
      <c r="E25" s="61">
        <f>18365.7989165616*(1/0.9)</f>
        <v>20406.443240623979</v>
      </c>
      <c r="F25" s="62">
        <f>20057.9777165616*(1/0.9)</f>
        <v>22286.641907290646</v>
      </c>
      <c r="G25" s="63">
        <v>9.5</v>
      </c>
      <c r="H25" s="64">
        <v>7.6000000000000005</v>
      </c>
      <c r="I25" s="64">
        <v>5.7</v>
      </c>
      <c r="J25" s="65">
        <v>4.2749999999999995</v>
      </c>
      <c r="K25" s="50">
        <f t="shared" ref="K25:N28" si="8">100000000/(G25*VLOOKUP($A25,$P$4:$T$9,5,FALSE))*$T$25</f>
        <v>208</v>
      </c>
      <c r="L25" s="51">
        <f t="shared" si="8"/>
        <v>259.99999999999994</v>
      </c>
      <c r="M25" s="51">
        <f t="shared" si="8"/>
        <v>346.66666666666669</v>
      </c>
      <c r="N25" s="52">
        <f t="shared" si="8"/>
        <v>462.22222222222223</v>
      </c>
      <c r="P25" s="66" t="s">
        <v>904</v>
      </c>
      <c r="Q25">
        <v>260</v>
      </c>
      <c r="R25" s="26">
        <f>100000000/(G26*VLOOKUP($A26,$P$4:$T$9,5,FALSE))</f>
        <v>399.00314331484282</v>
      </c>
      <c r="S25" s="67">
        <f>Q25/R25</f>
        <v>0.65162393919999995</v>
      </c>
      <c r="T25" s="68">
        <f>S25</f>
        <v>0.65162393919999995</v>
      </c>
    </row>
    <row r="26" spans="1:20" x14ac:dyDescent="0.25">
      <c r="A26">
        <v>2</v>
      </c>
      <c r="B26" s="18" t="s">
        <v>861</v>
      </c>
      <c r="C26" s="55">
        <f>21094.179645702*(1/0.9)</f>
        <v>23437.97738411331</v>
      </c>
      <c r="D26" s="20">
        <f>21803.870445702*(1/0.9)</f>
        <v>24226.522717446642</v>
      </c>
      <c r="E26" s="20">
        <f>23209.664445702*(1/0.9)</f>
        <v>25788.516050779974</v>
      </c>
      <c r="F26" s="56">
        <f>25004.272845702*(1/0.9)</f>
        <v>27782.525384113309</v>
      </c>
      <c r="G26" s="39">
        <v>7.6</v>
      </c>
      <c r="H26" s="19">
        <v>6.08</v>
      </c>
      <c r="I26" s="19">
        <v>4.7119999999999997</v>
      </c>
      <c r="J26" s="40">
        <v>4.18</v>
      </c>
      <c r="K26" s="45">
        <f t="shared" si="8"/>
        <v>260</v>
      </c>
      <c r="L26" s="18">
        <f t="shared" si="8"/>
        <v>325</v>
      </c>
      <c r="M26" s="18">
        <f t="shared" si="8"/>
        <v>419.35483870967744</v>
      </c>
      <c r="N26" s="46">
        <f t="shared" si="8"/>
        <v>472.72727272727275</v>
      </c>
    </row>
    <row r="27" spans="1:20" x14ac:dyDescent="0.25">
      <c r="A27">
        <v>5</v>
      </c>
      <c r="B27" s="18" t="s">
        <v>862</v>
      </c>
      <c r="C27" s="55">
        <f>18966.7418825616*(1/0.9)</f>
        <v>21074.157647290645</v>
      </c>
      <c r="D27" s="20">
        <f>19473.6638825616*(1/0.9)</f>
        <v>21637.404313957308</v>
      </c>
      <c r="E27" s="20">
        <f>20457.1970825616*(1/0.9)</f>
        <v>22730.218980623977</v>
      </c>
      <c r="F27" s="56">
        <f>22149.3758825616*(1/0.9)</f>
        <v>24610.417647290647</v>
      </c>
      <c r="G27" s="39">
        <v>6.3</v>
      </c>
      <c r="H27" s="19">
        <v>5.04</v>
      </c>
      <c r="I27" s="19">
        <v>3.78</v>
      </c>
      <c r="J27" s="40">
        <v>2.8349999999999995</v>
      </c>
      <c r="K27" s="45">
        <f t="shared" si="8"/>
        <v>313.65079365079362</v>
      </c>
      <c r="L27" s="18">
        <f t="shared" si="8"/>
        <v>392.06349206349211</v>
      </c>
      <c r="M27" s="18">
        <f t="shared" si="8"/>
        <v>522.75132275132285</v>
      </c>
      <c r="N27" s="46">
        <f t="shared" si="8"/>
        <v>697.0017636684305</v>
      </c>
    </row>
    <row r="28" spans="1:20" x14ac:dyDescent="0.25">
      <c r="A28">
        <v>4</v>
      </c>
      <c r="B28" s="18" t="s">
        <v>863</v>
      </c>
      <c r="C28" s="55">
        <f>18396.3605645616*(1/0.9)</f>
        <v>20440.400627290644</v>
      </c>
      <c r="D28" s="20">
        <f>18903.2825645616*(1/0.9)</f>
        <v>21003.64729395731</v>
      </c>
      <c r="E28" s="20">
        <f>19886.8157645616*(1/0.9)</f>
        <v>22096.461960623979</v>
      </c>
      <c r="F28" s="56">
        <f>21578.9945645616*(1/0.9)</f>
        <v>23976.660627290647</v>
      </c>
      <c r="G28" s="39">
        <v>9.9</v>
      </c>
      <c r="H28" s="19">
        <v>7.9200000000000008</v>
      </c>
      <c r="I28" s="19">
        <v>5.94</v>
      </c>
      <c r="J28" s="40">
        <v>4.4550000000000001</v>
      </c>
      <c r="K28" s="69">
        <f t="shared" si="8"/>
        <v>199.59595959595961</v>
      </c>
      <c r="L28" s="23">
        <f t="shared" si="8"/>
        <v>249.49494949494945</v>
      </c>
      <c r="M28" s="23">
        <f t="shared" si="8"/>
        <v>332.65993265993268</v>
      </c>
      <c r="N28" s="70">
        <f t="shared" si="8"/>
        <v>443.54657687991022</v>
      </c>
    </row>
    <row r="29" spans="1:20" x14ac:dyDescent="0.25">
      <c r="A29">
        <v>1</v>
      </c>
      <c r="B29" s="12" t="s">
        <v>864</v>
      </c>
      <c r="C29" s="55">
        <f>19917.9728671824*(1/0.9)</f>
        <v>22131.080963535976</v>
      </c>
      <c r="D29" s="20">
        <f>20578.1124078659*(1/0.9)</f>
        <v>22864.569342073253</v>
      </c>
      <c r="E29" s="20">
        <f>21831.7921376142*(1/0.9)</f>
        <v>24257.546819571347</v>
      </c>
      <c r="F29" s="56">
        <f>22205.1947885616*(1/0.9)</f>
        <v>24672.438653957313</v>
      </c>
      <c r="G29" s="39">
        <v>6.4125000000000005</v>
      </c>
      <c r="H29" s="19">
        <v>4.9874999999999989</v>
      </c>
      <c r="I29" s="19">
        <v>3.9187500000000011</v>
      </c>
      <c r="J29" s="40">
        <v>3.2062499999999989</v>
      </c>
      <c r="K29" s="45">
        <f t="shared" ref="K29:N32" si="9">100000000/(G29*VLOOKUP($A29,$P$4:$T$9,5,FALSE))*$T$25</f>
        <v>308.14814814814815</v>
      </c>
      <c r="L29" s="18">
        <f t="shared" si="9"/>
        <v>396.19047619047632</v>
      </c>
      <c r="M29" s="18">
        <f t="shared" si="9"/>
        <v>504.24242424242408</v>
      </c>
      <c r="N29" s="46">
        <f t="shared" si="9"/>
        <v>616.29629629629642</v>
      </c>
    </row>
    <row r="30" spans="1:20" x14ac:dyDescent="0.25">
      <c r="A30">
        <v>2</v>
      </c>
      <c r="B30" s="18" t="s">
        <v>865</v>
      </c>
      <c r="C30" s="55">
        <f>23910.136581702*(1/0.9)</f>
        <v>26566.818424113309</v>
      </c>
      <c r="D30" s="20">
        <f>25174.8206290933*(1/0.9)</f>
        <v>27972.022921214757</v>
      </c>
      <c r="E30" s="20">
        <f>25874.589981702*(1/0.9)</f>
        <v>28749.544424113305</v>
      </c>
      <c r="F30" s="56">
        <f>27334.700099142*(1/0.9)</f>
        <v>30371.888999046641</v>
      </c>
      <c r="G30" s="39">
        <v>5.3352000000000004</v>
      </c>
      <c r="H30" s="19">
        <v>4.6360000000000001</v>
      </c>
      <c r="I30" s="19">
        <v>4.18</v>
      </c>
      <c r="J30" s="40">
        <v>3.4199999999999995</v>
      </c>
      <c r="K30" s="45">
        <f t="shared" si="9"/>
        <v>370.37037037037032</v>
      </c>
      <c r="L30" s="18">
        <f t="shared" si="9"/>
        <v>426.22950819672127</v>
      </c>
      <c r="M30" s="18">
        <f t="shared" si="9"/>
        <v>472.72727272727275</v>
      </c>
      <c r="N30" s="46">
        <f t="shared" si="9"/>
        <v>577.77777777777783</v>
      </c>
    </row>
    <row r="31" spans="1:20" x14ac:dyDescent="0.25">
      <c r="A31">
        <v>1</v>
      </c>
      <c r="B31" s="18" t="s">
        <v>866</v>
      </c>
      <c r="C31" s="55">
        <f>22269.5539946104*(1/0.9)</f>
        <v>24743.9488829004</v>
      </c>
      <c r="D31" s="20">
        <f>23077.0235576917*(1/0.9)</f>
        <v>25641.137286324123</v>
      </c>
      <c r="E31" s="20">
        <f>24620.0079350203*(1/0.9)</f>
        <v>27355.564372244862</v>
      </c>
      <c r="F31" s="56">
        <f>24947.3162973897*(1/0.9)</f>
        <v>27719.240330433015</v>
      </c>
      <c r="G31" s="39">
        <v>4.4032630304821234</v>
      </c>
      <c r="H31" s="19">
        <v>3.7148949837069885</v>
      </c>
      <c r="I31" s="19">
        <v>3.0300302409626658</v>
      </c>
      <c r="J31" s="40">
        <v>2.8165548212215592</v>
      </c>
      <c r="K31" s="45">
        <f t="shared" si="9"/>
        <v>448.75811104648983</v>
      </c>
      <c r="L31" s="18">
        <f t="shared" si="9"/>
        <v>531.91274818439297</v>
      </c>
      <c r="M31" s="18">
        <f t="shared" si="9"/>
        <v>652.13870584083952</v>
      </c>
      <c r="N31" s="46">
        <f t="shared" si="9"/>
        <v>701.56631964400935</v>
      </c>
    </row>
    <row r="32" spans="1:20" ht="13.8" thickBot="1" x14ac:dyDescent="0.3">
      <c r="A32">
        <v>2</v>
      </c>
      <c r="B32" s="23" t="s">
        <v>867</v>
      </c>
      <c r="C32" s="57">
        <f>26753.7557517508*(1/0.9)</f>
        <v>29726.395279723067</v>
      </c>
      <c r="D32" s="58">
        <f>27673.7317789191*(1/0.9)</f>
        <v>30748.590865465627</v>
      </c>
      <c r="E32" s="58">
        <f>28908.5621071375*(1/0.9)</f>
        <v>32120.624563486126</v>
      </c>
      <c r="F32" s="59">
        <f>29411.9085545595*(1/0.9)</f>
        <v>32679.898393954987</v>
      </c>
      <c r="G32" s="41">
        <v>3.8963413565929867</v>
      </c>
      <c r="H32" s="42">
        <v>3.4828878797940281</v>
      </c>
      <c r="I32" s="42">
        <v>2.9382730285416025</v>
      </c>
      <c r="J32" s="43">
        <v>2.6509067036706604</v>
      </c>
      <c r="K32" s="45">
        <f t="shared" si="9"/>
        <v>507.14242391940758</v>
      </c>
      <c r="L32" s="18">
        <f t="shared" si="9"/>
        <v>567.34528018078413</v>
      </c>
      <c r="M32" s="18">
        <f t="shared" si="9"/>
        <v>672.50387585008673</v>
      </c>
      <c r="N32" s="46">
        <f t="shared" si="9"/>
        <v>745.40533518734173</v>
      </c>
    </row>
    <row r="33" spans="1:14" x14ac:dyDescent="0.25">
      <c r="A33">
        <v>1</v>
      </c>
      <c r="B33" t="s">
        <v>868</v>
      </c>
      <c r="C33" s="60">
        <f>2444.5744268028*(1/0.9)</f>
        <v>2716.1938075586636</v>
      </c>
      <c r="D33" s="61">
        <f>2549.0944268028*(1/0.9)</f>
        <v>2832.3271408919968</v>
      </c>
      <c r="E33" s="61">
        <f>2705.8744268028*(1/0.9)</f>
        <v>3006.5271408919971</v>
      </c>
      <c r="F33" s="62">
        <f>2862.6544268028*(1/0.9)</f>
        <v>3180.7271408919969</v>
      </c>
      <c r="G33" s="63">
        <v>3.5</v>
      </c>
      <c r="H33" s="64">
        <v>3.15</v>
      </c>
      <c r="I33" s="64">
        <v>2.625</v>
      </c>
      <c r="J33" s="65">
        <v>2.1</v>
      </c>
      <c r="K33" s="50">
        <f t="shared" si="3"/>
        <v>866.40682548365862</v>
      </c>
      <c r="L33" s="51">
        <f t="shared" si="4"/>
        <v>962.67425053739851</v>
      </c>
      <c r="M33" s="51">
        <f t="shared" si="5"/>
        <v>1155.2091006448782</v>
      </c>
      <c r="N33" s="52">
        <f t="shared" si="6"/>
        <v>1444.0113758060975</v>
      </c>
    </row>
    <row r="34" spans="1:14" ht="13.8" thickBot="1" x14ac:dyDescent="0.3">
      <c r="A34">
        <v>1</v>
      </c>
      <c r="B34" s="26" t="s">
        <v>869</v>
      </c>
      <c r="C34" s="57">
        <f>5845.72145539799*(1/0.9)</f>
        <v>6495.2460615533264</v>
      </c>
      <c r="D34" s="58">
        <f>6041.69645539799*(1/0.9)</f>
        <v>6712.9960615533273</v>
      </c>
      <c r="E34" s="58">
        <f>6335.65895539799*(1/0.9)</f>
        <v>7039.6210615533264</v>
      </c>
      <c r="F34" s="59">
        <f>6629.62145539799*(1/0.9)</f>
        <v>7366.2460615533264</v>
      </c>
      <c r="G34" s="41">
        <v>4.8</v>
      </c>
      <c r="H34" s="42">
        <v>4.32</v>
      </c>
      <c r="I34" s="42">
        <v>3.5999999999999996</v>
      </c>
      <c r="J34" s="43">
        <v>2.88</v>
      </c>
      <c r="K34" s="47">
        <f t="shared" si="3"/>
        <v>631.75497691516784</v>
      </c>
      <c r="L34" s="48">
        <f t="shared" si="4"/>
        <v>701.94997435018627</v>
      </c>
      <c r="M34" s="48">
        <f t="shared" si="5"/>
        <v>842.33996922022379</v>
      </c>
      <c r="N34" s="49">
        <f t="shared" si="6"/>
        <v>1052.9249615252797</v>
      </c>
    </row>
    <row r="35" spans="1:14" x14ac:dyDescent="0.25">
      <c r="B35" s="14"/>
      <c r="C35" s="206" t="s">
        <v>842</v>
      </c>
      <c r="D35" s="207"/>
      <c r="E35" s="207"/>
      <c r="F35" s="208"/>
      <c r="G35" s="199" t="s">
        <v>870</v>
      </c>
      <c r="H35" s="200"/>
      <c r="I35" s="200"/>
      <c r="J35" s="201"/>
      <c r="K35" s="199" t="s">
        <v>870</v>
      </c>
      <c r="L35" s="200"/>
      <c r="M35" s="200"/>
      <c r="N35" s="201"/>
    </row>
    <row r="36" spans="1:14" x14ac:dyDescent="0.25">
      <c r="B36" t="s">
        <v>871</v>
      </c>
      <c r="C36" s="24">
        <f>24338.9492682927*(1/0.9)</f>
        <v>27043.276964769648</v>
      </c>
      <c r="D36" s="24">
        <f>25925.8208461921*(1/0.9)</f>
        <v>28806.467606880153</v>
      </c>
      <c r="E36" s="24">
        <f>27278.0383673469*(1/0.9)</f>
        <v>30308.931519274378</v>
      </c>
      <c r="F36" s="24">
        <f>28705.0468292683*(1/0.9)</f>
        <v>31894.49647696477</v>
      </c>
      <c r="G36" s="26">
        <v>150</v>
      </c>
      <c r="H36" s="26">
        <v>221.42857142857144</v>
      </c>
      <c r="I36" s="26">
        <v>292.85714285714289</v>
      </c>
      <c r="J36" s="26">
        <v>400</v>
      </c>
      <c r="K36" s="26">
        <v>150</v>
      </c>
      <c r="L36" s="26">
        <v>221.42857142857144</v>
      </c>
      <c r="M36" s="26">
        <v>292.85714285714289</v>
      </c>
      <c r="N36" s="26">
        <v>400</v>
      </c>
    </row>
    <row r="37" spans="1:14" x14ac:dyDescent="0.25">
      <c r="B37" s="26" t="s">
        <v>872</v>
      </c>
      <c r="C37" s="24">
        <f>83601.2022665076*(1/0.9)</f>
        <v>92890.224740564023</v>
      </c>
      <c r="D37" s="24">
        <f>88144.2647353976*(1/0.9)</f>
        <v>97938.071928219579</v>
      </c>
      <c r="E37" s="24">
        <f>93691.3435059302*(1/0.9)</f>
        <v>104101.49278436694</v>
      </c>
      <c r="F37" s="24">
        <f>102637.025437239*(1/0.9)</f>
        <v>114041.13937471039</v>
      </c>
      <c r="G37" s="26">
        <v>150</v>
      </c>
      <c r="H37" s="26">
        <v>207.14285714285717</v>
      </c>
      <c r="I37" s="26">
        <v>264.28571428571433</v>
      </c>
      <c r="J37" s="26">
        <v>350</v>
      </c>
      <c r="K37" s="26">
        <v>150</v>
      </c>
      <c r="L37" s="26">
        <v>207.14285714285717</v>
      </c>
      <c r="M37" s="26">
        <v>264.28571428571433</v>
      </c>
      <c r="N37" s="26">
        <v>350</v>
      </c>
    </row>
    <row r="38" spans="1:14" x14ac:dyDescent="0.25">
      <c r="B38" s="26" t="s">
        <v>873</v>
      </c>
      <c r="C38" s="24">
        <f>153819.026135236*(1/0.9)</f>
        <v>170910.02903915141</v>
      </c>
      <c r="D38" s="24">
        <f>160845.907170577*(1/0.9)</f>
        <v>178717.6746339747</v>
      </c>
      <c r="E38" s="24">
        <f>170834.805129761*(1/0.9)</f>
        <v>189816.45014417882</v>
      </c>
      <c r="F38" s="24">
        <f>187865.367598651*(1/0.9)</f>
        <v>208739.29733183436</v>
      </c>
      <c r="G38" s="26">
        <v>150</v>
      </c>
      <c r="H38" s="26">
        <v>192.85714285714283</v>
      </c>
      <c r="I38" s="26">
        <v>235.71428571428567</v>
      </c>
      <c r="J38" s="26">
        <v>300</v>
      </c>
      <c r="K38" s="26">
        <v>150</v>
      </c>
      <c r="L38" s="26">
        <v>192.85714285714283</v>
      </c>
      <c r="M38" s="26">
        <v>235.71428571428567</v>
      </c>
      <c r="N38" s="26">
        <v>300</v>
      </c>
    </row>
    <row r="39" spans="1:14" ht="14.4" x14ac:dyDescent="0.3">
      <c r="B39" t="s">
        <v>874</v>
      </c>
      <c r="C39" s="75">
        <f>21582.7583507079*(1/0.9)</f>
        <v>23980.842611897693</v>
      </c>
      <c r="D39" s="24">
        <f>23803.1914019772*(1/0.9)</f>
        <v>26447.990446641346</v>
      </c>
      <c r="E39" s="24">
        <f>25532.4099186522*(1/0.9)</f>
        <v>28369.344354057976</v>
      </c>
      <c r="F39" s="24">
        <f>28190.0754238787*(1/0.9)</f>
        <v>31322.306026531838</v>
      </c>
      <c r="G39" s="26">
        <v>100</v>
      </c>
      <c r="H39" s="26">
        <v>157.14285714285717</v>
      </c>
      <c r="I39" s="26">
        <v>214.28571428571433</v>
      </c>
      <c r="J39" s="26">
        <v>300</v>
      </c>
      <c r="K39" s="26">
        <v>100</v>
      </c>
      <c r="L39" s="26">
        <v>157.14285714285717</v>
      </c>
      <c r="M39" s="26">
        <v>214.28571428571433</v>
      </c>
      <c r="N39" s="26">
        <v>300</v>
      </c>
    </row>
    <row r="40" spans="1:14" x14ac:dyDescent="0.25">
      <c r="B40" t="s">
        <v>875</v>
      </c>
      <c r="C40" s="24">
        <f>5210.42808533938*(1/0.9)</f>
        <v>5789.364539265981</v>
      </c>
      <c r="D40" s="24">
        <f>5600.06223168085*(1/0.9)</f>
        <v>6222.2913685342737</v>
      </c>
      <c r="E40" s="24">
        <f>5786.6475975345*(1/0.9)</f>
        <v>6429.6084417050051</v>
      </c>
      <c r="F40" s="24">
        <f>6286.03784143694*(1/0.9)</f>
        <v>6984.486490485494</v>
      </c>
      <c r="G40" s="26">
        <v>150</v>
      </c>
      <c r="H40" s="26">
        <v>178.57142857142856</v>
      </c>
      <c r="I40" s="26">
        <v>207.14285714285711</v>
      </c>
      <c r="J40" s="26">
        <v>250</v>
      </c>
      <c r="K40" s="26">
        <v>150</v>
      </c>
      <c r="L40" s="26">
        <v>178.57142857142856</v>
      </c>
      <c r="M40" s="26">
        <v>207.14285714285711</v>
      </c>
      <c r="N40" s="26">
        <v>250</v>
      </c>
    </row>
    <row r="41" spans="1:14" x14ac:dyDescent="0.25">
      <c r="B41" t="s">
        <v>876</v>
      </c>
      <c r="C41" s="24">
        <f>54905.9248780488*(1/0.9)</f>
        <v>61006.583197831969</v>
      </c>
      <c r="D41" s="26">
        <f>49040.0712195122*(1/0.9)</f>
        <v>54488.968021680215</v>
      </c>
      <c r="E41" s="26">
        <f>44072.5915447154*(1/0.9)</f>
        <v>48969.546160794933</v>
      </c>
      <c r="F41" s="26">
        <f>39844.9492682927*(1/0.9)</f>
        <v>44272.165853658531</v>
      </c>
    </row>
    <row r="42" spans="1:14" x14ac:dyDescent="0.25">
      <c r="B42" s="14"/>
      <c r="C42" s="193" t="s">
        <v>877</v>
      </c>
      <c r="D42" s="194"/>
      <c r="E42" s="194"/>
      <c r="F42" s="195"/>
      <c r="G42" s="193" t="s">
        <v>878</v>
      </c>
      <c r="H42" s="194"/>
      <c r="I42" s="194"/>
      <c r="J42" s="195"/>
      <c r="K42" s="193" t="s">
        <v>878</v>
      </c>
      <c r="L42" s="194"/>
      <c r="M42" s="194"/>
      <c r="N42" s="195"/>
    </row>
    <row r="43" spans="1:14" x14ac:dyDescent="0.25">
      <c r="B43" s="27" t="s">
        <v>71</v>
      </c>
      <c r="C43" s="27">
        <f>99.9150582551923*(1/0.9)</f>
        <v>111.01673139465815</v>
      </c>
      <c r="D43" s="27">
        <f>110.584463707242*(1/0.9)</f>
        <v>122.87162634138051</v>
      </c>
      <c r="E43" s="27">
        <f>124.73701588032*(1/0.9)</f>
        <v>138.59668431146639</v>
      </c>
      <c r="F43" s="27">
        <f>141.323705393039*(1/0.9)</f>
        <v>157.02633932559937</v>
      </c>
      <c r="G43" s="28">
        <v>94.265017978291738</v>
      </c>
      <c r="H43" s="28">
        <v>77.297314742199234</v>
      </c>
      <c r="I43" s="28">
        <v>58.444311146540876</v>
      </c>
      <c r="J43" s="28">
        <v>42.419258090231281</v>
      </c>
      <c r="K43" s="28">
        <v>94.265017978291738</v>
      </c>
      <c r="L43" s="28">
        <v>77.297314742199234</v>
      </c>
      <c r="M43" s="28">
        <v>58.444311146540876</v>
      </c>
      <c r="N43" s="28">
        <v>42.419258090231281</v>
      </c>
    </row>
    <row r="44" spans="1:14" x14ac:dyDescent="0.25">
      <c r="B44" s="16" t="s">
        <v>879</v>
      </c>
      <c r="C44" s="193" t="s">
        <v>877</v>
      </c>
      <c r="D44" s="194"/>
      <c r="E44" s="194"/>
      <c r="F44" s="195"/>
      <c r="G44" s="193" t="s">
        <v>880</v>
      </c>
      <c r="H44" s="194"/>
      <c r="I44" s="194"/>
      <c r="J44" s="195"/>
      <c r="K44" s="193" t="s">
        <v>880</v>
      </c>
      <c r="L44" s="194"/>
      <c r="M44" s="194"/>
      <c r="N44" s="195"/>
    </row>
    <row r="45" spans="1:14" x14ac:dyDescent="0.25">
      <c r="B45" s="16" t="s">
        <v>881</v>
      </c>
      <c r="C45" s="16">
        <f>10.6498222151261*(1/0.9)</f>
        <v>11.833135794584505</v>
      </c>
      <c r="D45" s="16">
        <f>11.0423218053641*(1/0.9)</f>
        <v>12.269246450404571</v>
      </c>
      <c r="E45" s="16">
        <f>11.8249318578997*(1/0.9)</f>
        <v>13.138813175444064</v>
      </c>
      <c r="F45" s="16">
        <f>13.9023354862321*(1/0.9)</f>
        <v>15.4470394291468</v>
      </c>
      <c r="G45" s="17">
        <v>590</v>
      </c>
      <c r="H45" s="17">
        <v>531</v>
      </c>
      <c r="I45" s="17">
        <v>442.5</v>
      </c>
      <c r="J45" s="17">
        <v>324.5</v>
      </c>
      <c r="K45" s="17">
        <v>590</v>
      </c>
      <c r="L45" s="17">
        <v>531</v>
      </c>
      <c r="M45" s="17">
        <v>442.5</v>
      </c>
      <c r="N45" s="17">
        <v>324.5</v>
      </c>
    </row>
    <row r="46" spans="1:14" x14ac:dyDescent="0.25">
      <c r="B46" s="18" t="s">
        <v>882</v>
      </c>
      <c r="C46" s="18">
        <f>13.9555270307012*(1/0.9)</f>
        <v>15.506141145223536</v>
      </c>
      <c r="D46" s="18">
        <f>14.4404681244321*(1/0.9)</f>
        <v>16.044964582702345</v>
      </c>
      <c r="E46" s="18">
        <f>16.0831448495096*(1/0.9)</f>
        <v>17.870160943899503</v>
      </c>
      <c r="F46" s="18">
        <f>18.2176204211586*(1/0.9)</f>
        <v>20.241800467953965</v>
      </c>
      <c r="G46" s="19">
        <v>550</v>
      </c>
      <c r="H46" s="19">
        <v>484</v>
      </c>
      <c r="I46" s="19">
        <v>357.5</v>
      </c>
      <c r="J46" s="19">
        <v>275</v>
      </c>
      <c r="K46" s="19">
        <v>550</v>
      </c>
      <c r="L46" s="19">
        <v>484</v>
      </c>
      <c r="M46" s="19">
        <v>357.5</v>
      </c>
      <c r="N46" s="19">
        <v>275</v>
      </c>
    </row>
    <row r="47" spans="1:14" x14ac:dyDescent="0.25">
      <c r="B47" s="18" t="s">
        <v>883</v>
      </c>
      <c r="C47" s="18">
        <f>27.1827732017803*(1/0.9)</f>
        <v>30.203081335311403</v>
      </c>
      <c r="D47" s="18">
        <f>28.1273483323441*(1/0.9)</f>
        <v>31.252609258160064</v>
      </c>
      <c r="E47" s="18">
        <f>31.3269773225922*(1/0.9)</f>
        <v>34.807752580658025</v>
      </c>
      <c r="F47" s="18">
        <f>35.4845390715132*(1/0.9)</f>
        <v>39.427265635014628</v>
      </c>
      <c r="G47" s="19">
        <v>1025</v>
      </c>
      <c r="H47" s="19">
        <v>902</v>
      </c>
      <c r="I47" s="19">
        <v>666.25</v>
      </c>
      <c r="J47" s="19">
        <v>512.5</v>
      </c>
      <c r="K47" s="19">
        <v>1025</v>
      </c>
      <c r="L47" s="19">
        <v>902</v>
      </c>
      <c r="M47" s="19">
        <v>666.25</v>
      </c>
      <c r="N47" s="19">
        <v>512.5</v>
      </c>
    </row>
    <row r="48" spans="1:14" x14ac:dyDescent="0.25">
      <c r="B48" s="18" t="s">
        <v>884</v>
      </c>
      <c r="C48" s="18">
        <f>8.8007828121539*(1/0.9)</f>
        <v>9.7786475690598866</v>
      </c>
      <c r="D48" s="18">
        <f>9.68086109336929*(1/0.9)</f>
        <v>10.756512325965875</v>
      </c>
      <c r="E48" s="18">
        <f>11.5815857146053*(1/0.9)</f>
        <v>12.868428571783671</v>
      </c>
      <c r="F48" s="18">
        <f>13.6632153158689*(1/0.9)</f>
        <v>15.181350350965475</v>
      </c>
      <c r="G48" s="19">
        <v>8761</v>
      </c>
      <c r="H48" s="19">
        <v>7709.68</v>
      </c>
      <c r="I48" s="19">
        <v>5957.48</v>
      </c>
      <c r="J48" s="19">
        <v>4818.55</v>
      </c>
      <c r="K48" s="19">
        <v>8761</v>
      </c>
      <c r="L48" s="19">
        <v>7709.68</v>
      </c>
      <c r="M48" s="19">
        <v>5957.48</v>
      </c>
      <c r="N48" s="19">
        <v>4818.55</v>
      </c>
    </row>
    <row r="49" spans="2:14" x14ac:dyDescent="0.25">
      <c r="B49" s="23" t="s">
        <v>885</v>
      </c>
      <c r="C49" s="23">
        <f>11.5840303764976*(1/0.9)</f>
        <v>12.871144862775076</v>
      </c>
      <c r="D49" s="23">
        <f>12.3478125991238*(1/0.9)</f>
        <v>13.719791776804202</v>
      </c>
      <c r="E49" s="23">
        <f>14.3301746405764*(1/0.9)</f>
        <v>15.922416267307067</v>
      </c>
      <c r="F49" s="23">
        <f>16.3958583790427*(1/0.9)</f>
        <v>18.217620421158568</v>
      </c>
      <c r="G49" s="22">
        <v>4932</v>
      </c>
      <c r="H49" s="22">
        <v>4340.16</v>
      </c>
      <c r="I49" s="22">
        <v>3205.8</v>
      </c>
      <c r="J49" s="22">
        <v>2466</v>
      </c>
      <c r="K49" s="22">
        <v>4932</v>
      </c>
      <c r="L49" s="22">
        <v>4340.16</v>
      </c>
      <c r="M49" s="22">
        <v>3205.8</v>
      </c>
      <c r="N49" s="22">
        <v>2466</v>
      </c>
    </row>
    <row r="50" spans="2:14" x14ac:dyDescent="0.25">
      <c r="C50" s="26"/>
      <c r="D50" s="26"/>
      <c r="E50" s="26"/>
      <c r="F50" s="26"/>
      <c r="G50" s="25"/>
      <c r="H50" s="25"/>
      <c r="I50" s="25"/>
      <c r="J50" s="25"/>
      <c r="K50" s="25"/>
      <c r="L50" s="25"/>
      <c r="M50" s="25"/>
      <c r="N50" s="25"/>
    </row>
    <row r="52" spans="2:14" x14ac:dyDescent="0.25">
      <c r="C52" s="26"/>
      <c r="D52" s="26"/>
      <c r="E52" s="26"/>
      <c r="F52" s="26"/>
      <c r="G52" s="25"/>
      <c r="H52" s="25"/>
      <c r="I52" s="25"/>
      <c r="J52" s="25"/>
      <c r="K52" s="25"/>
      <c r="L52" s="25"/>
      <c r="M52" s="25"/>
      <c r="N52" s="25"/>
    </row>
    <row r="53" spans="2:14" x14ac:dyDescent="0.25">
      <c r="G53" s="25"/>
      <c r="H53" s="25"/>
      <c r="I53" s="25"/>
      <c r="J53" s="25"/>
      <c r="K53" s="25"/>
      <c r="L53" s="25"/>
      <c r="M53" s="25"/>
      <c r="N53" s="25"/>
    </row>
    <row r="54" spans="2:14" x14ac:dyDescent="0.25">
      <c r="C54" s="26"/>
      <c r="D54" s="26"/>
      <c r="E54" s="26"/>
      <c r="F54" s="26"/>
      <c r="G54" s="25"/>
      <c r="H54" s="25"/>
      <c r="I54" s="25"/>
      <c r="J54" s="25"/>
      <c r="K54" s="25"/>
      <c r="L54" s="25"/>
      <c r="M54" s="25"/>
      <c r="N54" s="25"/>
    </row>
    <row r="55" spans="2:14" x14ac:dyDescent="0.25">
      <c r="G55" s="25"/>
      <c r="H55" s="25"/>
      <c r="I55" s="25"/>
      <c r="J55" s="25"/>
      <c r="K55" s="25"/>
      <c r="L55" s="25"/>
      <c r="M55" s="25"/>
      <c r="N55" s="25"/>
    </row>
    <row r="56" spans="2:14" x14ac:dyDescent="0.25">
      <c r="C56" s="26"/>
      <c r="D56" s="26"/>
      <c r="E56" s="26"/>
      <c r="F56" s="26"/>
      <c r="G56" s="25"/>
      <c r="H56" s="25"/>
      <c r="I56" s="25"/>
      <c r="J56" s="25"/>
      <c r="K56" s="25"/>
      <c r="L56" s="25"/>
      <c r="M56" s="25"/>
      <c r="N56" s="25"/>
    </row>
    <row r="57" spans="2:14" x14ac:dyDescent="0.25">
      <c r="G57" s="25"/>
      <c r="H57" s="25"/>
      <c r="I57" s="25"/>
      <c r="J57" s="25"/>
      <c r="K57" s="25"/>
      <c r="L57" s="25"/>
      <c r="M57" s="25"/>
      <c r="N57" s="25"/>
    </row>
    <row r="58" spans="2:14" x14ac:dyDescent="0.25">
      <c r="C58" s="26"/>
      <c r="D58" s="26"/>
      <c r="E58" s="26"/>
      <c r="F58" s="26"/>
      <c r="G58" s="25"/>
      <c r="H58" s="25"/>
      <c r="I58" s="25"/>
      <c r="J58" s="25"/>
      <c r="K58" s="25"/>
      <c r="L58" s="25"/>
      <c r="M58" s="25"/>
      <c r="N58" s="25"/>
    </row>
    <row r="59" spans="2:14" x14ac:dyDescent="0.25">
      <c r="G59" s="25"/>
      <c r="H59" s="25"/>
      <c r="I59" s="25"/>
      <c r="J59" s="25"/>
      <c r="K59" s="25"/>
      <c r="L59" s="25"/>
      <c r="M59" s="25"/>
      <c r="N59" s="25"/>
    </row>
    <row r="60" spans="2:14" x14ac:dyDescent="0.25">
      <c r="C60" s="26"/>
      <c r="D60" s="26"/>
      <c r="E60" s="26"/>
      <c r="F60" s="26"/>
      <c r="G60" s="25"/>
      <c r="H60" s="25"/>
      <c r="I60" s="25"/>
      <c r="J60" s="25"/>
      <c r="K60" s="25"/>
      <c r="L60" s="25"/>
      <c r="M60" s="25"/>
      <c r="N60" s="25"/>
    </row>
    <row r="61" spans="2:14" x14ac:dyDescent="0.25">
      <c r="G61" s="25"/>
      <c r="H61" s="25"/>
      <c r="I61" s="25"/>
      <c r="J61" s="25"/>
      <c r="K61" s="25"/>
      <c r="L61" s="25"/>
      <c r="M61" s="25"/>
      <c r="N61" s="25"/>
    </row>
    <row r="62" spans="2:14" x14ac:dyDescent="0.25">
      <c r="C62" s="26"/>
      <c r="D62" s="26"/>
      <c r="E62" s="26"/>
      <c r="F62" s="26"/>
      <c r="G62" s="25"/>
      <c r="H62" s="25"/>
      <c r="I62" s="25"/>
      <c r="J62" s="25"/>
      <c r="K62" s="25"/>
      <c r="L62" s="25"/>
      <c r="M62" s="25"/>
      <c r="N62" s="25"/>
    </row>
    <row r="63" spans="2:14" x14ac:dyDescent="0.25">
      <c r="G63" s="25"/>
      <c r="H63" s="25"/>
      <c r="I63" s="25"/>
      <c r="J63" s="25"/>
      <c r="K63" s="25"/>
      <c r="L63" s="25"/>
      <c r="M63" s="25"/>
      <c r="N63" s="25"/>
    </row>
    <row r="64" spans="2:14" x14ac:dyDescent="0.25">
      <c r="C64" s="26"/>
      <c r="D64" s="26"/>
      <c r="E64" s="26"/>
      <c r="F64" s="26"/>
      <c r="G64" s="25"/>
      <c r="H64" s="25"/>
      <c r="I64" s="25"/>
      <c r="J64" s="25"/>
      <c r="K64" s="25"/>
      <c r="L64" s="25"/>
      <c r="M64" s="25"/>
      <c r="N64" s="25"/>
    </row>
    <row r="65" spans="3:14" x14ac:dyDescent="0.25">
      <c r="G65" s="25"/>
      <c r="H65" s="25"/>
      <c r="I65" s="25"/>
      <c r="J65" s="25"/>
      <c r="K65" s="25"/>
      <c r="L65" s="25"/>
      <c r="M65" s="25"/>
      <c r="N65" s="25"/>
    </row>
    <row r="66" spans="3:14" x14ac:dyDescent="0.25">
      <c r="C66" s="26"/>
      <c r="D66" s="26"/>
      <c r="E66" s="26"/>
      <c r="F66" s="26"/>
      <c r="G66" s="25"/>
      <c r="H66" s="25"/>
      <c r="I66" s="25"/>
      <c r="J66" s="25"/>
      <c r="K66" s="25"/>
      <c r="L66" s="25"/>
      <c r="M66" s="25"/>
      <c r="N66" s="25"/>
    </row>
    <row r="67" spans="3:14" x14ac:dyDescent="0.25">
      <c r="G67" s="25"/>
      <c r="H67" s="25"/>
      <c r="I67" s="25"/>
      <c r="J67" s="25"/>
      <c r="K67" s="25"/>
      <c r="L67" s="25"/>
      <c r="M67" s="25"/>
      <c r="N67" s="25"/>
    </row>
    <row r="68" spans="3:14" x14ac:dyDescent="0.25">
      <c r="C68" s="26"/>
      <c r="D68" s="26"/>
      <c r="E68" s="26"/>
      <c r="F68" s="26"/>
      <c r="G68" s="25"/>
      <c r="H68" s="25"/>
      <c r="I68" s="25"/>
      <c r="J68" s="25"/>
      <c r="K68" s="25"/>
      <c r="L68" s="25"/>
      <c r="M68" s="25"/>
      <c r="N68" s="25"/>
    </row>
    <row r="69" spans="3:14" x14ac:dyDescent="0.25">
      <c r="G69" s="25"/>
      <c r="H69" s="25"/>
      <c r="I69" s="25"/>
      <c r="J69" s="25"/>
      <c r="K69" s="25"/>
      <c r="L69" s="25"/>
      <c r="M69" s="25"/>
      <c r="N69" s="25"/>
    </row>
    <row r="70" spans="3:14" x14ac:dyDescent="0.25">
      <c r="C70" s="26"/>
      <c r="D70" s="26"/>
      <c r="E70" s="26"/>
      <c r="F70" s="26"/>
      <c r="G70" s="25"/>
      <c r="H70" s="25"/>
      <c r="I70" s="25"/>
      <c r="J70" s="25"/>
      <c r="K70" s="25"/>
      <c r="L70" s="25"/>
      <c r="M70" s="25"/>
      <c r="N70" s="25"/>
    </row>
    <row r="71" spans="3:14" x14ac:dyDescent="0.25">
      <c r="G71" s="25"/>
      <c r="H71" s="25"/>
      <c r="I71" s="25"/>
      <c r="J71" s="25"/>
      <c r="K71" s="25"/>
      <c r="L71" s="25"/>
      <c r="M71" s="25"/>
      <c r="N71" s="25"/>
    </row>
    <row r="72" spans="3:14" x14ac:dyDescent="0.25">
      <c r="C72" s="26"/>
      <c r="D72" s="26"/>
      <c r="E72" s="26"/>
      <c r="F72" s="26"/>
      <c r="G72" s="25"/>
      <c r="H72" s="25"/>
      <c r="I72" s="25"/>
      <c r="J72" s="25"/>
      <c r="K72" s="25"/>
      <c r="L72" s="25"/>
      <c r="M72" s="25"/>
      <c r="N72" s="25"/>
    </row>
    <row r="73" spans="3:14" x14ac:dyDescent="0.25">
      <c r="G73" s="25"/>
      <c r="H73" s="25"/>
      <c r="I73" s="25"/>
      <c r="J73" s="25"/>
      <c r="K73" s="25"/>
      <c r="L73" s="25"/>
      <c r="M73" s="25"/>
      <c r="N73" s="25"/>
    </row>
    <row r="74" spans="3:14" x14ac:dyDescent="0.25">
      <c r="C74" s="26"/>
      <c r="D74" s="26"/>
      <c r="E74" s="26"/>
      <c r="F74" s="26"/>
      <c r="G74" s="25"/>
      <c r="H74" s="25"/>
      <c r="I74" s="25"/>
      <c r="J74" s="25"/>
      <c r="K74" s="25"/>
      <c r="L74" s="25"/>
      <c r="M74" s="25"/>
      <c r="N74" s="25"/>
    </row>
    <row r="75" spans="3:14" x14ac:dyDescent="0.25">
      <c r="G75" s="25"/>
      <c r="H75" s="25"/>
      <c r="I75" s="25"/>
      <c r="J75" s="25"/>
      <c r="K75" s="25"/>
      <c r="L75" s="25"/>
      <c r="M75" s="25"/>
      <c r="N75" s="25"/>
    </row>
    <row r="76" spans="3:14" x14ac:dyDescent="0.25">
      <c r="C76" s="26"/>
      <c r="D76" s="26"/>
      <c r="E76" s="26"/>
      <c r="F76" s="26"/>
      <c r="G76" s="25"/>
      <c r="H76" s="25"/>
      <c r="I76" s="25"/>
      <c r="J76" s="25"/>
      <c r="K76" s="25"/>
      <c r="L76" s="25"/>
      <c r="M76" s="25"/>
      <c r="N76" s="25"/>
    </row>
    <row r="77" spans="3:14" x14ac:dyDescent="0.25">
      <c r="G77" s="25"/>
      <c r="H77" s="25"/>
      <c r="I77" s="25"/>
      <c r="J77" s="25"/>
      <c r="K77" s="25"/>
      <c r="L77" s="25"/>
      <c r="M77" s="25"/>
      <c r="N77" s="25"/>
    </row>
    <row r="78" spans="3:14" x14ac:dyDescent="0.25">
      <c r="C78" s="26"/>
      <c r="D78" s="26"/>
      <c r="E78" s="26"/>
      <c r="F78" s="26"/>
      <c r="G78" s="25"/>
      <c r="H78" s="25"/>
      <c r="I78" s="25"/>
      <c r="J78" s="25"/>
      <c r="K78" s="25"/>
      <c r="L78" s="25"/>
      <c r="M78" s="25"/>
      <c r="N78" s="25"/>
    </row>
    <row r="79" spans="3:14" x14ac:dyDescent="0.25">
      <c r="G79" s="25"/>
      <c r="H79" s="25"/>
      <c r="I79" s="25"/>
      <c r="J79" s="25"/>
      <c r="K79" s="25"/>
      <c r="L79" s="25"/>
      <c r="M79" s="25"/>
      <c r="N79" s="25"/>
    </row>
    <row r="80" spans="3:14" x14ac:dyDescent="0.25">
      <c r="C80" s="26"/>
      <c r="D80" s="26"/>
      <c r="E80" s="26"/>
      <c r="F80" s="26"/>
      <c r="G80" s="25"/>
      <c r="H80" s="25"/>
      <c r="I80" s="25"/>
      <c r="J80" s="25"/>
      <c r="K80" s="25"/>
      <c r="L80" s="25"/>
      <c r="M80" s="25"/>
      <c r="N80" s="25"/>
    </row>
    <row r="81" spans="3:14" x14ac:dyDescent="0.25">
      <c r="G81" s="25"/>
      <c r="H81" s="25"/>
      <c r="I81" s="25"/>
      <c r="J81" s="25"/>
      <c r="K81" s="25"/>
      <c r="L81" s="25"/>
      <c r="M81" s="25"/>
      <c r="N81" s="25"/>
    </row>
    <row r="82" spans="3:14" x14ac:dyDescent="0.25">
      <c r="C82" s="26"/>
      <c r="D82" s="26"/>
      <c r="E82" s="26"/>
      <c r="F82" s="26"/>
      <c r="G82" s="25"/>
      <c r="H82" s="25"/>
      <c r="I82" s="25"/>
      <c r="J82" s="25"/>
      <c r="K82" s="25"/>
      <c r="L82" s="25"/>
      <c r="M82" s="25"/>
      <c r="N82" s="25"/>
    </row>
    <row r="83" spans="3:14" x14ac:dyDescent="0.25">
      <c r="G83" s="25"/>
      <c r="H83" s="25"/>
      <c r="I83" s="25"/>
      <c r="J83" s="25"/>
      <c r="K83" s="25"/>
      <c r="L83" s="25"/>
      <c r="M83" s="25"/>
      <c r="N83" s="25"/>
    </row>
    <row r="84" spans="3:14" x14ac:dyDescent="0.25">
      <c r="C84" s="26"/>
      <c r="D84" s="26"/>
      <c r="E84" s="26"/>
      <c r="F84" s="26"/>
      <c r="G84" s="25"/>
      <c r="H84" s="25"/>
      <c r="I84" s="25"/>
      <c r="J84" s="25"/>
      <c r="K84" s="25"/>
      <c r="L84" s="25"/>
      <c r="M84" s="25"/>
      <c r="N84" s="25"/>
    </row>
    <row r="85" spans="3:14" x14ac:dyDescent="0.25">
      <c r="G85" s="25"/>
      <c r="H85" s="25"/>
      <c r="I85" s="25"/>
      <c r="J85" s="25"/>
      <c r="K85" s="25"/>
      <c r="L85" s="25"/>
      <c r="M85" s="25"/>
      <c r="N85" s="25"/>
    </row>
    <row r="86" spans="3:14" x14ac:dyDescent="0.25">
      <c r="C86" s="26"/>
      <c r="D86" s="26"/>
      <c r="E86" s="26"/>
      <c r="F86" s="26"/>
      <c r="G86" s="25"/>
      <c r="H86" s="25"/>
      <c r="I86" s="25"/>
      <c r="J86" s="25"/>
      <c r="K86" s="25"/>
      <c r="L86" s="25"/>
      <c r="M86" s="25"/>
      <c r="N86" s="25"/>
    </row>
    <row r="87" spans="3:14" x14ac:dyDescent="0.25">
      <c r="G87" s="25"/>
      <c r="H87" s="25"/>
      <c r="I87" s="25"/>
      <c r="J87" s="25"/>
      <c r="K87" s="25"/>
      <c r="L87" s="25"/>
      <c r="M87" s="25"/>
      <c r="N87" s="25"/>
    </row>
    <row r="88" spans="3:14" x14ac:dyDescent="0.25">
      <c r="C88" s="26"/>
      <c r="D88" s="26"/>
      <c r="E88" s="26"/>
      <c r="F88" s="26"/>
      <c r="G88" s="25"/>
      <c r="H88" s="25"/>
      <c r="I88" s="25"/>
      <c r="J88" s="25"/>
      <c r="K88" s="25"/>
      <c r="L88" s="25"/>
      <c r="M88" s="25"/>
      <c r="N88" s="25"/>
    </row>
    <row r="89" spans="3:14" x14ac:dyDescent="0.25">
      <c r="G89" s="25"/>
      <c r="H89" s="25"/>
      <c r="I89" s="25"/>
      <c r="J89" s="25"/>
      <c r="K89" s="25"/>
      <c r="L89" s="25"/>
      <c r="M89" s="25"/>
      <c r="N89" s="25"/>
    </row>
    <row r="90" spans="3:14" x14ac:dyDescent="0.25">
      <c r="C90" s="26"/>
      <c r="D90" s="26"/>
      <c r="E90" s="26"/>
      <c r="F90" s="26"/>
      <c r="G90" s="25"/>
      <c r="H90" s="25"/>
      <c r="I90" s="25"/>
      <c r="J90" s="25"/>
      <c r="K90" s="25"/>
      <c r="L90" s="25"/>
      <c r="M90" s="25"/>
      <c r="N90" s="25"/>
    </row>
    <row r="91" spans="3:14" x14ac:dyDescent="0.25">
      <c r="G91" s="25"/>
      <c r="H91" s="25"/>
      <c r="I91" s="25"/>
      <c r="J91" s="25"/>
      <c r="K91" s="25"/>
      <c r="L91" s="25"/>
      <c r="M91" s="25"/>
      <c r="N91" s="25"/>
    </row>
    <row r="92" spans="3:14" x14ac:dyDescent="0.25">
      <c r="C92" s="26"/>
      <c r="D92" s="26"/>
      <c r="E92" s="26"/>
      <c r="F92" s="26"/>
      <c r="G92" s="25"/>
      <c r="H92" s="25"/>
      <c r="I92" s="25"/>
      <c r="J92" s="25"/>
      <c r="K92" s="25"/>
      <c r="L92" s="25"/>
      <c r="M92" s="25"/>
      <c r="N92" s="25"/>
    </row>
    <row r="93" spans="3:14" x14ac:dyDescent="0.25">
      <c r="G93" s="25"/>
      <c r="H93" s="25"/>
      <c r="I93" s="25"/>
      <c r="J93" s="25"/>
      <c r="K93" s="25"/>
      <c r="L93" s="25"/>
      <c r="M93" s="25"/>
      <c r="N93" s="25"/>
    </row>
    <row r="95" spans="3:14" x14ac:dyDescent="0.25">
      <c r="G95" s="25"/>
      <c r="H95" s="25"/>
      <c r="I95" s="25"/>
      <c r="J95" s="25"/>
      <c r="K95" s="25"/>
      <c r="L95" s="25"/>
      <c r="M95" s="25"/>
      <c r="N95" s="25"/>
    </row>
    <row r="96" spans="3:14" x14ac:dyDescent="0.25">
      <c r="C96" s="26"/>
      <c r="D96" s="26"/>
      <c r="E96" s="26"/>
      <c r="F96" s="26"/>
      <c r="G96" s="25"/>
      <c r="H96" s="25"/>
      <c r="I96" s="25"/>
      <c r="J96" s="25"/>
      <c r="K96" s="25"/>
      <c r="L96" s="25"/>
      <c r="M96" s="25"/>
      <c r="N96" s="25"/>
    </row>
    <row r="97" spans="3:14" x14ac:dyDescent="0.25">
      <c r="G97" s="25"/>
      <c r="H97" s="25"/>
      <c r="I97" s="25"/>
      <c r="J97" s="25"/>
      <c r="K97" s="25"/>
      <c r="L97" s="25"/>
      <c r="M97" s="25"/>
      <c r="N97" s="25"/>
    </row>
    <row r="98" spans="3:14" x14ac:dyDescent="0.25">
      <c r="C98" s="26"/>
      <c r="D98" s="26"/>
      <c r="E98" s="26"/>
      <c r="F98" s="26"/>
      <c r="G98" s="25"/>
      <c r="H98" s="25"/>
      <c r="I98" s="25"/>
      <c r="J98" s="25"/>
      <c r="K98" s="25"/>
      <c r="L98" s="25"/>
      <c r="M98" s="25"/>
      <c r="N98" s="25"/>
    </row>
    <row r="99" spans="3:14" x14ac:dyDescent="0.25">
      <c r="G99" s="25"/>
      <c r="H99" s="25"/>
      <c r="I99" s="25"/>
      <c r="J99" s="25"/>
      <c r="K99" s="25"/>
      <c r="L99" s="25"/>
      <c r="M99" s="25"/>
      <c r="N99" s="25"/>
    </row>
    <row r="100" spans="3:14" x14ac:dyDescent="0.25">
      <c r="C100" s="26"/>
      <c r="D100" s="26"/>
      <c r="E100" s="26"/>
      <c r="F100" s="26"/>
      <c r="G100" s="25"/>
      <c r="H100" s="25"/>
      <c r="I100" s="25"/>
      <c r="J100" s="25"/>
      <c r="K100" s="25"/>
      <c r="L100" s="25"/>
      <c r="M100" s="25"/>
      <c r="N100" s="25"/>
    </row>
    <row r="101" spans="3:14" x14ac:dyDescent="0.25">
      <c r="G101" s="25"/>
      <c r="H101" s="25"/>
      <c r="I101" s="25"/>
      <c r="J101" s="25"/>
      <c r="K101" s="25"/>
      <c r="L101" s="25"/>
      <c r="M101" s="25"/>
      <c r="N101" s="25"/>
    </row>
    <row r="102" spans="3:14" x14ac:dyDescent="0.25">
      <c r="C102" s="26"/>
      <c r="D102" s="26"/>
      <c r="E102" s="26"/>
      <c r="F102" s="26"/>
      <c r="G102" s="25"/>
      <c r="H102" s="25"/>
      <c r="I102" s="25"/>
      <c r="J102" s="25"/>
      <c r="K102" s="25"/>
      <c r="L102" s="25"/>
      <c r="M102" s="25"/>
      <c r="N102" s="25"/>
    </row>
    <row r="103" spans="3:14" x14ac:dyDescent="0.25">
      <c r="G103" s="25"/>
      <c r="H103" s="25"/>
      <c r="I103" s="25"/>
      <c r="J103" s="25"/>
      <c r="K103" s="25"/>
      <c r="L103" s="25"/>
      <c r="M103" s="25"/>
      <c r="N103" s="25"/>
    </row>
    <row r="104" spans="3:14" x14ac:dyDescent="0.25">
      <c r="C104" s="26"/>
      <c r="D104" s="26"/>
      <c r="E104" s="26"/>
      <c r="F104" s="26"/>
      <c r="G104" s="25"/>
      <c r="H104" s="25"/>
      <c r="I104" s="25"/>
      <c r="J104" s="25"/>
      <c r="K104" s="25"/>
      <c r="L104" s="25"/>
      <c r="M104" s="25"/>
      <c r="N104" s="25"/>
    </row>
    <row r="105" spans="3:14" x14ac:dyDescent="0.25">
      <c r="G105" s="25"/>
      <c r="H105" s="25"/>
      <c r="I105" s="25"/>
      <c r="J105" s="25"/>
      <c r="K105" s="25"/>
      <c r="L105" s="25"/>
      <c r="M105" s="25"/>
      <c r="N105" s="25"/>
    </row>
    <row r="107" spans="3:14" x14ac:dyDescent="0.25">
      <c r="G107" s="25"/>
      <c r="H107" s="25"/>
      <c r="I107" s="25"/>
      <c r="J107" s="25"/>
      <c r="K107" s="25"/>
      <c r="L107" s="25"/>
      <c r="M107" s="25"/>
      <c r="N107" s="25"/>
    </row>
    <row r="108" spans="3:14" x14ac:dyDescent="0.25">
      <c r="C108" s="26"/>
      <c r="D108" s="26"/>
      <c r="E108" s="26"/>
      <c r="F108" s="26"/>
      <c r="G108" s="25"/>
      <c r="H108" s="25"/>
      <c r="I108" s="25"/>
      <c r="J108" s="25"/>
      <c r="K108" s="25"/>
      <c r="L108" s="25"/>
      <c r="M108" s="25"/>
      <c r="N108" s="25"/>
    </row>
    <row r="109" spans="3:14" x14ac:dyDescent="0.25">
      <c r="G109" s="25"/>
      <c r="H109" s="25"/>
      <c r="I109" s="25"/>
      <c r="J109" s="25"/>
      <c r="K109" s="25"/>
      <c r="L109" s="25"/>
      <c r="M109" s="25"/>
      <c r="N109" s="25"/>
    </row>
    <row r="110" spans="3:14" x14ac:dyDescent="0.25">
      <c r="C110" s="26"/>
      <c r="D110" s="26"/>
      <c r="E110" s="26"/>
      <c r="F110" s="26"/>
      <c r="G110" s="25"/>
      <c r="H110" s="25"/>
      <c r="I110" s="25"/>
      <c r="J110" s="25"/>
      <c r="K110" s="25"/>
      <c r="L110" s="25"/>
      <c r="M110" s="25"/>
      <c r="N110" s="25"/>
    </row>
    <row r="111" spans="3:14" x14ac:dyDescent="0.25">
      <c r="G111" s="25"/>
      <c r="H111" s="25"/>
      <c r="I111" s="25"/>
      <c r="J111" s="25"/>
      <c r="K111" s="25"/>
      <c r="L111" s="25"/>
      <c r="M111" s="25"/>
      <c r="N111" s="25"/>
    </row>
    <row r="112" spans="3:14" x14ac:dyDescent="0.25">
      <c r="C112" s="26"/>
      <c r="D112" s="26"/>
      <c r="E112" s="26"/>
      <c r="F112" s="26"/>
      <c r="G112" s="25"/>
      <c r="H112" s="25"/>
      <c r="I112" s="25"/>
      <c r="J112" s="25"/>
      <c r="K112" s="25"/>
      <c r="L112" s="25"/>
      <c r="M112" s="25"/>
      <c r="N112" s="25"/>
    </row>
    <row r="113" spans="3:14" x14ac:dyDescent="0.25">
      <c r="G113" s="25"/>
      <c r="H113" s="25"/>
      <c r="I113" s="25"/>
      <c r="J113" s="25"/>
      <c r="K113" s="25"/>
      <c r="L113" s="25"/>
      <c r="M113" s="25"/>
      <c r="N113" s="25"/>
    </row>
    <row r="114" spans="3:14" x14ac:dyDescent="0.25">
      <c r="C114" s="26"/>
      <c r="D114" s="26"/>
      <c r="E114" s="26"/>
      <c r="F114" s="26"/>
      <c r="G114" s="25"/>
      <c r="H114" s="25"/>
      <c r="I114" s="25"/>
      <c r="J114" s="25"/>
      <c r="K114" s="25"/>
      <c r="L114" s="25"/>
      <c r="M114" s="25"/>
      <c r="N114" s="25"/>
    </row>
    <row r="115" spans="3:14" x14ac:dyDescent="0.25">
      <c r="G115" s="25"/>
      <c r="H115" s="25"/>
      <c r="I115" s="25"/>
      <c r="J115" s="25"/>
      <c r="K115" s="25"/>
      <c r="L115" s="25"/>
      <c r="M115" s="25"/>
      <c r="N115" s="25"/>
    </row>
    <row r="116" spans="3:14" x14ac:dyDescent="0.25">
      <c r="C116" s="26"/>
      <c r="D116" s="26"/>
      <c r="E116" s="26"/>
      <c r="F116" s="26"/>
      <c r="G116" s="25"/>
      <c r="H116" s="25"/>
      <c r="I116" s="25"/>
      <c r="J116" s="25"/>
      <c r="K116" s="25"/>
      <c r="L116" s="25"/>
      <c r="M116" s="25"/>
      <c r="N116" s="25"/>
    </row>
    <row r="117" spans="3:14" x14ac:dyDescent="0.25">
      <c r="G117" s="25"/>
      <c r="H117" s="25"/>
      <c r="I117" s="25"/>
      <c r="J117" s="25"/>
      <c r="K117" s="25"/>
      <c r="L117" s="25"/>
      <c r="M117" s="25"/>
      <c r="N117" s="25"/>
    </row>
    <row r="118" spans="3:14" x14ac:dyDescent="0.25">
      <c r="C118" s="26"/>
      <c r="D118" s="26"/>
      <c r="E118" s="26"/>
      <c r="F118" s="26"/>
      <c r="G118" s="25"/>
      <c r="H118" s="25"/>
      <c r="I118" s="25"/>
      <c r="J118" s="25"/>
      <c r="K118" s="25"/>
      <c r="L118" s="25"/>
      <c r="M118" s="25"/>
      <c r="N118" s="25"/>
    </row>
    <row r="119" spans="3:14" x14ac:dyDescent="0.25">
      <c r="G119" s="25"/>
      <c r="H119" s="25"/>
      <c r="I119" s="25"/>
      <c r="J119" s="25"/>
      <c r="K119" s="25"/>
      <c r="L119" s="25"/>
      <c r="M119" s="25"/>
      <c r="N119" s="25"/>
    </row>
    <row r="120" spans="3:14" x14ac:dyDescent="0.25">
      <c r="C120" s="26"/>
      <c r="D120" s="26"/>
      <c r="E120" s="26"/>
      <c r="F120" s="26"/>
      <c r="G120" s="25"/>
      <c r="H120" s="25"/>
      <c r="I120" s="25"/>
      <c r="J120" s="25"/>
      <c r="K120" s="25"/>
      <c r="L120" s="25"/>
      <c r="M120" s="25"/>
      <c r="N120" s="25"/>
    </row>
    <row r="121" spans="3:14" x14ac:dyDescent="0.25">
      <c r="G121" s="25"/>
      <c r="H121" s="25"/>
      <c r="I121" s="25"/>
      <c r="J121" s="25"/>
      <c r="K121" s="25"/>
      <c r="L121" s="25"/>
      <c r="M121" s="25"/>
      <c r="N121" s="25"/>
    </row>
    <row r="122" spans="3:14" x14ac:dyDescent="0.25">
      <c r="C122" s="26"/>
      <c r="D122" s="26"/>
      <c r="E122" s="26"/>
      <c r="F122" s="26"/>
      <c r="G122" s="25"/>
      <c r="H122" s="25"/>
      <c r="I122" s="25"/>
      <c r="J122" s="25"/>
      <c r="K122" s="25"/>
      <c r="L122" s="25"/>
      <c r="M122" s="25"/>
      <c r="N122" s="25"/>
    </row>
    <row r="123" spans="3:14" x14ac:dyDescent="0.25">
      <c r="G123" s="25"/>
      <c r="H123" s="25"/>
      <c r="I123" s="25"/>
      <c r="J123" s="25"/>
      <c r="K123" s="25"/>
      <c r="L123" s="25"/>
      <c r="M123" s="25"/>
      <c r="N123" s="25"/>
    </row>
    <row r="124" spans="3:14" x14ac:dyDescent="0.25">
      <c r="C124" s="26"/>
      <c r="D124" s="26"/>
      <c r="E124" s="26"/>
      <c r="F124" s="26"/>
      <c r="G124" s="25"/>
      <c r="H124" s="25"/>
      <c r="I124" s="25"/>
      <c r="J124" s="25"/>
      <c r="K124" s="25"/>
      <c r="L124" s="25"/>
      <c r="M124" s="25"/>
      <c r="N124" s="25"/>
    </row>
    <row r="125" spans="3:14" x14ac:dyDescent="0.25">
      <c r="G125" s="25"/>
      <c r="H125" s="25"/>
      <c r="I125" s="25"/>
      <c r="J125" s="25"/>
      <c r="K125" s="25"/>
      <c r="L125" s="25"/>
      <c r="M125" s="25"/>
      <c r="N125" s="25"/>
    </row>
    <row r="126" spans="3:14" x14ac:dyDescent="0.25">
      <c r="C126" s="26"/>
      <c r="D126" s="26"/>
      <c r="E126" s="26"/>
      <c r="F126" s="26"/>
      <c r="G126" s="25"/>
      <c r="H126" s="25"/>
      <c r="I126" s="25"/>
      <c r="J126" s="25"/>
      <c r="K126" s="25"/>
      <c r="L126" s="25"/>
      <c r="M126" s="25"/>
      <c r="N126" s="25"/>
    </row>
    <row r="127" spans="3:14" x14ac:dyDescent="0.25">
      <c r="G127" s="25"/>
      <c r="H127" s="25"/>
      <c r="I127" s="25"/>
      <c r="J127" s="25"/>
      <c r="K127" s="25"/>
      <c r="L127" s="25"/>
      <c r="M127" s="25"/>
      <c r="N127" s="25"/>
    </row>
    <row r="128" spans="3:14" x14ac:dyDescent="0.25">
      <c r="C128" s="26"/>
      <c r="D128" s="26"/>
      <c r="E128" s="26"/>
      <c r="F128" s="26"/>
      <c r="G128" s="25"/>
      <c r="H128" s="25"/>
      <c r="I128" s="25"/>
      <c r="J128" s="25"/>
      <c r="K128" s="25"/>
      <c r="L128" s="25"/>
      <c r="M128" s="25"/>
      <c r="N128" s="25"/>
    </row>
    <row r="129" spans="3:14" x14ac:dyDescent="0.25">
      <c r="G129" s="25"/>
      <c r="H129" s="25"/>
      <c r="I129" s="25"/>
      <c r="J129" s="25"/>
      <c r="K129" s="25"/>
      <c r="L129" s="25"/>
      <c r="M129" s="25"/>
      <c r="N129" s="25"/>
    </row>
    <row r="130" spans="3:14" x14ac:dyDescent="0.25">
      <c r="C130" s="26"/>
      <c r="D130" s="26"/>
      <c r="E130" s="26"/>
      <c r="F130" s="26"/>
      <c r="G130" s="25"/>
      <c r="H130" s="25"/>
      <c r="I130" s="25"/>
      <c r="J130" s="25"/>
      <c r="K130" s="25"/>
      <c r="L130" s="25"/>
      <c r="M130" s="25"/>
      <c r="N130" s="25"/>
    </row>
    <row r="131" spans="3:14" x14ac:dyDescent="0.25">
      <c r="G131" s="25"/>
      <c r="H131" s="25"/>
      <c r="I131" s="25"/>
      <c r="J131" s="25"/>
      <c r="K131" s="25"/>
      <c r="L131" s="25"/>
      <c r="M131" s="25"/>
      <c r="N131" s="25"/>
    </row>
    <row r="132" spans="3:14" x14ac:dyDescent="0.25">
      <c r="C132" s="26"/>
      <c r="D132" s="26"/>
      <c r="E132" s="26"/>
      <c r="F132" s="26"/>
      <c r="G132" s="25"/>
      <c r="H132" s="25"/>
      <c r="I132" s="25"/>
      <c r="J132" s="25"/>
      <c r="K132" s="25"/>
      <c r="L132" s="25"/>
      <c r="M132" s="25"/>
      <c r="N132" s="25"/>
    </row>
    <row r="133" spans="3:14" x14ac:dyDescent="0.25">
      <c r="G133" s="25"/>
      <c r="H133" s="25"/>
      <c r="I133" s="25"/>
      <c r="J133" s="25"/>
      <c r="K133" s="25"/>
      <c r="L133" s="25"/>
      <c r="M133" s="25"/>
      <c r="N133" s="25"/>
    </row>
    <row r="134" spans="3:14" x14ac:dyDescent="0.25">
      <c r="C134" s="26"/>
      <c r="D134" s="26"/>
      <c r="E134" s="26"/>
      <c r="F134" s="26"/>
      <c r="G134" s="25"/>
      <c r="H134" s="25"/>
      <c r="I134" s="25"/>
      <c r="J134" s="25"/>
      <c r="K134" s="25"/>
      <c r="L134" s="25"/>
      <c r="M134" s="25"/>
      <c r="N134" s="25"/>
    </row>
    <row r="135" spans="3:14" x14ac:dyDescent="0.25">
      <c r="G135" s="25"/>
      <c r="H135" s="25"/>
      <c r="I135" s="25"/>
      <c r="J135" s="25"/>
      <c r="K135" s="25"/>
      <c r="L135" s="25"/>
      <c r="M135" s="25"/>
      <c r="N135" s="25"/>
    </row>
    <row r="136" spans="3:14" x14ac:dyDescent="0.25">
      <c r="C136" s="26"/>
      <c r="D136" s="26"/>
      <c r="E136" s="26"/>
      <c r="F136" s="26"/>
      <c r="G136" s="25"/>
      <c r="H136" s="25"/>
      <c r="I136" s="25"/>
      <c r="J136" s="25"/>
      <c r="K136" s="25"/>
      <c r="L136" s="25"/>
      <c r="M136" s="25"/>
      <c r="N136" s="25"/>
    </row>
    <row r="137" spans="3:14" x14ac:dyDescent="0.25">
      <c r="G137" s="25"/>
      <c r="H137" s="25"/>
      <c r="I137" s="25"/>
      <c r="J137" s="25"/>
      <c r="K137" s="25"/>
      <c r="L137" s="25"/>
      <c r="M137" s="25"/>
      <c r="N137" s="25"/>
    </row>
    <row r="138" spans="3:14" x14ac:dyDescent="0.25">
      <c r="C138" s="26"/>
      <c r="D138" s="26"/>
      <c r="E138" s="26"/>
      <c r="F138" s="26"/>
      <c r="G138" s="25"/>
      <c r="H138" s="25"/>
      <c r="I138" s="25"/>
      <c r="J138" s="25"/>
      <c r="K138" s="25"/>
      <c r="L138" s="25"/>
      <c r="M138" s="25"/>
      <c r="N138" s="25"/>
    </row>
    <row r="139" spans="3:14" x14ac:dyDescent="0.25">
      <c r="G139" s="25"/>
      <c r="H139" s="25"/>
      <c r="I139" s="25"/>
      <c r="J139" s="25"/>
      <c r="K139" s="25"/>
      <c r="L139" s="25"/>
      <c r="M139" s="25"/>
      <c r="N139" s="25"/>
    </row>
    <row r="140" spans="3:14" x14ac:dyDescent="0.25">
      <c r="C140" s="26"/>
      <c r="D140" s="26"/>
      <c r="E140" s="26"/>
      <c r="F140" s="26"/>
      <c r="G140" s="25"/>
      <c r="H140" s="25"/>
      <c r="I140" s="25"/>
      <c r="J140" s="25"/>
      <c r="K140" s="25"/>
      <c r="L140" s="25"/>
      <c r="M140" s="25"/>
      <c r="N140" s="25"/>
    </row>
    <row r="141" spans="3:14" x14ac:dyDescent="0.25">
      <c r="G141" s="25"/>
      <c r="H141" s="25"/>
      <c r="I141" s="25"/>
      <c r="J141" s="25"/>
      <c r="K141" s="25"/>
      <c r="L141" s="25"/>
      <c r="M141" s="25"/>
      <c r="N141" s="25"/>
    </row>
    <row r="142" spans="3:14" x14ac:dyDescent="0.25">
      <c r="C142" s="26"/>
      <c r="D142" s="26"/>
      <c r="E142" s="26"/>
      <c r="F142" s="26"/>
      <c r="G142" s="25"/>
      <c r="H142" s="25"/>
      <c r="I142" s="25"/>
      <c r="J142" s="25"/>
      <c r="K142" s="25"/>
      <c r="L142" s="25"/>
      <c r="M142" s="25"/>
      <c r="N142" s="25"/>
    </row>
    <row r="143" spans="3:14" x14ac:dyDescent="0.25">
      <c r="G143" s="25"/>
      <c r="H143" s="25"/>
      <c r="I143" s="25"/>
      <c r="J143" s="25"/>
      <c r="K143" s="25"/>
      <c r="L143" s="25"/>
      <c r="M143" s="25"/>
      <c r="N143" s="25"/>
    </row>
    <row r="144" spans="3:14" x14ac:dyDescent="0.25">
      <c r="C144" s="26"/>
      <c r="D144" s="26"/>
      <c r="E144" s="26"/>
      <c r="F144" s="26"/>
      <c r="G144" s="25"/>
      <c r="H144" s="25"/>
      <c r="I144" s="25"/>
      <c r="J144" s="25"/>
      <c r="K144" s="25"/>
      <c r="L144" s="25"/>
      <c r="M144" s="25"/>
      <c r="N144" s="25"/>
    </row>
    <row r="145" spans="3:14" x14ac:dyDescent="0.25">
      <c r="G145" s="25"/>
      <c r="H145" s="25"/>
      <c r="I145" s="25"/>
      <c r="J145" s="25"/>
      <c r="K145" s="25"/>
      <c r="L145" s="25"/>
      <c r="M145" s="25"/>
      <c r="N145" s="25"/>
    </row>
    <row r="146" spans="3:14" x14ac:dyDescent="0.25">
      <c r="C146" s="26"/>
      <c r="D146" s="26"/>
      <c r="E146" s="26"/>
      <c r="F146" s="26"/>
      <c r="G146" s="25"/>
      <c r="H146" s="25"/>
      <c r="I146" s="25"/>
      <c r="J146" s="25"/>
      <c r="K146" s="25"/>
      <c r="L146" s="25"/>
      <c r="M146" s="25"/>
      <c r="N146" s="25"/>
    </row>
    <row r="147" spans="3:14" x14ac:dyDescent="0.25">
      <c r="G147" s="25"/>
      <c r="H147" s="25"/>
      <c r="I147" s="25"/>
      <c r="J147" s="25"/>
      <c r="K147" s="25"/>
      <c r="L147" s="25"/>
      <c r="M147" s="25"/>
      <c r="N147" s="25"/>
    </row>
    <row r="148" spans="3:14" x14ac:dyDescent="0.25">
      <c r="C148" s="26"/>
      <c r="D148" s="26"/>
      <c r="E148" s="26"/>
      <c r="F148" s="26"/>
      <c r="G148" s="25"/>
      <c r="H148" s="25"/>
      <c r="I148" s="25"/>
      <c r="J148" s="25"/>
      <c r="K148" s="25"/>
      <c r="L148" s="25"/>
      <c r="M148" s="25"/>
      <c r="N148" s="25"/>
    </row>
    <row r="149" spans="3:14" x14ac:dyDescent="0.25">
      <c r="G149" s="25"/>
      <c r="H149" s="25"/>
      <c r="I149" s="25"/>
      <c r="J149" s="25"/>
      <c r="K149" s="25"/>
      <c r="L149" s="25"/>
      <c r="M149" s="25"/>
      <c r="N149" s="25"/>
    </row>
    <row r="150" spans="3:14" x14ac:dyDescent="0.25">
      <c r="C150" s="26"/>
      <c r="D150" s="26"/>
      <c r="E150" s="26"/>
      <c r="F150" s="26"/>
      <c r="G150" s="25"/>
      <c r="H150" s="25"/>
      <c r="I150" s="25"/>
      <c r="J150" s="25"/>
      <c r="K150" s="25"/>
      <c r="L150" s="25"/>
      <c r="M150" s="25"/>
      <c r="N150" s="25"/>
    </row>
    <row r="151" spans="3:14" x14ac:dyDescent="0.25">
      <c r="G151" s="25"/>
      <c r="H151" s="25"/>
      <c r="I151" s="25"/>
      <c r="J151" s="25"/>
      <c r="K151" s="25"/>
      <c r="L151" s="25"/>
      <c r="M151" s="25"/>
      <c r="N151" s="25"/>
    </row>
    <row r="152" spans="3:14" x14ac:dyDescent="0.25">
      <c r="C152" s="26"/>
      <c r="D152" s="26"/>
      <c r="E152" s="26"/>
      <c r="F152" s="26"/>
      <c r="G152" s="25"/>
      <c r="H152" s="25"/>
      <c r="I152" s="25"/>
      <c r="J152" s="25"/>
      <c r="K152" s="25"/>
      <c r="L152" s="25"/>
      <c r="M152" s="25"/>
      <c r="N152" s="25"/>
    </row>
    <row r="153" spans="3:14" x14ac:dyDescent="0.25">
      <c r="G153" s="25"/>
      <c r="H153" s="25"/>
      <c r="I153" s="25"/>
      <c r="J153" s="25"/>
      <c r="K153" s="25"/>
      <c r="L153" s="25"/>
      <c r="M153" s="25"/>
      <c r="N153" s="25"/>
    </row>
    <row r="154" spans="3:14" x14ac:dyDescent="0.25">
      <c r="C154" s="26"/>
      <c r="D154" s="26"/>
      <c r="E154" s="26"/>
      <c r="F154" s="26"/>
      <c r="G154" s="25"/>
      <c r="H154" s="25"/>
      <c r="I154" s="25"/>
      <c r="J154" s="25"/>
      <c r="K154" s="25"/>
      <c r="L154" s="25"/>
      <c r="M154" s="25"/>
      <c r="N154" s="25"/>
    </row>
    <row r="155" spans="3:14" x14ac:dyDescent="0.25">
      <c r="G155" s="25"/>
      <c r="H155" s="25"/>
      <c r="I155" s="25"/>
      <c r="J155" s="25"/>
      <c r="K155" s="25"/>
      <c r="L155" s="25"/>
      <c r="M155" s="25"/>
      <c r="N155" s="25"/>
    </row>
    <row r="156" spans="3:14" x14ac:dyDescent="0.25">
      <c r="C156" s="26"/>
      <c r="D156" s="26"/>
      <c r="E156" s="26"/>
      <c r="F156" s="26"/>
      <c r="G156" s="25"/>
      <c r="H156" s="25"/>
      <c r="I156" s="25"/>
      <c r="J156" s="25"/>
      <c r="K156" s="25"/>
      <c r="L156" s="25"/>
      <c r="M156" s="25"/>
      <c r="N156" s="25"/>
    </row>
    <row r="157" spans="3:14" x14ac:dyDescent="0.25">
      <c r="G157" s="25"/>
      <c r="H157" s="25"/>
      <c r="I157" s="25"/>
      <c r="J157" s="25"/>
      <c r="K157" s="25"/>
      <c r="L157" s="25"/>
      <c r="M157" s="25"/>
      <c r="N157" s="25"/>
    </row>
    <row r="158" spans="3:14" x14ac:dyDescent="0.25">
      <c r="C158" s="26"/>
      <c r="D158" s="26"/>
      <c r="E158" s="26"/>
      <c r="F158" s="26"/>
      <c r="G158" s="25"/>
      <c r="H158" s="25"/>
      <c r="I158" s="25"/>
      <c r="J158" s="25"/>
      <c r="K158" s="25"/>
      <c r="L158" s="25"/>
      <c r="M158" s="25"/>
      <c r="N158" s="25"/>
    </row>
    <row r="159" spans="3:14" x14ac:dyDescent="0.25">
      <c r="G159" s="25"/>
      <c r="H159" s="25"/>
      <c r="I159" s="25"/>
      <c r="J159" s="25"/>
      <c r="K159" s="25"/>
      <c r="L159" s="25"/>
      <c r="M159" s="25"/>
      <c r="N159" s="25"/>
    </row>
    <row r="160" spans="3:14" x14ac:dyDescent="0.25">
      <c r="C160" s="26"/>
      <c r="D160" s="26"/>
      <c r="E160" s="26"/>
      <c r="F160" s="26"/>
      <c r="G160" s="25"/>
      <c r="H160" s="25"/>
      <c r="I160" s="25"/>
      <c r="J160" s="25"/>
      <c r="K160" s="25"/>
      <c r="L160" s="25"/>
      <c r="M160" s="25"/>
      <c r="N160" s="25"/>
    </row>
    <row r="161" spans="3:14" x14ac:dyDescent="0.25">
      <c r="G161" s="25"/>
      <c r="H161" s="25"/>
      <c r="I161" s="25"/>
      <c r="J161" s="25"/>
      <c r="K161" s="25"/>
      <c r="L161" s="25"/>
      <c r="M161" s="25"/>
      <c r="N161" s="25"/>
    </row>
    <row r="162" spans="3:14" x14ac:dyDescent="0.25">
      <c r="C162" s="26"/>
      <c r="D162" s="26"/>
      <c r="E162" s="26"/>
      <c r="F162" s="26"/>
      <c r="G162" s="25"/>
      <c r="H162" s="25"/>
      <c r="I162" s="25"/>
      <c r="J162" s="25"/>
      <c r="K162" s="25"/>
      <c r="L162" s="25"/>
      <c r="M162" s="25"/>
      <c r="N162" s="25"/>
    </row>
    <row r="163" spans="3:14" x14ac:dyDescent="0.25">
      <c r="G163" s="25"/>
      <c r="H163" s="25"/>
      <c r="I163" s="25"/>
      <c r="J163" s="25"/>
      <c r="K163" s="25"/>
      <c r="L163" s="25"/>
      <c r="M163" s="25"/>
      <c r="N163" s="25"/>
    </row>
    <row r="164" spans="3:14" x14ac:dyDescent="0.25">
      <c r="C164" s="26"/>
      <c r="D164" s="26"/>
      <c r="E164" s="26"/>
      <c r="F164" s="26"/>
      <c r="G164" s="25"/>
      <c r="H164" s="25"/>
      <c r="I164" s="25"/>
      <c r="J164" s="25"/>
      <c r="K164" s="25"/>
      <c r="L164" s="25"/>
      <c r="M164" s="25"/>
      <c r="N164" s="25"/>
    </row>
    <row r="165" spans="3:14" x14ac:dyDescent="0.25">
      <c r="G165" s="25"/>
      <c r="H165" s="25"/>
      <c r="I165" s="25"/>
      <c r="J165" s="25"/>
      <c r="K165" s="25"/>
      <c r="L165" s="25"/>
      <c r="M165" s="25"/>
      <c r="N165" s="25"/>
    </row>
    <row r="166" spans="3:14" x14ac:dyDescent="0.25">
      <c r="C166" s="26"/>
      <c r="D166" s="26"/>
      <c r="E166" s="26"/>
      <c r="F166" s="26"/>
      <c r="G166" s="25"/>
      <c r="H166" s="25"/>
      <c r="I166" s="25"/>
      <c r="J166" s="25"/>
      <c r="K166" s="25"/>
      <c r="L166" s="25"/>
      <c r="M166" s="25"/>
      <c r="N166" s="25"/>
    </row>
    <row r="167" spans="3:14" x14ac:dyDescent="0.25">
      <c r="G167" s="25"/>
      <c r="H167" s="25"/>
      <c r="I167" s="25"/>
      <c r="J167" s="25"/>
      <c r="K167" s="25"/>
      <c r="L167" s="25"/>
      <c r="M167" s="25"/>
      <c r="N167" s="25"/>
    </row>
    <row r="168" spans="3:14" x14ac:dyDescent="0.25">
      <c r="C168" s="26"/>
      <c r="D168" s="26"/>
      <c r="E168" s="26"/>
      <c r="F168" s="26"/>
      <c r="G168" s="25"/>
      <c r="H168" s="25"/>
      <c r="I168" s="25"/>
      <c r="J168" s="25"/>
      <c r="K168" s="25"/>
      <c r="L168" s="25"/>
      <c r="M168" s="25"/>
      <c r="N168" s="25"/>
    </row>
    <row r="169" spans="3:14" x14ac:dyDescent="0.25">
      <c r="G169" s="25"/>
      <c r="H169" s="25"/>
      <c r="I169" s="25"/>
      <c r="J169" s="25"/>
      <c r="K169" s="25"/>
      <c r="L169" s="25"/>
      <c r="M169" s="25"/>
      <c r="N169" s="25"/>
    </row>
    <row r="170" spans="3:14" x14ac:dyDescent="0.25">
      <c r="C170" s="26"/>
      <c r="D170" s="26"/>
      <c r="E170" s="26"/>
      <c r="F170" s="26"/>
      <c r="G170" s="25"/>
      <c r="H170" s="25"/>
      <c r="I170" s="25"/>
      <c r="J170" s="25"/>
      <c r="K170" s="25"/>
      <c r="L170" s="25"/>
      <c r="M170" s="25"/>
      <c r="N170" s="25"/>
    </row>
    <row r="171" spans="3:14" x14ac:dyDescent="0.25">
      <c r="G171" s="25"/>
      <c r="H171" s="25"/>
      <c r="I171" s="25"/>
      <c r="J171" s="25"/>
      <c r="K171" s="25"/>
      <c r="L171" s="25"/>
      <c r="M171" s="25"/>
      <c r="N171" s="25"/>
    </row>
    <row r="172" spans="3:14" x14ac:dyDescent="0.25">
      <c r="C172" s="26"/>
      <c r="D172" s="26"/>
      <c r="E172" s="26"/>
      <c r="F172" s="26"/>
      <c r="G172" s="25"/>
      <c r="H172" s="25"/>
      <c r="I172" s="25"/>
      <c r="J172" s="25"/>
      <c r="K172" s="25"/>
      <c r="L172" s="25"/>
      <c r="M172" s="25"/>
      <c r="N172" s="25"/>
    </row>
    <row r="173" spans="3:14" x14ac:dyDescent="0.25">
      <c r="G173" s="25"/>
      <c r="H173" s="25"/>
      <c r="I173" s="25"/>
      <c r="J173" s="25"/>
      <c r="K173" s="25"/>
      <c r="L173" s="25"/>
      <c r="M173" s="25"/>
      <c r="N173" s="25"/>
    </row>
    <row r="174" spans="3:14" x14ac:dyDescent="0.25">
      <c r="C174" s="26"/>
      <c r="D174" s="26"/>
      <c r="E174" s="26"/>
      <c r="F174" s="26"/>
      <c r="G174" s="25"/>
      <c r="H174" s="25"/>
      <c r="I174" s="25"/>
      <c r="J174" s="25"/>
      <c r="K174" s="25"/>
      <c r="L174" s="25"/>
      <c r="M174" s="25"/>
      <c r="N174" s="25"/>
    </row>
    <row r="175" spans="3:14" x14ac:dyDescent="0.25">
      <c r="G175" s="25"/>
      <c r="H175" s="25"/>
      <c r="I175" s="25"/>
      <c r="J175" s="25"/>
      <c r="K175" s="25"/>
      <c r="L175" s="25"/>
      <c r="M175" s="25"/>
      <c r="N175" s="25"/>
    </row>
    <row r="176" spans="3:14" x14ac:dyDescent="0.25">
      <c r="C176" s="26"/>
      <c r="D176" s="26"/>
      <c r="E176" s="26"/>
      <c r="F176" s="26"/>
      <c r="G176" s="25"/>
      <c r="H176" s="25"/>
      <c r="I176" s="25"/>
      <c r="J176" s="25"/>
      <c r="K176" s="25"/>
      <c r="L176" s="25"/>
      <c r="M176" s="25"/>
      <c r="N176" s="25"/>
    </row>
    <row r="177" spans="3:14" x14ac:dyDescent="0.25">
      <c r="G177" s="25"/>
      <c r="H177" s="25"/>
      <c r="I177" s="25"/>
      <c r="J177" s="25"/>
      <c r="K177" s="25"/>
      <c r="L177" s="25"/>
      <c r="M177" s="25"/>
      <c r="N177" s="25"/>
    </row>
    <row r="178" spans="3:14" x14ac:dyDescent="0.25">
      <c r="C178" s="26"/>
      <c r="D178" s="26"/>
      <c r="E178" s="26"/>
      <c r="F178" s="26"/>
      <c r="G178" s="25"/>
      <c r="H178" s="25"/>
      <c r="I178" s="25"/>
      <c r="J178" s="25"/>
      <c r="K178" s="25"/>
      <c r="L178" s="25"/>
      <c r="M178" s="25"/>
      <c r="N178" s="25"/>
    </row>
    <row r="179" spans="3:14" x14ac:dyDescent="0.25">
      <c r="G179" s="25"/>
      <c r="H179" s="25"/>
      <c r="I179" s="25"/>
      <c r="J179" s="25"/>
      <c r="K179" s="25"/>
      <c r="L179" s="25"/>
      <c r="M179" s="25"/>
      <c r="N179" s="25"/>
    </row>
    <row r="180" spans="3:14" x14ac:dyDescent="0.25">
      <c r="C180" s="26"/>
      <c r="D180" s="26"/>
      <c r="E180" s="26"/>
      <c r="F180" s="26"/>
      <c r="G180" s="25"/>
      <c r="H180" s="25"/>
      <c r="I180" s="25"/>
      <c r="J180" s="25"/>
      <c r="K180" s="25"/>
      <c r="L180" s="25"/>
      <c r="M180" s="25"/>
      <c r="N180" s="25"/>
    </row>
    <row r="181" spans="3:14" x14ac:dyDescent="0.25">
      <c r="G181" s="25"/>
      <c r="H181" s="25"/>
      <c r="I181" s="25"/>
      <c r="J181" s="25"/>
      <c r="K181" s="25"/>
      <c r="L181" s="25"/>
      <c r="M181" s="25"/>
      <c r="N181" s="25"/>
    </row>
    <row r="182" spans="3:14" x14ac:dyDescent="0.25">
      <c r="C182" s="26"/>
      <c r="D182" s="26"/>
      <c r="E182" s="26"/>
      <c r="F182" s="26"/>
      <c r="G182" s="25"/>
      <c r="H182" s="25"/>
      <c r="I182" s="25"/>
      <c r="J182" s="25"/>
      <c r="K182" s="25"/>
      <c r="L182" s="25"/>
      <c r="M182" s="25"/>
      <c r="N182" s="25"/>
    </row>
    <row r="183" spans="3:14" x14ac:dyDescent="0.25">
      <c r="G183" s="25"/>
      <c r="H183" s="25"/>
      <c r="I183" s="25"/>
      <c r="J183" s="25"/>
      <c r="K183" s="25"/>
      <c r="L183" s="25"/>
      <c r="M183" s="25"/>
      <c r="N183" s="25"/>
    </row>
    <row r="184" spans="3:14" x14ac:dyDescent="0.25">
      <c r="C184" s="26"/>
      <c r="D184" s="26"/>
      <c r="E184" s="26"/>
      <c r="F184" s="26"/>
      <c r="G184" s="25"/>
      <c r="H184" s="25"/>
      <c r="I184" s="25"/>
      <c r="J184" s="25"/>
      <c r="K184" s="25"/>
      <c r="L184" s="25"/>
      <c r="M184" s="25"/>
      <c r="N184" s="25"/>
    </row>
    <row r="185" spans="3:14" x14ac:dyDescent="0.25">
      <c r="G185" s="25"/>
      <c r="H185" s="25"/>
      <c r="I185" s="25"/>
      <c r="J185" s="25"/>
      <c r="K185" s="25"/>
      <c r="L185" s="25"/>
      <c r="M185" s="25"/>
      <c r="N185" s="25"/>
    </row>
    <row r="186" spans="3:14" x14ac:dyDescent="0.25">
      <c r="C186" s="26"/>
      <c r="D186" s="26"/>
      <c r="E186" s="26"/>
      <c r="F186" s="26"/>
      <c r="G186" s="25"/>
      <c r="H186" s="25"/>
      <c r="I186" s="25"/>
      <c r="J186" s="25"/>
      <c r="K186" s="25"/>
      <c r="L186" s="25"/>
      <c r="M186" s="25"/>
      <c r="N186" s="25"/>
    </row>
    <row r="187" spans="3:14" x14ac:dyDescent="0.25">
      <c r="G187" s="25"/>
      <c r="H187" s="25"/>
      <c r="I187" s="25"/>
      <c r="J187" s="25"/>
      <c r="K187" s="25"/>
      <c r="L187" s="25"/>
      <c r="M187" s="25"/>
      <c r="N187" s="25"/>
    </row>
    <row r="188" spans="3:14" x14ac:dyDescent="0.25">
      <c r="C188" s="26"/>
      <c r="D188" s="26"/>
      <c r="E188" s="26"/>
      <c r="F188" s="26"/>
      <c r="G188" s="25"/>
      <c r="H188" s="25"/>
      <c r="I188" s="25"/>
      <c r="J188" s="25"/>
      <c r="K188" s="25"/>
      <c r="L188" s="25"/>
      <c r="M188" s="25"/>
      <c r="N188" s="25"/>
    </row>
    <row r="189" spans="3:14" x14ac:dyDescent="0.25">
      <c r="G189" s="25"/>
      <c r="H189" s="25"/>
      <c r="I189" s="25"/>
      <c r="J189" s="25"/>
      <c r="K189" s="25"/>
      <c r="L189" s="25"/>
      <c r="M189" s="25"/>
      <c r="N189" s="25"/>
    </row>
    <row r="190" spans="3:14" x14ac:dyDescent="0.25">
      <c r="C190" s="26"/>
      <c r="D190" s="26"/>
      <c r="E190" s="26"/>
      <c r="F190" s="26"/>
      <c r="G190" s="25"/>
      <c r="H190" s="25"/>
      <c r="I190" s="25"/>
      <c r="J190" s="25"/>
      <c r="K190" s="25"/>
      <c r="L190" s="25"/>
      <c r="M190" s="25"/>
      <c r="N190" s="25"/>
    </row>
    <row r="191" spans="3:14" x14ac:dyDescent="0.25">
      <c r="G191" s="25"/>
      <c r="H191" s="25"/>
      <c r="I191" s="25"/>
      <c r="J191" s="25"/>
      <c r="K191" s="25"/>
      <c r="L191" s="25"/>
      <c r="M191" s="25"/>
      <c r="N191" s="25"/>
    </row>
    <row r="192" spans="3:14" x14ac:dyDescent="0.25">
      <c r="C192" s="26"/>
      <c r="D192" s="26"/>
      <c r="E192" s="26"/>
      <c r="F192" s="26"/>
      <c r="G192" s="25"/>
      <c r="H192" s="25"/>
      <c r="I192" s="25"/>
      <c r="J192" s="25"/>
      <c r="K192" s="25"/>
      <c r="L192" s="25"/>
      <c r="M192" s="25"/>
      <c r="N192" s="25"/>
    </row>
    <row r="193" spans="3:14" x14ac:dyDescent="0.25">
      <c r="G193" s="25"/>
      <c r="H193" s="25"/>
      <c r="I193" s="25"/>
      <c r="J193" s="25"/>
      <c r="K193" s="25"/>
      <c r="L193" s="25"/>
      <c r="M193" s="25"/>
      <c r="N193" s="25"/>
    </row>
    <row r="194" spans="3:14" x14ac:dyDescent="0.25">
      <c r="C194" s="26"/>
      <c r="D194" s="26"/>
      <c r="E194" s="26"/>
      <c r="F194" s="26"/>
      <c r="G194" s="25"/>
      <c r="H194" s="25"/>
      <c r="I194" s="25"/>
      <c r="J194" s="25"/>
      <c r="K194" s="25"/>
      <c r="L194" s="25"/>
      <c r="M194" s="25"/>
      <c r="N194" s="25"/>
    </row>
    <row r="195" spans="3:14" x14ac:dyDescent="0.25">
      <c r="G195" s="25"/>
      <c r="H195" s="25"/>
      <c r="I195" s="25"/>
      <c r="J195" s="25"/>
      <c r="K195" s="25"/>
      <c r="L195" s="25"/>
      <c r="M195" s="25"/>
      <c r="N195" s="25"/>
    </row>
    <row r="196" spans="3:14" x14ac:dyDescent="0.25">
      <c r="C196" s="26"/>
      <c r="D196" s="26"/>
      <c r="E196" s="26"/>
      <c r="F196" s="26"/>
      <c r="G196" s="25"/>
      <c r="H196" s="25"/>
      <c r="I196" s="25"/>
      <c r="J196" s="25"/>
      <c r="K196" s="25"/>
      <c r="L196" s="25"/>
      <c r="M196" s="25"/>
      <c r="N196" s="25"/>
    </row>
    <row r="197" spans="3:14" x14ac:dyDescent="0.25">
      <c r="G197" s="25"/>
      <c r="H197" s="25"/>
      <c r="I197" s="25"/>
      <c r="J197" s="25"/>
      <c r="K197" s="25"/>
      <c r="L197" s="25"/>
      <c r="M197" s="25"/>
      <c r="N197" s="25"/>
    </row>
    <row r="198" spans="3:14" x14ac:dyDescent="0.25">
      <c r="C198" s="26"/>
      <c r="D198" s="26"/>
      <c r="E198" s="26"/>
      <c r="F198" s="26"/>
      <c r="G198" s="25"/>
      <c r="H198" s="25"/>
      <c r="I198" s="25"/>
      <c r="J198" s="25"/>
      <c r="K198" s="25"/>
      <c r="L198" s="25"/>
      <c r="M198" s="25"/>
      <c r="N198" s="25"/>
    </row>
    <row r="199" spans="3:14" x14ac:dyDescent="0.25">
      <c r="G199" s="25"/>
      <c r="H199" s="25"/>
      <c r="I199" s="25"/>
      <c r="J199" s="25"/>
      <c r="K199" s="25"/>
      <c r="L199" s="25"/>
      <c r="M199" s="25"/>
      <c r="N199" s="25"/>
    </row>
    <row r="200" spans="3:14" x14ac:dyDescent="0.25">
      <c r="C200" s="26"/>
      <c r="D200" s="26"/>
      <c r="E200" s="26"/>
      <c r="F200" s="26"/>
      <c r="G200" s="25"/>
      <c r="H200" s="25"/>
      <c r="I200" s="25"/>
      <c r="J200" s="25"/>
      <c r="K200" s="25"/>
      <c r="L200" s="25"/>
      <c r="M200" s="25"/>
      <c r="N200" s="25"/>
    </row>
    <row r="201" spans="3:14" x14ac:dyDescent="0.25">
      <c r="G201" s="25"/>
      <c r="H201" s="25"/>
      <c r="I201" s="25"/>
      <c r="J201" s="25"/>
      <c r="K201" s="25"/>
      <c r="L201" s="25"/>
      <c r="M201" s="25"/>
      <c r="N201" s="25"/>
    </row>
    <row r="202" spans="3:14" x14ac:dyDescent="0.25">
      <c r="C202" s="26"/>
      <c r="D202" s="26"/>
      <c r="E202" s="26"/>
      <c r="F202" s="26"/>
      <c r="G202" s="25"/>
      <c r="H202" s="25"/>
      <c r="I202" s="25"/>
      <c r="J202" s="25"/>
      <c r="K202" s="25"/>
      <c r="L202" s="25"/>
      <c r="M202" s="25"/>
      <c r="N202" s="25"/>
    </row>
    <row r="203" spans="3:14" x14ac:dyDescent="0.25">
      <c r="G203" s="25"/>
      <c r="H203" s="25"/>
      <c r="I203" s="25"/>
      <c r="J203" s="25"/>
      <c r="K203" s="25"/>
      <c r="L203" s="25"/>
      <c r="M203" s="25"/>
      <c r="N203" s="25"/>
    </row>
    <row r="204" spans="3:14" x14ac:dyDescent="0.25">
      <c r="C204" s="26"/>
      <c r="D204" s="26"/>
      <c r="E204" s="26"/>
      <c r="F204" s="26"/>
      <c r="G204" s="25"/>
      <c r="H204" s="25"/>
      <c r="I204" s="25"/>
      <c r="J204" s="25"/>
      <c r="K204" s="25"/>
      <c r="L204" s="25"/>
      <c r="M204" s="25"/>
      <c r="N204" s="25"/>
    </row>
    <row r="205" spans="3:14" x14ac:dyDescent="0.25">
      <c r="G205" s="25"/>
      <c r="H205" s="25"/>
      <c r="I205" s="25"/>
      <c r="J205" s="25"/>
      <c r="K205" s="25"/>
      <c r="L205" s="25"/>
      <c r="M205" s="25"/>
      <c r="N205" s="25"/>
    </row>
    <row r="206" spans="3:14" x14ac:dyDescent="0.25">
      <c r="C206" s="26"/>
      <c r="D206" s="26"/>
      <c r="E206" s="26"/>
      <c r="F206" s="26"/>
      <c r="G206" s="25"/>
      <c r="H206" s="25"/>
      <c r="I206" s="25"/>
      <c r="J206" s="25"/>
      <c r="K206" s="25"/>
      <c r="L206" s="25"/>
      <c r="M206" s="25"/>
      <c r="N206" s="25"/>
    </row>
    <row r="207" spans="3:14" x14ac:dyDescent="0.25">
      <c r="G207" s="25"/>
      <c r="H207" s="25"/>
      <c r="I207" s="25"/>
      <c r="J207" s="25"/>
      <c r="K207" s="25"/>
      <c r="L207" s="25"/>
      <c r="M207" s="25"/>
      <c r="N207" s="25"/>
    </row>
    <row r="208" spans="3:14" x14ac:dyDescent="0.25">
      <c r="C208" s="26"/>
      <c r="D208" s="26"/>
      <c r="E208" s="26"/>
      <c r="F208" s="26"/>
      <c r="G208" s="25"/>
      <c r="H208" s="25"/>
      <c r="I208" s="25"/>
      <c r="J208" s="25"/>
      <c r="K208" s="25"/>
      <c r="L208" s="25"/>
      <c r="M208" s="25"/>
      <c r="N208" s="25"/>
    </row>
    <row r="209" spans="3:14" x14ac:dyDescent="0.25">
      <c r="G209" s="25"/>
      <c r="H209" s="25"/>
      <c r="I209" s="25"/>
      <c r="J209" s="25"/>
      <c r="K209" s="25"/>
      <c r="L209" s="25"/>
      <c r="M209" s="25"/>
      <c r="N209" s="25"/>
    </row>
    <row r="210" spans="3:14" x14ac:dyDescent="0.25">
      <c r="C210" s="26"/>
      <c r="D210" s="26"/>
      <c r="E210" s="26"/>
      <c r="F210" s="26"/>
      <c r="G210" s="25"/>
      <c r="H210" s="25"/>
      <c r="I210" s="25"/>
      <c r="J210" s="25"/>
      <c r="K210" s="25"/>
      <c r="L210" s="25"/>
      <c r="M210" s="25"/>
      <c r="N210" s="25"/>
    </row>
    <row r="211" spans="3:14" x14ac:dyDescent="0.25">
      <c r="G211" s="25"/>
      <c r="H211" s="25"/>
      <c r="I211" s="25"/>
      <c r="J211" s="25"/>
      <c r="K211" s="25"/>
      <c r="L211" s="25"/>
      <c r="M211" s="25"/>
      <c r="N211" s="25"/>
    </row>
    <row r="212" spans="3:14" x14ac:dyDescent="0.25">
      <c r="C212" s="26"/>
      <c r="D212" s="26"/>
      <c r="E212" s="26"/>
      <c r="F212" s="26"/>
      <c r="G212" s="25"/>
      <c r="H212" s="25"/>
      <c r="I212" s="25"/>
      <c r="J212" s="25"/>
      <c r="K212" s="25"/>
      <c r="L212" s="25"/>
      <c r="M212" s="25"/>
      <c r="N212" s="25"/>
    </row>
    <row r="213" spans="3:14" x14ac:dyDescent="0.25">
      <c r="G213" s="25"/>
      <c r="H213" s="25"/>
      <c r="I213" s="25"/>
      <c r="J213" s="25"/>
      <c r="K213" s="25"/>
      <c r="L213" s="25"/>
      <c r="M213" s="25"/>
      <c r="N213" s="25"/>
    </row>
  </sheetData>
  <mergeCells count="13">
    <mergeCell ref="B5:J5"/>
    <mergeCell ref="C7:F7"/>
    <mergeCell ref="G7:J7"/>
    <mergeCell ref="C35:F35"/>
    <mergeCell ref="G35:J35"/>
    <mergeCell ref="C42:F42"/>
    <mergeCell ref="G42:J42"/>
    <mergeCell ref="C44:F44"/>
    <mergeCell ref="G44:J44"/>
    <mergeCell ref="K7:N7"/>
    <mergeCell ref="K35:N35"/>
    <mergeCell ref="K42:N42"/>
    <mergeCell ref="K44:N4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0" tint="-4.9989318521683403E-2"/>
  </sheetPr>
  <dimension ref="A1:F30"/>
  <sheetViews>
    <sheetView zoomScale="85" zoomScaleNormal="85" workbookViewId="0">
      <selection activeCell="D29" sqref="D29"/>
    </sheetView>
  </sheetViews>
  <sheetFormatPr defaultRowHeight="16.5" customHeight="1" x14ac:dyDescent="0.25"/>
  <cols>
    <col min="1" max="1" width="28.44140625" customWidth="1"/>
    <col min="2" max="2" width="28.109375" customWidth="1"/>
    <col min="3" max="3" width="25.6640625" bestFit="1" customWidth="1"/>
    <col min="4" max="4" width="31.33203125" customWidth="1"/>
    <col min="5" max="5" width="20" customWidth="1"/>
  </cols>
  <sheetData>
    <row r="1" spans="1:6" ht="16.5" customHeight="1" x14ac:dyDescent="0.3">
      <c r="A1" s="2" t="s">
        <v>52</v>
      </c>
      <c r="B1" s="3"/>
      <c r="C1" s="4"/>
      <c r="E1" s="5" t="s">
        <v>53</v>
      </c>
      <c r="F1" s="6">
        <v>2017</v>
      </c>
    </row>
    <row r="2" spans="1:6" ht="16.5" customHeight="1" x14ac:dyDescent="0.3">
      <c r="A2" s="5" t="s">
        <v>54</v>
      </c>
      <c r="B2" s="7" t="s">
        <v>55</v>
      </c>
      <c r="C2" s="8"/>
      <c r="E2" s="5" t="s">
        <v>56</v>
      </c>
      <c r="F2" s="5">
        <v>2050</v>
      </c>
    </row>
    <row r="3" spans="1:6" ht="16.5" customHeight="1" x14ac:dyDescent="0.3">
      <c r="A3" s="5" t="s">
        <v>57</v>
      </c>
      <c r="B3" s="7" t="s">
        <v>58</v>
      </c>
      <c r="C3" s="8"/>
      <c r="E3" s="5"/>
      <c r="F3" s="5"/>
    </row>
    <row r="4" spans="1:6" ht="16.5" customHeight="1" x14ac:dyDescent="0.3">
      <c r="A4" s="5" t="s">
        <v>59</v>
      </c>
      <c r="B4" s="7" t="s">
        <v>1135</v>
      </c>
      <c r="C4" s="8"/>
    </row>
    <row r="5" spans="1:6" ht="16.5" customHeight="1" x14ac:dyDescent="0.3">
      <c r="A5" s="5" t="s">
        <v>60</v>
      </c>
      <c r="B5" s="7" t="s">
        <v>61</v>
      </c>
      <c r="C5" s="8"/>
    </row>
    <row r="6" spans="1:6" ht="16.5" customHeight="1" x14ac:dyDescent="0.3">
      <c r="A6" s="5" t="s">
        <v>57</v>
      </c>
      <c r="B6" s="7" t="s">
        <v>62</v>
      </c>
      <c r="C6" s="8"/>
    </row>
    <row r="8" spans="1:6" ht="16.5" customHeight="1" x14ac:dyDescent="0.3">
      <c r="A8" s="209" t="s">
        <v>63</v>
      </c>
      <c r="B8" s="209"/>
    </row>
    <row r="10" spans="1:6" ht="16.5" customHeight="1" x14ac:dyDescent="0.3">
      <c r="A10" s="2" t="s">
        <v>64</v>
      </c>
      <c r="B10" s="2" t="s">
        <v>65</v>
      </c>
      <c r="C10" s="2" t="s">
        <v>66</v>
      </c>
      <c r="D10" s="2" t="s">
        <v>67</v>
      </c>
      <c r="E10" s="2" t="s">
        <v>68</v>
      </c>
    </row>
    <row r="11" spans="1:6" ht="16.5" customHeight="1" x14ac:dyDescent="0.3">
      <c r="A11" s="9" t="s">
        <v>51</v>
      </c>
      <c r="B11" s="5" t="s">
        <v>69</v>
      </c>
      <c r="C11" s="5" t="s">
        <v>70</v>
      </c>
      <c r="D11" s="5" t="s">
        <v>897</v>
      </c>
      <c r="E11" s="5"/>
    </row>
    <row r="12" spans="1:6" ht="16.5" customHeight="1" x14ac:dyDescent="0.3">
      <c r="A12" s="9" t="s">
        <v>17</v>
      </c>
      <c r="B12" s="5" t="s">
        <v>40</v>
      </c>
      <c r="C12" s="5" t="s">
        <v>70</v>
      </c>
      <c r="D12" s="10" t="str">
        <f>"MVkms/"&amp;B2</f>
        <v>MVkms/PJ</v>
      </c>
      <c r="E12" s="10"/>
    </row>
    <row r="13" spans="1:6" ht="16.5" customHeight="1" x14ac:dyDescent="0.3">
      <c r="A13" s="9" t="s">
        <v>17</v>
      </c>
      <c r="B13" s="5" t="s">
        <v>40</v>
      </c>
      <c r="C13" s="5" t="s">
        <v>71</v>
      </c>
      <c r="D13" s="10" t="str">
        <f>"000passenger/"&amp;B2</f>
        <v>000passenger/PJ</v>
      </c>
      <c r="E13" s="10"/>
    </row>
    <row r="14" spans="1:6" ht="16.5" customHeight="1" x14ac:dyDescent="0.3">
      <c r="A14" s="9" t="s">
        <v>38</v>
      </c>
      <c r="B14" s="5" t="s">
        <v>72</v>
      </c>
      <c r="C14" s="5" t="s">
        <v>70</v>
      </c>
      <c r="D14" s="10" t="s">
        <v>73</v>
      </c>
      <c r="E14" s="10"/>
    </row>
    <row r="15" spans="1:6" ht="16.5" customHeight="1" x14ac:dyDescent="0.3">
      <c r="A15" s="9" t="s">
        <v>74</v>
      </c>
      <c r="B15" s="5" t="s">
        <v>75</v>
      </c>
      <c r="C15" s="5" t="s">
        <v>76</v>
      </c>
      <c r="D15" s="10" t="s">
        <v>835</v>
      </c>
      <c r="E15" s="10"/>
    </row>
    <row r="16" spans="1:6" ht="16.5" customHeight="1" x14ac:dyDescent="0.3">
      <c r="A16" s="9" t="s">
        <v>74</v>
      </c>
      <c r="B16" s="5" t="s">
        <v>75</v>
      </c>
      <c r="C16" s="5" t="s">
        <v>77</v>
      </c>
      <c r="D16" s="10" t="s">
        <v>78</v>
      </c>
      <c r="E16" s="10"/>
    </row>
    <row r="17" spans="1:5" ht="16.5" customHeight="1" x14ac:dyDescent="0.3">
      <c r="A17" s="9" t="s">
        <v>5</v>
      </c>
      <c r="B17" s="5" t="s">
        <v>45</v>
      </c>
      <c r="C17" s="5" t="s">
        <v>70</v>
      </c>
      <c r="D17" s="10" t="s">
        <v>1136</v>
      </c>
      <c r="E17" s="10" t="str">
        <f>B4&amp;"/000s_Units"</f>
        <v>M$/000s_Units</v>
      </c>
    </row>
    <row r="18" spans="1:5" ht="16.5" customHeight="1" x14ac:dyDescent="0.3">
      <c r="A18" s="9" t="s">
        <v>5</v>
      </c>
      <c r="B18" s="5" t="s">
        <v>45</v>
      </c>
      <c r="C18" s="5" t="s">
        <v>54</v>
      </c>
      <c r="D18" s="10" t="s">
        <v>1137</v>
      </c>
      <c r="E18" s="10" t="str">
        <f>B4&amp;"/"&amp;B2&amp;"/a"</f>
        <v>M$/PJ/a</v>
      </c>
    </row>
    <row r="19" spans="1:5" ht="16.5" customHeight="1" x14ac:dyDescent="0.3">
      <c r="A19" s="9" t="s">
        <v>39</v>
      </c>
      <c r="B19" s="5" t="s">
        <v>46</v>
      </c>
      <c r="C19" s="5" t="s">
        <v>70</v>
      </c>
      <c r="D19" s="10" t="s">
        <v>1138</v>
      </c>
      <c r="E19" s="10" t="str">
        <f>B4&amp;"/"&amp;B2</f>
        <v>M$/PJ</v>
      </c>
    </row>
    <row r="20" spans="1:5" ht="16.5" customHeight="1" x14ac:dyDescent="0.3">
      <c r="A20" s="9" t="s">
        <v>49</v>
      </c>
      <c r="B20" s="5" t="s">
        <v>79</v>
      </c>
      <c r="C20" s="5" t="s">
        <v>70</v>
      </c>
      <c r="D20" s="10" t="s">
        <v>47</v>
      </c>
      <c r="E20" s="10"/>
    </row>
    <row r="21" spans="1:5" ht="18.75" customHeight="1" x14ac:dyDescent="0.3">
      <c r="A21" s="9" t="s">
        <v>50</v>
      </c>
      <c r="B21" s="5" t="s">
        <v>41</v>
      </c>
      <c r="C21" s="5" t="s">
        <v>76</v>
      </c>
      <c r="D21" s="11" t="s">
        <v>898</v>
      </c>
      <c r="E21" s="10"/>
    </row>
    <row r="22" spans="1:5" ht="18.75" customHeight="1" x14ac:dyDescent="0.3">
      <c r="A22" s="9" t="s">
        <v>50</v>
      </c>
      <c r="B22" s="5" t="s">
        <v>41</v>
      </c>
      <c r="C22" s="5" t="s">
        <v>77</v>
      </c>
      <c r="D22" s="11" t="s">
        <v>899</v>
      </c>
      <c r="E22" s="10"/>
    </row>
    <row r="23" spans="1:5" ht="18.75" customHeight="1" x14ac:dyDescent="0.3">
      <c r="A23" s="9" t="s">
        <v>50</v>
      </c>
      <c r="B23" s="5" t="s">
        <v>41</v>
      </c>
      <c r="C23" s="5" t="s">
        <v>54</v>
      </c>
      <c r="D23" s="10" t="s">
        <v>80</v>
      </c>
      <c r="E23" s="10" t="str">
        <f>B2&amp;"/"&amp;B6</f>
        <v>PJ/GW</v>
      </c>
    </row>
    <row r="24" spans="1:5" ht="16.5" customHeight="1" x14ac:dyDescent="0.3">
      <c r="A24" s="9" t="s">
        <v>81</v>
      </c>
      <c r="B24" s="5" t="s">
        <v>81</v>
      </c>
      <c r="C24" s="5" t="s">
        <v>82</v>
      </c>
      <c r="D24" s="10" t="s">
        <v>83</v>
      </c>
      <c r="E24" s="10"/>
    </row>
    <row r="25" spans="1:5" ht="16.5" customHeight="1" x14ac:dyDescent="0.3">
      <c r="A25" s="9" t="s">
        <v>81</v>
      </c>
      <c r="B25" s="5" t="s">
        <v>81</v>
      </c>
      <c r="C25" s="5" t="s">
        <v>77</v>
      </c>
      <c r="D25" s="10" t="s">
        <v>84</v>
      </c>
      <c r="E25" s="10"/>
    </row>
    <row r="26" spans="1:5" ht="16.5" customHeight="1" x14ac:dyDescent="0.3">
      <c r="A26" s="9" t="s">
        <v>81</v>
      </c>
      <c r="B26" s="5" t="s">
        <v>81</v>
      </c>
      <c r="C26" s="5" t="s">
        <v>71</v>
      </c>
      <c r="D26" s="10" t="s">
        <v>900</v>
      </c>
      <c r="E26" s="10"/>
    </row>
    <row r="27" spans="1:5" ht="16.5" customHeight="1" x14ac:dyDescent="0.3">
      <c r="A27" s="9" t="s">
        <v>19</v>
      </c>
      <c r="B27" s="5" t="s">
        <v>33</v>
      </c>
      <c r="C27" s="5" t="s">
        <v>71</v>
      </c>
      <c r="D27" s="10" t="s">
        <v>85</v>
      </c>
      <c r="E27" s="10"/>
    </row>
    <row r="28" spans="1:5" ht="16.5" customHeight="1" x14ac:dyDescent="0.3">
      <c r="A28" s="9" t="s">
        <v>19</v>
      </c>
      <c r="B28" s="5" t="s">
        <v>33</v>
      </c>
      <c r="C28" s="5" t="s">
        <v>70</v>
      </c>
      <c r="D28" s="10" t="s">
        <v>86</v>
      </c>
      <c r="E28" s="10"/>
    </row>
    <row r="29" spans="1:5" ht="16.5" customHeight="1" x14ac:dyDescent="0.3">
      <c r="A29" s="9" t="s">
        <v>87</v>
      </c>
      <c r="B29" s="5" t="s">
        <v>88</v>
      </c>
      <c r="C29" s="5" t="s">
        <v>89</v>
      </c>
      <c r="D29" s="10" t="s">
        <v>90</v>
      </c>
      <c r="E29" s="10"/>
    </row>
    <row r="30" spans="1:5" ht="16.5" customHeight="1" x14ac:dyDescent="0.3">
      <c r="A30" s="9" t="s">
        <v>43</v>
      </c>
      <c r="B30" s="5" t="s">
        <v>823</v>
      </c>
      <c r="C30" s="5" t="s">
        <v>70</v>
      </c>
      <c r="D30" s="10" t="s">
        <v>1139</v>
      </c>
    </row>
  </sheetData>
  <mergeCells count="1">
    <mergeCell ref="A8:B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TRA_Cars</vt:lpstr>
      <vt:lpstr>TRA_Busses</vt:lpstr>
      <vt:lpstr>TRA_Freight</vt:lpstr>
      <vt:lpstr>TRA_Rail</vt:lpstr>
      <vt:lpstr>TRA_Other</vt:lpstr>
      <vt:lpstr>Commodities</vt:lpstr>
      <vt:lpstr>Reference Data</vt:lpstr>
      <vt:lpstr>General</vt:lpstr>
      <vt:lpstr>BASE_YEAR</vt:lpstr>
      <vt:lpstr>END_YEAR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dcterms:created xsi:type="dcterms:W3CDTF">2005-06-03T09:41:13Z</dcterms:created>
  <dcterms:modified xsi:type="dcterms:W3CDTF">2022-09-23T19:11:18Z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465247750282287</vt:r8>
  </property>
</Properties>
</file>