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occo\Desktop\TIMES-CAC_v2021_Open\SubRES_TMPL\"/>
    </mc:Choice>
  </mc:AlternateContent>
  <xr:revisionPtr revIDLastSave="0" documentId="13_ncr:1_{955ECBF1-E655-460A-ADF6-03EC00884F63}" xr6:coauthVersionLast="47" xr6:coauthVersionMax="47" xr10:uidLastSave="{00000000-0000-0000-0000-000000000000}"/>
  <bookViews>
    <workbookView xWindow="372" yWindow="0" windowWidth="22668" windowHeight="12240" activeTab="1" xr2:uid="{00000000-000D-0000-FFFF-FFFF00000000}"/>
  </bookViews>
  <sheets>
    <sheet name="FILL Table" sheetId="19" r:id="rId1"/>
    <sheet name="Param_Transformation" sheetId="17" r:id="rId2"/>
    <sheet name="General" sheetId="20" state="hidden" r:id="rId3"/>
  </sheets>
  <definedNames>
    <definedName name="BASE_YEAR">General!$B$1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8" i="17" l="1"/>
  <c r="C45" i="17"/>
  <c r="C44" i="17"/>
  <c r="C43" i="17"/>
  <c r="C42" i="17"/>
  <c r="C41" i="17"/>
  <c r="C40" i="17"/>
  <c r="C39" i="17"/>
  <c r="C38" i="17"/>
  <c r="C37" i="17"/>
  <c r="C36" i="17"/>
  <c r="C35" i="17"/>
  <c r="C32" i="17"/>
  <c r="C31" i="17"/>
  <c r="C30" i="17"/>
  <c r="C29" i="17"/>
  <c r="C28" i="17"/>
  <c r="C27" i="17"/>
  <c r="C26" i="17"/>
  <c r="C25" i="17"/>
  <c r="C24" i="17"/>
  <c r="C23" i="17"/>
  <c r="C22" i="17"/>
  <c r="C21" i="17"/>
  <c r="C20" i="17"/>
  <c r="C19" i="17"/>
  <c r="E47" i="17" l="1"/>
  <c r="E48" i="17" s="1"/>
  <c r="E49" i="17" s="1"/>
  <c r="E50" i="17" s="1"/>
  <c r="E51" i="17" s="1"/>
  <c r="F63" i="17" l="1"/>
  <c r="F62" i="17"/>
  <c r="F61" i="17"/>
  <c r="F60" i="17"/>
  <c r="F59" i="17"/>
  <c r="F58" i="17"/>
  <c r="F57" i="17"/>
  <c r="F56" i="17"/>
  <c r="F55" i="17"/>
  <c r="F54" i="17"/>
  <c r="F53" i="17"/>
  <c r="D63" i="17"/>
  <c r="D62" i="17"/>
  <c r="D61" i="17"/>
  <c r="D60" i="17"/>
  <c r="D59" i="17"/>
  <c r="D58" i="17"/>
  <c r="D57" i="17"/>
  <c r="D56" i="17"/>
  <c r="D55" i="17"/>
  <c r="D54" i="17"/>
  <c r="D53" i="17"/>
  <c r="G45" i="17" l="1"/>
  <c r="N44" i="17"/>
  <c r="G44" i="17"/>
  <c r="N41" i="17"/>
  <c r="G41" i="17"/>
  <c r="N40" i="17" l="1"/>
  <c r="E26" i="19" l="1"/>
  <c r="A26" i="19"/>
  <c r="E23" i="19"/>
  <c r="A23" i="19"/>
  <c r="N42" i="17" l="1"/>
  <c r="G42" i="17"/>
  <c r="N43" i="17"/>
  <c r="G40" i="17"/>
  <c r="N39" i="17"/>
  <c r="A24" i="19"/>
  <c r="E24" i="19"/>
  <c r="A25" i="19"/>
  <c r="E22" i="19"/>
  <c r="A22" i="19"/>
  <c r="A21" i="19"/>
  <c r="M27" i="17"/>
  <c r="M26" i="17"/>
  <c r="M25" i="17"/>
  <c r="M21" i="17"/>
  <c r="M20" i="17"/>
  <c r="M11" i="17"/>
  <c r="M10" i="17"/>
  <c r="G30" i="17"/>
  <c r="G29" i="17"/>
  <c r="G28" i="17"/>
  <c r="G27" i="17"/>
  <c r="G26" i="17"/>
  <c r="G25" i="17"/>
  <c r="G24" i="17"/>
  <c r="G23" i="17"/>
  <c r="G22" i="17"/>
  <c r="G21" i="17"/>
  <c r="G20" i="17"/>
  <c r="G19" i="17"/>
  <c r="G17" i="17"/>
  <c r="G16" i="17"/>
  <c r="G11" i="17"/>
  <c r="G10" i="17"/>
  <c r="G9" i="17"/>
  <c r="G8" i="17"/>
  <c r="G7" i="17"/>
  <c r="N38" i="17"/>
  <c r="A30" i="19"/>
  <c r="A20" i="19"/>
  <c r="N20" i="17"/>
  <c r="N21" i="17"/>
  <c r="N22" i="17"/>
  <c r="N23" i="17"/>
  <c r="N24" i="17"/>
  <c r="N25" i="17"/>
  <c r="N26" i="17"/>
  <c r="N27" i="17"/>
  <c r="N28" i="17"/>
  <c r="N29" i="17"/>
  <c r="N30" i="17"/>
  <c r="N19" i="17"/>
  <c r="A10" i="19"/>
  <c r="A11" i="19"/>
  <c r="A12" i="19"/>
  <c r="A9" i="19"/>
  <c r="A33" i="19"/>
  <c r="N36" i="17"/>
  <c r="N37" i="17"/>
  <c r="N35" i="17"/>
  <c r="A32" i="19"/>
  <c r="A31" i="19"/>
  <c r="A29" i="19"/>
  <c r="A28" i="19"/>
  <c r="A27" i="19"/>
  <c r="A19" i="19"/>
  <c r="A18" i="19"/>
  <c r="A17" i="19"/>
  <c r="N32" i="17"/>
  <c r="K32" i="17" s="1"/>
  <c r="N31" i="17"/>
  <c r="M28" i="17"/>
  <c r="M29" i="17"/>
  <c r="M30" i="17"/>
  <c r="M24" i="17"/>
  <c r="M23" i="17"/>
  <c r="M22" i="17"/>
  <c r="M19" i="17"/>
  <c r="A13" i="19"/>
  <c r="A14" i="19"/>
  <c r="A15" i="19"/>
  <c r="A16" i="19"/>
  <c r="M17" i="17"/>
  <c r="M16" i="17"/>
  <c r="M15" i="17"/>
  <c r="F15" i="17"/>
  <c r="A8" i="19"/>
  <c r="A7" i="19"/>
  <c r="F14" i="17"/>
  <c r="F13" i="17"/>
  <c r="M8" i="17"/>
  <c r="M9" i="17"/>
  <c r="F7" i="17"/>
  <c r="A6" i="19"/>
  <c r="A5" i="19"/>
  <c r="M7" i="17"/>
  <c r="G38" i="17"/>
  <c r="G49" i="17"/>
  <c r="E11" i="19"/>
  <c r="E30" i="19"/>
  <c r="E20" i="19"/>
  <c r="G34" i="17"/>
  <c r="E7" i="19"/>
  <c r="E9" i="19"/>
  <c r="E13" i="19"/>
  <c r="G33" i="17"/>
  <c r="G32" i="17"/>
  <c r="E5" i="19"/>
  <c r="G15" i="17"/>
  <c r="G13" i="17"/>
  <c r="E8" i="19"/>
  <c r="E15" i="19"/>
  <c r="E10" i="19"/>
  <c r="E33" i="19"/>
  <c r="G14" i="17"/>
  <c r="E14" i="19"/>
  <c r="E16" i="19"/>
  <c r="G37" i="17"/>
  <c r="E28" i="19"/>
  <c r="G36" i="17"/>
  <c r="G46" i="17"/>
  <c r="E12" i="19"/>
  <c r="E6" i="19"/>
  <c r="E17" i="19"/>
  <c r="E29" i="19"/>
  <c r="G35" i="17"/>
  <c r="G31" i="17"/>
  <c r="G43" i="17"/>
  <c r="G47" i="17"/>
  <c r="E18" i="19"/>
  <c r="G39" i="17"/>
  <c r="G48" i="17"/>
  <c r="E19" i="19"/>
  <c r="E31" i="19"/>
  <c r="E32" i="19"/>
  <c r="G50" i="17"/>
  <c r="E21" i="19"/>
  <c r="G51" i="17"/>
  <c r="E25" i="19"/>
  <c r="E27" i="19"/>
  <c r="H31" i="17" l="1"/>
  <c r="N14" i="17"/>
  <c r="C14" i="17"/>
  <c r="F33" i="17"/>
  <c r="F16" i="17"/>
  <c r="C16" i="17" s="1"/>
  <c r="C15" i="17"/>
  <c r="F8" i="17"/>
  <c r="C8" i="17" s="1"/>
  <c r="C7" i="17"/>
  <c r="N13" i="17"/>
  <c r="H13" i="17" s="1"/>
  <c r="C13" i="17"/>
  <c r="I37" i="17"/>
  <c r="I55" i="17" s="1"/>
  <c r="H32" i="17"/>
  <c r="N15" i="17"/>
  <c r="J15" i="17" s="1"/>
  <c r="H37" i="17"/>
  <c r="H55" i="17" s="1"/>
  <c r="K26" i="17"/>
  <c r="K36" i="17"/>
  <c r="K54" i="17" s="1"/>
  <c r="H35" i="17"/>
  <c r="H53" i="17" s="1"/>
  <c r="H36" i="17"/>
  <c r="H54" i="17" s="1"/>
  <c r="I39" i="17"/>
  <c r="I57" i="17" s="1"/>
  <c r="I26" i="17"/>
  <c r="K38" i="17"/>
  <c r="K56" i="17" s="1"/>
  <c r="H39" i="17"/>
  <c r="H57" i="17" s="1"/>
  <c r="J19" i="17"/>
  <c r="J45" i="17"/>
  <c r="J63" i="17" s="1"/>
  <c r="I45" i="17"/>
  <c r="I63" i="17" s="1"/>
  <c r="H45" i="17"/>
  <c r="H63" i="17" s="1"/>
  <c r="K45" i="17"/>
  <c r="K63" i="17" s="1"/>
  <c r="H44" i="17"/>
  <c r="H62" i="17" s="1"/>
  <c r="K41" i="17"/>
  <c r="K59" i="17" s="1"/>
  <c r="K44" i="17"/>
  <c r="K62" i="17" s="1"/>
  <c r="H41" i="17"/>
  <c r="H59" i="17" s="1"/>
  <c r="I41" i="17"/>
  <c r="I59" i="17" s="1"/>
  <c r="I44" i="17"/>
  <c r="I62" i="17" s="1"/>
  <c r="J44" i="17"/>
  <c r="J62" i="17" s="1"/>
  <c r="J41" i="17"/>
  <c r="J59" i="17" s="1"/>
  <c r="I31" i="17"/>
  <c r="K39" i="17"/>
  <c r="K57" i="17" s="1"/>
  <c r="K42" i="17"/>
  <c r="K60" i="17" s="1"/>
  <c r="J39" i="17"/>
  <c r="J57" i="17" s="1"/>
  <c r="I25" i="17"/>
  <c r="K37" i="17"/>
  <c r="K55" i="17" s="1"/>
  <c r="I19" i="17"/>
  <c r="K31" i="17"/>
  <c r="I36" i="17"/>
  <c r="I54" i="17" s="1"/>
  <c r="J37" i="17"/>
  <c r="J55" i="17" s="1"/>
  <c r="H22" i="17"/>
  <c r="H19" i="17" s="1"/>
  <c r="J27" i="17"/>
  <c r="K14" i="17"/>
  <c r="J14" i="17"/>
  <c r="I14" i="17"/>
  <c r="K20" i="17"/>
  <c r="K19" i="17"/>
  <c r="J32" i="17"/>
  <c r="K22" i="17"/>
  <c r="I30" i="17"/>
  <c r="I32" i="17"/>
  <c r="H23" i="17"/>
  <c r="K40" i="17"/>
  <c r="K58" i="17" s="1"/>
  <c r="J43" i="17"/>
  <c r="J61" i="17" s="1"/>
  <c r="K30" i="17"/>
  <c r="J26" i="17"/>
  <c r="J36" i="17"/>
  <c r="J54" i="17" s="1"/>
  <c r="H20" i="17"/>
  <c r="K29" i="17"/>
  <c r="K28" i="17"/>
  <c r="I20" i="17"/>
  <c r="I22" i="17"/>
  <c r="K21" i="17"/>
  <c r="J20" i="17"/>
  <c r="H24" i="17"/>
  <c r="J31" i="17"/>
  <c r="H42" i="17"/>
  <c r="H60" i="17" s="1"/>
  <c r="H43" i="17"/>
  <c r="H61" i="17" s="1"/>
  <c r="I43" i="17"/>
  <c r="I61" i="17" s="1"/>
  <c r="H21" i="17"/>
  <c r="I35" i="17"/>
  <c r="I53" i="17" s="1"/>
  <c r="I29" i="17"/>
  <c r="I42" i="17"/>
  <c r="I60" i="17" s="1"/>
  <c r="I27" i="17"/>
  <c r="J28" i="17"/>
  <c r="K27" i="17"/>
  <c r="J30" i="17"/>
  <c r="J42" i="17"/>
  <c r="J60" i="17" s="1"/>
  <c r="H30" i="17"/>
  <c r="H27" i="17" s="1"/>
  <c r="K24" i="17"/>
  <c r="J29" i="17"/>
  <c r="H28" i="17"/>
  <c r="H25" i="17" s="1"/>
  <c r="J35" i="17"/>
  <c r="J53" i="17" s="1"/>
  <c r="J24" i="17"/>
  <c r="K43" i="17"/>
  <c r="K61" i="17" s="1"/>
  <c r="I23" i="17"/>
  <c r="J22" i="17"/>
  <c r="K23" i="17"/>
  <c r="H29" i="17"/>
  <c r="H26" i="17" s="1"/>
  <c r="K35" i="17"/>
  <c r="K53" i="17" s="1"/>
  <c r="I24" i="17"/>
  <c r="J25" i="17"/>
  <c r="J23" i="17"/>
  <c r="J21" i="17"/>
  <c r="I21" i="17"/>
  <c r="K25" i="17"/>
  <c r="I28" i="17"/>
  <c r="J38" i="17"/>
  <c r="J56" i="17" s="1"/>
  <c r="H38" i="17"/>
  <c r="H56" i="17" s="1"/>
  <c r="I38" i="17"/>
  <c r="I56" i="17" s="1"/>
  <c r="N7" i="17"/>
  <c r="H7" i="17" s="1"/>
  <c r="I40" i="17"/>
  <c r="I58" i="17" s="1"/>
  <c r="H40" i="17"/>
  <c r="H58" i="17" s="1"/>
  <c r="J40" i="17"/>
  <c r="J58" i="17" s="1"/>
  <c r="H14" i="17"/>
  <c r="F9" i="17" l="1"/>
  <c r="H15" i="17"/>
  <c r="N16" i="17"/>
  <c r="F17" i="17"/>
  <c r="F18" i="17" s="1"/>
  <c r="N8" i="17"/>
  <c r="I8" i="17" s="1"/>
  <c r="J13" i="17"/>
  <c r="I13" i="17"/>
  <c r="F10" i="17"/>
  <c r="C9" i="17"/>
  <c r="K13" i="17"/>
  <c r="C33" i="17"/>
  <c r="F46" i="17"/>
  <c r="F34" i="17"/>
  <c r="N33" i="17"/>
  <c r="K15" i="17"/>
  <c r="I15" i="17"/>
  <c r="N9" i="17"/>
  <c r="H9" i="17" s="1"/>
  <c r="K7" i="17"/>
  <c r="I7" i="17"/>
  <c r="J7" i="17"/>
  <c r="H16" i="17"/>
  <c r="I16" i="17"/>
  <c r="J16" i="17"/>
  <c r="K16" i="17"/>
  <c r="I9" i="17" l="1"/>
  <c r="C17" i="17"/>
  <c r="N17" i="17"/>
  <c r="J8" i="17"/>
  <c r="N18" i="17"/>
  <c r="C18" i="17"/>
  <c r="I33" i="17"/>
  <c r="J33" i="17"/>
  <c r="K33" i="17"/>
  <c r="H33" i="17"/>
  <c r="C34" i="17"/>
  <c r="N34" i="17"/>
  <c r="J9" i="17"/>
  <c r="K8" i="17"/>
  <c r="C46" i="17"/>
  <c r="F47" i="17"/>
  <c r="N46" i="17"/>
  <c r="N10" i="17"/>
  <c r="C10" i="17"/>
  <c r="K9" i="17"/>
  <c r="F11" i="17"/>
  <c r="H8" i="17"/>
  <c r="K17" i="17" l="1"/>
  <c r="K18" i="17" s="1"/>
  <c r="J17" i="17"/>
  <c r="J18" i="17" s="1"/>
  <c r="H17" i="17"/>
  <c r="H18" i="17" s="1"/>
  <c r="I17" i="17"/>
  <c r="I18" i="17" s="1"/>
  <c r="N11" i="17"/>
  <c r="C11" i="17"/>
  <c r="J34" i="17"/>
  <c r="H34" i="17"/>
  <c r="K34" i="17"/>
  <c r="I34" i="17"/>
  <c r="K10" i="17"/>
  <c r="J10" i="17"/>
  <c r="H10" i="17"/>
  <c r="I10" i="17"/>
  <c r="J46" i="17"/>
  <c r="H46" i="17"/>
  <c r="K46" i="17"/>
  <c r="I46" i="17"/>
  <c r="C47" i="17"/>
  <c r="F48" i="17"/>
  <c r="N47" i="17"/>
  <c r="F12" i="17"/>
  <c r="C12" i="17" s="1"/>
  <c r="C48" i="17" l="1"/>
  <c r="F49" i="17"/>
  <c r="N48" i="17"/>
  <c r="K47" i="17"/>
  <c r="J47" i="17"/>
  <c r="I47" i="17"/>
  <c r="H47" i="17"/>
  <c r="H11" i="17"/>
  <c r="H12" i="17" s="1"/>
  <c r="I11" i="17"/>
  <c r="I12" i="17" s="1"/>
  <c r="J11" i="17"/>
  <c r="J12" i="17" s="1"/>
  <c r="K11" i="17"/>
  <c r="K12" i="17" s="1"/>
  <c r="C49" i="17" l="1"/>
  <c r="F50" i="17"/>
  <c r="N49" i="17"/>
  <c r="I48" i="17"/>
  <c r="H48" i="17"/>
  <c r="J48" i="17"/>
  <c r="K48" i="17"/>
  <c r="K49" i="17" l="1"/>
  <c r="I49" i="17"/>
  <c r="J49" i="17"/>
  <c r="H49" i="17"/>
  <c r="C50" i="17"/>
  <c r="F51" i="17"/>
  <c r="N50" i="17"/>
  <c r="C51" i="17" l="1"/>
  <c r="N51" i="17"/>
  <c r="H50" i="17"/>
  <c r="I50" i="17"/>
  <c r="J50" i="17"/>
  <c r="K50" i="17"/>
  <c r="K51" i="17" l="1"/>
  <c r="J51" i="17"/>
  <c r="I51" i="17"/>
  <c r="H51" i="1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Rocco De Miglio</author>
  </authors>
  <commentList>
    <comment ref="V35" authorId="0" shapeId="0" xr:uid="{588A1D6B-9CDA-4158-9371-97139F2B84B0}">
      <text>
        <r>
          <rPr>
            <b/>
            <sz val="9"/>
            <color indexed="81"/>
            <rFont val="Tahoma"/>
            <family val="2"/>
          </rPr>
          <t>Rocco De Miglio:</t>
        </r>
        <r>
          <rPr>
            <sz val="9"/>
            <color indexed="81"/>
            <rFont val="Tahoma"/>
            <family val="2"/>
          </rPr>
          <t xml:space="preserve">
to adjust the milage for the new vehicles</t>
        </r>
      </text>
    </comment>
  </commentList>
</comments>
</file>

<file path=xl/sharedStrings.xml><?xml version="1.0" encoding="utf-8"?>
<sst xmlns="http://schemas.openxmlformats.org/spreadsheetml/2006/main" count="244" uniqueCount="91">
  <si>
    <t>TimeSlice</t>
  </si>
  <si>
    <t>Attribute</t>
  </si>
  <si>
    <t>Year</t>
  </si>
  <si>
    <t>Pset_PN</t>
  </si>
  <si>
    <t>~TFM_FILL</t>
  </si>
  <si>
    <t>Operation_Sum_Avg_Count</t>
  </si>
  <si>
    <t>Scenario Name</t>
  </si>
  <si>
    <t>Collect parameter values from the Base year templates callibration</t>
  </si>
  <si>
    <t>Lookups</t>
  </si>
  <si>
    <t>A</t>
  </si>
  <si>
    <t>BASE</t>
  </si>
  <si>
    <t>EFF</t>
  </si>
  <si>
    <t>Update values for the New Technologies</t>
  </si>
  <si>
    <t>Multipliers</t>
  </si>
  <si>
    <t>TRANAVP_DSL_E00</t>
  </si>
  <si>
    <t>AFA</t>
  </si>
  <si>
    <t>TRANAVP_DSL_N_ST</t>
  </si>
  <si>
    <t>TRANAVP_DSL_N_IM</t>
  </si>
  <si>
    <t>TRANAVP_DSL_N_AD</t>
  </si>
  <si>
    <t>TRANAVP_GAS_N_IM</t>
  </si>
  <si>
    <t>TRANAVP_GAS_N_AD</t>
  </si>
  <si>
    <t>TRANAVP*</t>
  </si>
  <si>
    <t>BASE_YEAR</t>
  </si>
  <si>
    <t>TRARAILP_ELC_E00</t>
  </si>
  <si>
    <t>TRARAILP_DSL_E00</t>
  </si>
  <si>
    <t>TRARAILF_ELC_E00</t>
  </si>
  <si>
    <t>TRARAILF_DSL_E00</t>
  </si>
  <si>
    <t>TRARAILP*</t>
  </si>
  <si>
    <t>TRARAILF*</t>
  </si>
  <si>
    <t>TRARAILP_ELC_N_ST</t>
  </si>
  <si>
    <t>TRARAILP_ELC_N_IM</t>
  </si>
  <si>
    <t>TRARAILP_ELC_N_AD</t>
  </si>
  <si>
    <t>TRARAILP_DSL_N_ST</t>
  </si>
  <si>
    <t>TRARAILP_DSL_N_IM</t>
  </si>
  <si>
    <t>TRARAILP_DSL_N_AD</t>
  </si>
  <si>
    <t>TRARAILF_ELC_N_ST</t>
  </si>
  <si>
    <t>TRARAILF_ELC_N_IM</t>
  </si>
  <si>
    <t>TRARAILF_ELC_N_AD</t>
  </si>
  <si>
    <t>TRARAILF_DSL_N_ST</t>
  </si>
  <si>
    <t>TRARAILF_DSL_N_IM</t>
  </si>
  <si>
    <t>TRARAILF_DSL_N_AD</t>
  </si>
  <si>
    <t>TRANAVP*N*</t>
  </si>
  <si>
    <t>TRARAILP*N*</t>
  </si>
  <si>
    <t>TRARAILF*N*</t>
  </si>
  <si>
    <t>~TFM_INS</t>
  </si>
  <si>
    <t>*</t>
  </si>
  <si>
    <t>TRARPPC*</t>
  </si>
  <si>
    <t>TRARPMO*</t>
  </si>
  <si>
    <t>TRARPBU*</t>
  </si>
  <si>
    <t>TRARHDV*</t>
  </si>
  <si>
    <t>TRARLDV*</t>
  </si>
  <si>
    <t>TRARPMO*N*</t>
  </si>
  <si>
    <t>TRARPBU*N*</t>
  </si>
  <si>
    <t>Efficiency Improvement</t>
  </si>
  <si>
    <t>TRARPPC*N*, TRARPPC*S*</t>
  </si>
  <si>
    <t>TRARHDV*N*,TRARHDV*S*</t>
  </si>
  <si>
    <t>TRARLDV*N*, TRARLDV*S*</t>
  </si>
  <si>
    <t>Plus the Second Hand vehicles denoted with "_S" instead of "_N"</t>
  </si>
  <si>
    <t>TRARLDV_DSL_E00</t>
  </si>
  <si>
    <t>TRARPTR_ELC*</t>
  </si>
  <si>
    <t>TRARPTR_ELC_N*</t>
  </si>
  <si>
    <t>TRANAVP_H2G_N_AD</t>
  </si>
  <si>
    <t>KZK</t>
  </si>
  <si>
    <t>AZJ</t>
  </si>
  <si>
    <t>TKM</t>
  </si>
  <si>
    <t>UZB</t>
  </si>
  <si>
    <t>TRAAVDOM_E00</t>
  </si>
  <si>
    <t>TRAAVDOM_N_ST</t>
  </si>
  <si>
    <t>TRAAVDOM_N_IM</t>
  </si>
  <si>
    <t>TRAAVDOM_N_AD</t>
  </si>
  <si>
    <t>TRARHDV*DSL*</t>
  </si>
  <si>
    <t>TRARHDV*GSL*</t>
  </si>
  <si>
    <t>TRARLDV*GSL*</t>
  </si>
  <si>
    <t>TRARLDV*DSL*</t>
  </si>
  <si>
    <t>TRARHDV*DSL*N*,TRARHDV*DSL*S*</t>
  </si>
  <si>
    <t>TRARLDV*GSL*N*, TRARLDV*GSL*S*</t>
  </si>
  <si>
    <t>TRARLDV*DSL*N*, TRARLDV*DSL*S*</t>
  </si>
  <si>
    <t>TRARHDV*GAS*</t>
  </si>
  <si>
    <t>TRARLDV*GAS*</t>
  </si>
  <si>
    <t>TRARPTR_ELC_N*,TRARPTR_ELC_S*</t>
  </si>
  <si>
    <t>TRARHDV*GAS*N*,TRARHDV*GAS*S*</t>
  </si>
  <si>
    <t>TRARLDV*GAS*N*, TRARLDV*GAS*S*</t>
  </si>
  <si>
    <t>TRARLDV*GSLAFA</t>
  </si>
  <si>
    <t>TRARHDV*B1*N*,TRARHDV*H2*N*,TRARHDV*B1*S*,TRARHDV*H2*S*,TRARHDV*B2*N*,TRARHDV*B2*S*</t>
  </si>
  <si>
    <t>TRARLDV*B1*N*,TRARLDV*H2*N*,TRARLDV*B1*S*,TRARLDV*H2*S*,TRARLDV*B2*N*,TRARLDV*B2*S*,TRARLDV*EL*N*,TRARLDV*EL*S*</t>
  </si>
  <si>
    <t>LO</t>
  </si>
  <si>
    <t>AFA-LO</t>
  </si>
  <si>
    <t>PRC_ACTFLO</t>
  </si>
  <si>
    <t>DEMO</t>
  </si>
  <si>
    <t>Cset_CN</t>
  </si>
  <si>
    <t>TRAAVDOM_N_AD_H2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</si>
</sst>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Arial"/>
    </font>
    <font>
      <b/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i/>
      <sz val="11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  <charset val="161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2" borderId="0" xfId="0" applyFont="1" applyFill="1"/>
    <xf numFmtId="0" fontId="3" fillId="0" borderId="1" xfId="0" applyFont="1" applyFill="1" applyBorder="1" applyAlignment="1">
      <alignment horizontal="center"/>
    </xf>
    <xf numFmtId="0" fontId="6" fillId="0" borderId="0" xfId="0" applyFont="1" applyFill="1"/>
    <xf numFmtId="0" fontId="7" fillId="0" borderId="0" xfId="0" applyFont="1" applyFill="1" applyAlignment="1"/>
    <xf numFmtId="0" fontId="6" fillId="0" borderId="0" xfId="0" applyFont="1" applyFill="1" applyAlignment="1">
      <alignment horizontal="center"/>
    </xf>
    <xf numFmtId="0" fontId="3" fillId="0" borderId="0" xfId="0" applyFont="1" applyFill="1" applyBorder="1" applyAlignment="1">
      <alignment horizontal="center"/>
    </xf>
    <xf numFmtId="1" fontId="1" fillId="0" borderId="1" xfId="0" applyNumberFormat="1" applyFont="1" applyFill="1" applyBorder="1" applyAlignment="1">
      <alignment vertical="center"/>
    </xf>
    <xf numFmtId="1" fontId="1" fillId="0" borderId="1" xfId="0" applyNumberFormat="1" applyFont="1" applyFill="1" applyBorder="1" applyAlignment="1">
      <alignment horizontal="center" vertical="center"/>
    </xf>
    <xf numFmtId="0" fontId="8" fillId="0" borderId="0" xfId="0" applyFont="1" applyFill="1"/>
    <xf numFmtId="0" fontId="3" fillId="0" borderId="0" xfId="0" applyFont="1" applyFill="1"/>
    <xf numFmtId="0" fontId="8" fillId="0" borderId="0" xfId="0" applyFont="1" applyFill="1" applyBorder="1"/>
    <xf numFmtId="0" fontId="6" fillId="0" borderId="2" xfId="0" applyFont="1" applyFill="1" applyBorder="1"/>
    <xf numFmtId="0" fontId="8" fillId="0" borderId="2" xfId="0" applyFont="1" applyFill="1" applyBorder="1"/>
    <xf numFmtId="0" fontId="3" fillId="0" borderId="2" xfId="0" applyFont="1" applyFill="1" applyBorder="1"/>
    <xf numFmtId="0" fontId="6" fillId="0" borderId="0" xfId="0" applyFont="1" applyFill="1" applyBorder="1"/>
    <xf numFmtId="0" fontId="3" fillId="0" borderId="0" xfId="0" applyFont="1" applyFill="1" applyBorder="1"/>
    <xf numFmtId="0" fontId="3" fillId="0" borderId="3" xfId="0" applyFont="1" applyFill="1" applyBorder="1"/>
    <xf numFmtId="0" fontId="1" fillId="0" borderId="0" xfId="0" applyFont="1" applyFill="1"/>
    <xf numFmtId="0" fontId="9" fillId="0" borderId="0" xfId="0" applyFont="1" applyFill="1"/>
    <xf numFmtId="0" fontId="3" fillId="0" borderId="1" xfId="0" applyFont="1" applyFill="1" applyBorder="1" applyAlignment="1">
      <alignment horizontal="left"/>
    </xf>
    <xf numFmtId="0" fontId="8" fillId="0" borderId="0" xfId="0" applyFont="1" applyFill="1" applyAlignment="1">
      <alignment horizontal="center"/>
    </xf>
    <xf numFmtId="2" fontId="8" fillId="0" borderId="0" xfId="0" applyNumberFormat="1" applyFont="1" applyFill="1"/>
    <xf numFmtId="2" fontId="8" fillId="0" borderId="0" xfId="0" applyNumberFormat="1" applyFont="1" applyFill="1" applyAlignment="1">
      <alignment horizontal="center"/>
    </xf>
    <xf numFmtId="0" fontId="10" fillId="0" borderId="0" xfId="0" applyFont="1" applyFill="1"/>
    <xf numFmtId="0" fontId="10" fillId="0" borderId="0" xfId="0" applyFont="1" applyFill="1" applyAlignment="1">
      <alignment horizontal="center"/>
    </xf>
    <xf numFmtId="2" fontId="10" fillId="0" borderId="0" xfId="0" applyNumberFormat="1" applyFont="1" applyFill="1"/>
    <xf numFmtId="0" fontId="11" fillId="0" borderId="0" xfId="0" applyFont="1" applyFill="1" applyBorder="1"/>
    <xf numFmtId="2" fontId="10" fillId="0" borderId="0" xfId="0" applyNumberFormat="1" applyFont="1" applyFill="1" applyAlignment="1">
      <alignment horizontal="center"/>
    </xf>
    <xf numFmtId="0" fontId="11" fillId="0" borderId="0" xfId="0" applyFont="1" applyFill="1"/>
    <xf numFmtId="2" fontId="8" fillId="0" borderId="0" xfId="0" applyNumberFormat="1" applyFont="1" applyFill="1" applyBorder="1" applyAlignment="1">
      <alignment horizontal="center"/>
    </xf>
    <xf numFmtId="0" fontId="8" fillId="0" borderId="2" xfId="0" applyFont="1" applyFill="1" applyBorder="1" applyAlignment="1">
      <alignment horizontal="center"/>
    </xf>
    <xf numFmtId="2" fontId="8" fillId="0" borderId="2" xfId="0" applyNumberFormat="1" applyFont="1" applyFill="1" applyBorder="1"/>
    <xf numFmtId="2" fontId="8" fillId="0" borderId="2" xfId="0" applyNumberFormat="1" applyFont="1" applyFill="1" applyBorder="1" applyAlignment="1">
      <alignment horizontal="center"/>
    </xf>
    <xf numFmtId="1" fontId="8" fillId="0" borderId="0" xfId="0" applyNumberFormat="1" applyFont="1" applyFill="1"/>
    <xf numFmtId="0" fontId="12" fillId="0" borderId="0" xfId="0" applyFont="1" applyFill="1"/>
    <xf numFmtId="0" fontId="8" fillId="0" borderId="4" xfId="0" applyFont="1" applyFill="1" applyBorder="1"/>
    <xf numFmtId="0" fontId="8" fillId="0" borderId="4" xfId="0" applyFont="1" applyFill="1" applyBorder="1" applyAlignment="1">
      <alignment horizontal="center"/>
    </xf>
    <xf numFmtId="1" fontId="8" fillId="0" borderId="4" xfId="0" applyNumberFormat="1" applyFont="1" applyFill="1" applyBorder="1"/>
    <xf numFmtId="0" fontId="6" fillId="0" borderId="4" xfId="0" applyFont="1" applyFill="1" applyBorder="1"/>
    <xf numFmtId="2" fontId="8" fillId="0" borderId="4" xfId="0" applyNumberFormat="1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1" fontId="8" fillId="0" borderId="0" xfId="0" applyNumberFormat="1" applyFont="1" applyFill="1" applyBorder="1"/>
    <xf numFmtId="1" fontId="8" fillId="0" borderId="2" xfId="0" applyNumberFormat="1" applyFont="1" applyFill="1" applyBorder="1"/>
    <xf numFmtId="2" fontId="8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33"/>
  <sheetViews>
    <sheetView zoomScale="85" zoomScaleNormal="85" workbookViewId="0">
      <selection sqref="A1:XFD1048576"/>
    </sheetView>
  </sheetViews>
  <sheetFormatPr defaultRowHeight="13.2" x14ac:dyDescent="0.25"/>
  <cols>
    <col min="1" max="1" width="24" style="3" customWidth="1"/>
    <col min="2" max="2" width="3.33203125" style="3" customWidth="1"/>
    <col min="3" max="3" width="26.88671875" style="3" customWidth="1"/>
    <col min="4" max="4" width="14.44140625" style="3" bestFit="1" customWidth="1"/>
    <col min="5" max="5" width="9.6640625" style="3" customWidth="1"/>
    <col min="6" max="6" width="26" style="3" customWidth="1"/>
    <col min="7" max="7" width="27.6640625" style="3" customWidth="1"/>
    <col min="8" max="8" width="8.44140625" style="3" bestFit="1" customWidth="1"/>
    <col min="9" max="9" width="11.44140625" style="3" customWidth="1"/>
    <col min="10" max="11" width="10.6640625" style="3" customWidth="1"/>
    <col min="12" max="12" width="8.88671875" style="3" bestFit="1" customWidth="1"/>
    <col min="13" max="13" width="8.44140625" style="3" bestFit="1" customWidth="1"/>
    <col min="14" max="16384" width="8.88671875" style="3"/>
  </cols>
  <sheetData>
    <row r="1" spans="1:12" ht="17.399999999999999" x14ac:dyDescent="0.3">
      <c r="C1" s="4" t="s">
        <v>7</v>
      </c>
      <c r="I1" s="5"/>
    </row>
    <row r="2" spans="1:12" x14ac:dyDescent="0.25">
      <c r="I2" s="5"/>
    </row>
    <row r="3" spans="1:12" x14ac:dyDescent="0.25">
      <c r="C3" s="3" t="s">
        <v>4</v>
      </c>
      <c r="E3" s="5"/>
      <c r="I3" s="5"/>
    </row>
    <row r="4" spans="1:12" ht="15" thickBot="1" x14ac:dyDescent="0.3">
      <c r="A4" s="6" t="s">
        <v>8</v>
      </c>
      <c r="C4" s="7" t="s">
        <v>5</v>
      </c>
      <c r="D4" s="7" t="s">
        <v>6</v>
      </c>
      <c r="E4" s="8" t="s">
        <v>2</v>
      </c>
      <c r="F4" s="7" t="s">
        <v>1</v>
      </c>
      <c r="G4" s="7" t="s">
        <v>3</v>
      </c>
      <c r="H4" s="7" t="s">
        <v>45</v>
      </c>
      <c r="I4" s="2" t="s">
        <v>62</v>
      </c>
      <c r="J4" s="2" t="s">
        <v>63</v>
      </c>
      <c r="K4" s="2" t="s">
        <v>64</v>
      </c>
      <c r="L4" s="2" t="s">
        <v>65</v>
      </c>
    </row>
    <row r="5" spans="1:12" ht="13.8" x14ac:dyDescent="0.25">
      <c r="A5" s="3" t="str">
        <f>LEFT(G5,7)&amp;F5</f>
        <v>TRANAVPEFF</v>
      </c>
      <c r="C5" s="9" t="s">
        <v>9</v>
      </c>
      <c r="D5" s="10" t="s">
        <v>10</v>
      </c>
      <c r="E5" s="9">
        <f t="shared" ref="E5:E33" si="0">BASE_YEAR</f>
        <v>2017</v>
      </c>
      <c r="F5" s="9" t="s">
        <v>11</v>
      </c>
      <c r="G5" s="9" t="s">
        <v>14</v>
      </c>
      <c r="H5" s="9"/>
      <c r="I5" s="3">
        <v>22.332953788990501</v>
      </c>
      <c r="J5" s="3">
        <v>25.078819145887099</v>
      </c>
      <c r="K5" s="3">
        <v>21.496130696474602</v>
      </c>
      <c r="L5" s="3">
        <v>22</v>
      </c>
    </row>
    <row r="6" spans="1:12" ht="13.8" x14ac:dyDescent="0.25">
      <c r="A6" s="3" t="str">
        <f>LEFT(G6,7)&amp;F6</f>
        <v>TRANAVPAFA</v>
      </c>
      <c r="C6" s="9" t="s">
        <v>9</v>
      </c>
      <c r="D6" s="10" t="s">
        <v>10</v>
      </c>
      <c r="E6" s="9">
        <f t="shared" si="0"/>
        <v>2017</v>
      </c>
      <c r="F6" s="9" t="s">
        <v>15</v>
      </c>
      <c r="G6" s="9" t="s">
        <v>21</v>
      </c>
      <c r="I6" s="3">
        <v>150000</v>
      </c>
      <c r="J6" s="3">
        <v>150000</v>
      </c>
      <c r="K6" s="3">
        <v>150000</v>
      </c>
      <c r="L6" s="3">
        <v>150000</v>
      </c>
    </row>
    <row r="7" spans="1:12" ht="13.8" x14ac:dyDescent="0.25">
      <c r="A7" s="3" t="str">
        <f>LEFT(G7,7)&amp;LEFT(F7,3)</f>
        <v>TRANAVPPRC</v>
      </c>
      <c r="C7" s="9" t="s">
        <v>9</v>
      </c>
      <c r="D7" s="10" t="s">
        <v>10</v>
      </c>
      <c r="E7" s="9">
        <f t="shared" si="0"/>
        <v>2017</v>
      </c>
      <c r="F7" s="9" t="s">
        <v>87</v>
      </c>
      <c r="G7" s="9" t="s">
        <v>21</v>
      </c>
      <c r="I7" s="3">
        <v>400</v>
      </c>
      <c r="J7" s="3">
        <v>400</v>
      </c>
      <c r="K7" s="3">
        <v>400</v>
      </c>
      <c r="L7" s="3">
        <v>400</v>
      </c>
    </row>
    <row r="8" spans="1:12" ht="13.8" x14ac:dyDescent="0.25">
      <c r="A8" s="3" t="str">
        <f>LEFT(G8,8)&amp;F8</f>
        <v>TRAAVDOMEFF</v>
      </c>
      <c r="C8" s="9" t="s">
        <v>9</v>
      </c>
      <c r="D8" s="10" t="s">
        <v>10</v>
      </c>
      <c r="E8" s="9">
        <f t="shared" si="0"/>
        <v>2017</v>
      </c>
      <c r="F8" s="9" t="s">
        <v>11</v>
      </c>
      <c r="G8" s="9" t="s">
        <v>66</v>
      </c>
      <c r="I8" s="3">
        <v>348.04859201430401</v>
      </c>
      <c r="J8" s="3">
        <v>186.598356740231</v>
      </c>
      <c r="K8" s="3">
        <v>350.307315053661</v>
      </c>
      <c r="L8" s="3">
        <v>183.72761279038099</v>
      </c>
    </row>
    <row r="9" spans="1:12" ht="13.8" x14ac:dyDescent="0.25">
      <c r="A9" s="3" t="str">
        <f>LEFT(G9,8)&amp;F9&amp;MID(G9,10,3)</f>
        <v>TRARAILPEFFELC</v>
      </c>
      <c r="C9" s="11" t="s">
        <v>9</v>
      </c>
      <c r="D9" s="10" t="s">
        <v>10</v>
      </c>
      <c r="E9" s="11">
        <f t="shared" si="0"/>
        <v>2017</v>
      </c>
      <c r="F9" s="9" t="s">
        <v>11</v>
      </c>
      <c r="G9" s="3" t="s">
        <v>23</v>
      </c>
      <c r="I9" s="3">
        <v>28.946275212291599</v>
      </c>
      <c r="J9" s="3">
        <v>29.855737078436999</v>
      </c>
      <c r="K9" s="3">
        <v>29.855737078436999</v>
      </c>
      <c r="L9" s="3">
        <v>28.979968790802801</v>
      </c>
    </row>
    <row r="10" spans="1:12" ht="13.8" x14ac:dyDescent="0.25">
      <c r="A10" s="3" t="str">
        <f t="shared" ref="A10:A12" si="1">LEFT(G10,8)&amp;F10&amp;MID(G10,10,3)</f>
        <v>TRARAILPEFFDSL</v>
      </c>
      <c r="C10" s="11" t="s">
        <v>9</v>
      </c>
      <c r="D10" s="10" t="s">
        <v>10</v>
      </c>
      <c r="E10" s="11">
        <f t="shared" si="0"/>
        <v>2017</v>
      </c>
      <c r="F10" s="9" t="s">
        <v>11</v>
      </c>
      <c r="G10" s="3" t="s">
        <v>24</v>
      </c>
      <c r="I10" s="3">
        <v>18.9671070536427</v>
      </c>
      <c r="J10" s="3">
        <v>7.2377544432574501</v>
      </c>
      <c r="K10" s="3">
        <v>18.576903071027498</v>
      </c>
      <c r="L10" s="3">
        <v>20.063055316709701</v>
      </c>
    </row>
    <row r="11" spans="1:12" ht="13.8" x14ac:dyDescent="0.25">
      <c r="A11" s="3" t="str">
        <f t="shared" si="1"/>
        <v>TRARAILFEFFELC</v>
      </c>
      <c r="C11" s="11" t="s">
        <v>9</v>
      </c>
      <c r="D11" s="10" t="s">
        <v>10</v>
      </c>
      <c r="E11" s="11">
        <f t="shared" si="0"/>
        <v>2017</v>
      </c>
      <c r="F11" s="9" t="s">
        <v>11</v>
      </c>
      <c r="G11" s="3" t="s">
        <v>25</v>
      </c>
      <c r="I11" s="3">
        <v>20.951589677468199</v>
      </c>
      <c r="J11" s="3">
        <v>20.249978192331199</v>
      </c>
      <c r="K11" s="3">
        <v>21.325526484597798</v>
      </c>
      <c r="L11" s="3">
        <v>21.2307463668885</v>
      </c>
    </row>
    <row r="12" spans="1:12" ht="13.8" x14ac:dyDescent="0.25">
      <c r="A12" s="12" t="str">
        <f t="shared" si="1"/>
        <v>TRARAILFEFFDSL</v>
      </c>
      <c r="B12" s="12"/>
      <c r="C12" s="13" t="s">
        <v>9</v>
      </c>
      <c r="D12" s="14" t="s">
        <v>10</v>
      </c>
      <c r="E12" s="13">
        <f t="shared" si="0"/>
        <v>2017</v>
      </c>
      <c r="F12" s="13" t="s">
        <v>11</v>
      </c>
      <c r="G12" s="12" t="s">
        <v>26</v>
      </c>
      <c r="H12" s="12"/>
      <c r="I12" s="3">
        <v>10.496597211153601</v>
      </c>
      <c r="J12" s="3">
        <v>7.5524394190512503</v>
      </c>
      <c r="K12" s="3">
        <v>9.9519123594789995</v>
      </c>
      <c r="L12" s="3">
        <v>11.146141842616499</v>
      </c>
    </row>
    <row r="13" spans="1:12" ht="13.8" x14ac:dyDescent="0.25">
      <c r="A13" s="3" t="str">
        <f t="shared" ref="A13:A16" si="2">LEFT(G13,8)&amp;F13</f>
        <v>TRARAILPAFA</v>
      </c>
      <c r="C13" s="11" t="s">
        <v>9</v>
      </c>
      <c r="D13" s="10" t="s">
        <v>10</v>
      </c>
      <c r="E13" s="11">
        <f t="shared" si="0"/>
        <v>2017</v>
      </c>
      <c r="F13" s="9" t="s">
        <v>15</v>
      </c>
      <c r="G13" s="3" t="s">
        <v>27</v>
      </c>
      <c r="I13" s="3">
        <v>140000</v>
      </c>
      <c r="J13" s="3">
        <v>50000</v>
      </c>
      <c r="K13" s="3">
        <v>140000</v>
      </c>
      <c r="L13" s="3">
        <v>140000</v>
      </c>
    </row>
    <row r="14" spans="1:12" ht="13.8" x14ac:dyDescent="0.25">
      <c r="A14" s="12" t="str">
        <f t="shared" si="2"/>
        <v>TRARAILFAFA</v>
      </c>
      <c r="B14" s="12"/>
      <c r="C14" s="13" t="s">
        <v>9</v>
      </c>
      <c r="D14" s="14" t="s">
        <v>10</v>
      </c>
      <c r="E14" s="13">
        <f t="shared" si="0"/>
        <v>2017</v>
      </c>
      <c r="F14" s="13" t="s">
        <v>15</v>
      </c>
      <c r="G14" s="12" t="s">
        <v>28</v>
      </c>
      <c r="H14" s="12"/>
      <c r="I14" s="3">
        <v>200000</v>
      </c>
      <c r="J14" s="3">
        <v>100000</v>
      </c>
      <c r="K14" s="3">
        <v>200000</v>
      </c>
      <c r="L14" s="3">
        <v>200000</v>
      </c>
    </row>
    <row r="15" spans="1:12" ht="13.8" x14ac:dyDescent="0.25">
      <c r="A15" s="3" t="str">
        <f t="shared" si="2"/>
        <v>TRARAILPPRC_ACTFLO</v>
      </c>
      <c r="C15" s="11" t="s">
        <v>9</v>
      </c>
      <c r="D15" s="10" t="s">
        <v>10</v>
      </c>
      <c r="E15" s="11">
        <f t="shared" si="0"/>
        <v>2017</v>
      </c>
      <c r="F15" s="9" t="s">
        <v>87</v>
      </c>
      <c r="G15" s="3" t="s">
        <v>27</v>
      </c>
      <c r="I15" s="3">
        <v>200</v>
      </c>
      <c r="J15" s="3">
        <v>75</v>
      </c>
      <c r="K15" s="3">
        <v>200</v>
      </c>
      <c r="L15" s="3">
        <v>200</v>
      </c>
    </row>
    <row r="16" spans="1:12" ht="13.8" x14ac:dyDescent="0.25">
      <c r="A16" s="12" t="str">
        <f t="shared" si="2"/>
        <v>TRARAILFPRC_ACTFLO</v>
      </c>
      <c r="B16" s="12"/>
      <c r="C16" s="13" t="s">
        <v>9</v>
      </c>
      <c r="D16" s="14" t="s">
        <v>10</v>
      </c>
      <c r="E16" s="13">
        <f t="shared" si="0"/>
        <v>2017</v>
      </c>
      <c r="F16" s="13" t="s">
        <v>87</v>
      </c>
      <c r="G16" s="12" t="s">
        <v>28</v>
      </c>
      <c r="H16" s="12"/>
      <c r="I16" s="3">
        <v>150</v>
      </c>
      <c r="J16" s="3">
        <v>93.75</v>
      </c>
      <c r="K16" s="3">
        <v>150</v>
      </c>
      <c r="L16" s="3">
        <v>150</v>
      </c>
    </row>
    <row r="17" spans="1:12" ht="13.8" x14ac:dyDescent="0.25">
      <c r="A17" s="15" t="str">
        <f t="shared" ref="A17:A32" si="3">LEFT(G17,7)&amp;F17</f>
        <v>TRARPPCAFA</v>
      </c>
      <c r="B17" s="15"/>
      <c r="C17" s="11" t="s">
        <v>9</v>
      </c>
      <c r="D17" s="10" t="s">
        <v>10</v>
      </c>
      <c r="E17" s="11">
        <f t="shared" si="0"/>
        <v>2017</v>
      </c>
      <c r="F17" s="11" t="s">
        <v>15</v>
      </c>
      <c r="G17" s="15" t="s">
        <v>46</v>
      </c>
      <c r="I17" s="3">
        <v>19500</v>
      </c>
      <c r="J17" s="3">
        <v>19500</v>
      </c>
      <c r="K17" s="3">
        <v>19500</v>
      </c>
      <c r="L17" s="3">
        <v>9500</v>
      </c>
    </row>
    <row r="18" spans="1:12" ht="13.8" x14ac:dyDescent="0.25">
      <c r="A18" s="15" t="str">
        <f t="shared" si="3"/>
        <v>TRARPMOAFA</v>
      </c>
      <c r="B18" s="15"/>
      <c r="C18" s="11" t="s">
        <v>9</v>
      </c>
      <c r="D18" s="10" t="s">
        <v>10</v>
      </c>
      <c r="E18" s="11">
        <f t="shared" si="0"/>
        <v>2017</v>
      </c>
      <c r="F18" s="11" t="s">
        <v>15</v>
      </c>
      <c r="G18" s="15" t="s">
        <v>47</v>
      </c>
      <c r="I18" s="3">
        <v>8000</v>
      </c>
      <c r="J18" s="3">
        <v>8000</v>
      </c>
      <c r="K18" s="3">
        <v>8000</v>
      </c>
      <c r="L18" s="3">
        <v>4000</v>
      </c>
    </row>
    <row r="19" spans="1:12" ht="13.8" x14ac:dyDescent="0.25">
      <c r="A19" s="15" t="str">
        <f t="shared" si="3"/>
        <v>TRARPBUAFA</v>
      </c>
      <c r="B19" s="15"/>
      <c r="C19" s="11" t="s">
        <v>9</v>
      </c>
      <c r="D19" s="10" t="s">
        <v>10</v>
      </c>
      <c r="E19" s="11">
        <f t="shared" si="0"/>
        <v>2017</v>
      </c>
      <c r="F19" s="11" t="s">
        <v>15</v>
      </c>
      <c r="G19" s="15" t="s">
        <v>48</v>
      </c>
      <c r="I19" s="3">
        <v>21250</v>
      </c>
      <c r="J19" s="3">
        <v>21250</v>
      </c>
      <c r="K19" s="3">
        <v>21250</v>
      </c>
      <c r="L19" s="3">
        <v>20000</v>
      </c>
    </row>
    <row r="20" spans="1:12" ht="13.8" x14ac:dyDescent="0.25">
      <c r="A20" s="15" t="str">
        <f t="shared" ref="A20" si="4">LEFT(G20,7)&amp;F20</f>
        <v>TRARPTRAFA</v>
      </c>
      <c r="B20" s="15"/>
      <c r="C20" s="11" t="s">
        <v>9</v>
      </c>
      <c r="D20" s="10" t="s">
        <v>10</v>
      </c>
      <c r="E20" s="11">
        <f t="shared" si="0"/>
        <v>2017</v>
      </c>
      <c r="F20" s="11" t="s">
        <v>15</v>
      </c>
      <c r="G20" s="3" t="s">
        <v>59</v>
      </c>
      <c r="I20" s="3">
        <v>10000</v>
      </c>
      <c r="J20" s="3">
        <v>10000</v>
      </c>
      <c r="K20" s="3">
        <v>10000</v>
      </c>
      <c r="L20" s="3">
        <v>10000</v>
      </c>
    </row>
    <row r="21" spans="1:12" ht="13.8" x14ac:dyDescent="0.25">
      <c r="A21" s="15" t="str">
        <f t="shared" ref="A21:A26" si="5">LEFT(G21,11)&amp;F21</f>
        <v>TRARHDV*DSLAFA</v>
      </c>
      <c r="B21" s="15"/>
      <c r="C21" s="11" t="s">
        <v>9</v>
      </c>
      <c r="D21" s="10" t="s">
        <v>10</v>
      </c>
      <c r="E21" s="11">
        <f t="shared" si="0"/>
        <v>2017</v>
      </c>
      <c r="F21" s="11" t="s">
        <v>15</v>
      </c>
      <c r="G21" s="15" t="s">
        <v>70</v>
      </c>
      <c r="I21" s="3">
        <v>80000</v>
      </c>
      <c r="J21" s="3">
        <v>80000</v>
      </c>
      <c r="K21" s="3">
        <v>80000</v>
      </c>
      <c r="L21" s="3">
        <v>20000</v>
      </c>
    </row>
    <row r="22" spans="1:12" ht="13.8" x14ac:dyDescent="0.25">
      <c r="A22" s="15" t="str">
        <f t="shared" si="5"/>
        <v>TRARHDV*GSLAFA</v>
      </c>
      <c r="B22" s="15"/>
      <c r="C22" s="11" t="s">
        <v>9</v>
      </c>
      <c r="D22" s="10" t="s">
        <v>10</v>
      </c>
      <c r="E22" s="11">
        <f t="shared" si="0"/>
        <v>2017</v>
      </c>
      <c r="F22" s="11" t="s">
        <v>15</v>
      </c>
      <c r="G22" s="15" t="s">
        <v>71</v>
      </c>
      <c r="I22" s="3">
        <v>18000</v>
      </c>
      <c r="J22" s="3">
        <v>18000</v>
      </c>
      <c r="K22" s="3">
        <v>18000</v>
      </c>
      <c r="L22" s="3">
        <v>18000</v>
      </c>
    </row>
    <row r="23" spans="1:12" ht="13.8" x14ac:dyDescent="0.25">
      <c r="A23" s="15" t="str">
        <f t="shared" si="5"/>
        <v>TRARHDV*GASAFA</v>
      </c>
      <c r="B23" s="15"/>
      <c r="C23" s="11" t="s">
        <v>9</v>
      </c>
      <c r="D23" s="10" t="s">
        <v>10</v>
      </c>
      <c r="E23" s="11">
        <f t="shared" si="0"/>
        <v>2017</v>
      </c>
      <c r="F23" s="11" t="s">
        <v>15</v>
      </c>
      <c r="G23" s="15" t="s">
        <v>77</v>
      </c>
      <c r="I23" s="3">
        <v>36000</v>
      </c>
      <c r="J23" s="3">
        <v>36000</v>
      </c>
      <c r="K23" s="3">
        <v>36000</v>
      </c>
      <c r="L23" s="3">
        <v>36000</v>
      </c>
    </row>
    <row r="24" spans="1:12" ht="13.8" x14ac:dyDescent="0.25">
      <c r="A24" s="15" t="str">
        <f t="shared" si="5"/>
        <v>TRARLDV*DSLAFA</v>
      </c>
      <c r="B24" s="15"/>
      <c r="C24" s="11" t="s">
        <v>9</v>
      </c>
      <c r="D24" s="10" t="s">
        <v>10</v>
      </c>
      <c r="E24" s="11">
        <f t="shared" si="0"/>
        <v>2017</v>
      </c>
      <c r="F24" s="11" t="s">
        <v>15</v>
      </c>
      <c r="G24" s="15" t="s">
        <v>73</v>
      </c>
      <c r="I24" s="3">
        <v>40000</v>
      </c>
      <c r="J24" s="3">
        <v>40000</v>
      </c>
      <c r="K24" s="3">
        <v>40000</v>
      </c>
      <c r="L24" s="3">
        <v>10000</v>
      </c>
    </row>
    <row r="25" spans="1:12" ht="13.8" x14ac:dyDescent="0.25">
      <c r="A25" s="15" t="str">
        <f t="shared" si="5"/>
        <v>TRARLDV*GSLAFA</v>
      </c>
      <c r="B25" s="15"/>
      <c r="C25" s="11" t="s">
        <v>9</v>
      </c>
      <c r="D25" s="16" t="s">
        <v>10</v>
      </c>
      <c r="E25" s="11">
        <f t="shared" si="0"/>
        <v>2017</v>
      </c>
      <c r="F25" s="11" t="s">
        <v>15</v>
      </c>
      <c r="G25" s="15" t="s">
        <v>72</v>
      </c>
      <c r="H25" s="15"/>
      <c r="I25" s="3">
        <v>13000</v>
      </c>
      <c r="J25" s="3">
        <v>13000</v>
      </c>
      <c r="K25" s="3">
        <v>13000</v>
      </c>
      <c r="L25" s="3">
        <v>13000</v>
      </c>
    </row>
    <row r="26" spans="1:12" ht="13.8" x14ac:dyDescent="0.25">
      <c r="A26" s="12" t="str">
        <f t="shared" si="5"/>
        <v>TRARLDV*GASAFA</v>
      </c>
      <c r="B26" s="12"/>
      <c r="C26" s="13" t="s">
        <v>9</v>
      </c>
      <c r="D26" s="14" t="s">
        <v>10</v>
      </c>
      <c r="E26" s="13">
        <f t="shared" si="0"/>
        <v>2017</v>
      </c>
      <c r="F26" s="13" t="s">
        <v>15</v>
      </c>
      <c r="G26" s="12" t="s">
        <v>78</v>
      </c>
      <c r="H26" s="12"/>
      <c r="I26" s="12">
        <v>18000</v>
      </c>
      <c r="J26" s="12">
        <v>18000</v>
      </c>
      <c r="K26" s="3">
        <v>18000</v>
      </c>
      <c r="L26" s="3">
        <v>18000</v>
      </c>
    </row>
    <row r="27" spans="1:12" ht="13.8" x14ac:dyDescent="0.25">
      <c r="A27" s="15" t="str">
        <f t="shared" si="3"/>
        <v>TRARPPCPRC_ACTFLO</v>
      </c>
      <c r="B27" s="15"/>
      <c r="C27" s="11" t="s">
        <v>9</v>
      </c>
      <c r="D27" s="10" t="s">
        <v>10</v>
      </c>
      <c r="E27" s="11">
        <f t="shared" si="0"/>
        <v>2017</v>
      </c>
      <c r="F27" s="11" t="s">
        <v>87</v>
      </c>
      <c r="G27" s="15" t="s">
        <v>46</v>
      </c>
      <c r="I27" s="3">
        <v>2.2000000000000002</v>
      </c>
      <c r="J27" s="3">
        <v>2.2000000000000002</v>
      </c>
      <c r="K27" s="3">
        <v>2.2000000000000002</v>
      </c>
      <c r="L27" s="3">
        <v>2.2000000000000002</v>
      </c>
    </row>
    <row r="28" spans="1:12" ht="13.8" x14ac:dyDescent="0.25">
      <c r="A28" s="15" t="str">
        <f t="shared" si="3"/>
        <v>TRARPMOPRC_ACTFLO</v>
      </c>
      <c r="B28" s="15"/>
      <c r="C28" s="11" t="s">
        <v>9</v>
      </c>
      <c r="D28" s="10" t="s">
        <v>10</v>
      </c>
      <c r="E28" s="11">
        <f t="shared" si="0"/>
        <v>2017</v>
      </c>
      <c r="F28" s="11" t="s">
        <v>87</v>
      </c>
      <c r="G28" s="15" t="s">
        <v>47</v>
      </c>
      <c r="I28" s="3">
        <v>1</v>
      </c>
      <c r="J28" s="3">
        <v>1</v>
      </c>
      <c r="K28" s="3">
        <v>1</v>
      </c>
      <c r="L28" s="3">
        <v>1</v>
      </c>
    </row>
    <row r="29" spans="1:12" ht="13.8" x14ac:dyDescent="0.25">
      <c r="A29" s="15" t="str">
        <f t="shared" si="3"/>
        <v>TRARPBUPRC_ACTFLO</v>
      </c>
      <c r="B29" s="15"/>
      <c r="C29" s="11" t="s">
        <v>9</v>
      </c>
      <c r="D29" s="10" t="s">
        <v>10</v>
      </c>
      <c r="E29" s="11">
        <f t="shared" si="0"/>
        <v>2017</v>
      </c>
      <c r="F29" s="11" t="s">
        <v>87</v>
      </c>
      <c r="G29" s="15" t="s">
        <v>48</v>
      </c>
      <c r="I29" s="3">
        <v>15</v>
      </c>
      <c r="J29" s="3">
        <v>15</v>
      </c>
      <c r="K29" s="3">
        <v>15</v>
      </c>
      <c r="L29" s="3">
        <v>15</v>
      </c>
    </row>
    <row r="30" spans="1:12" ht="13.8" x14ac:dyDescent="0.25">
      <c r="A30" s="15" t="str">
        <f t="shared" ref="A30" si="6">LEFT(G30,7)&amp;F30</f>
        <v>TRARPTRPRC_ACTFLO</v>
      </c>
      <c r="B30" s="15"/>
      <c r="C30" s="11" t="s">
        <v>9</v>
      </c>
      <c r="D30" s="10" t="s">
        <v>10</v>
      </c>
      <c r="E30" s="11">
        <f t="shared" si="0"/>
        <v>2017</v>
      </c>
      <c r="F30" s="11" t="s">
        <v>87</v>
      </c>
      <c r="G30" s="3" t="s">
        <v>59</v>
      </c>
      <c r="I30" s="3">
        <v>15</v>
      </c>
      <c r="J30" s="3">
        <v>15</v>
      </c>
      <c r="K30" s="3">
        <v>15</v>
      </c>
      <c r="L30" s="3">
        <v>15</v>
      </c>
    </row>
    <row r="31" spans="1:12" ht="13.8" x14ac:dyDescent="0.25">
      <c r="A31" s="15" t="str">
        <f t="shared" si="3"/>
        <v>TRARHDVPRC_ACTFLO</v>
      </c>
      <c r="B31" s="15"/>
      <c r="C31" s="11" t="s">
        <v>9</v>
      </c>
      <c r="D31" s="10" t="s">
        <v>10</v>
      </c>
      <c r="E31" s="11">
        <f t="shared" si="0"/>
        <v>2017</v>
      </c>
      <c r="F31" s="11" t="s">
        <v>87</v>
      </c>
      <c r="G31" s="15" t="s">
        <v>49</v>
      </c>
      <c r="I31" s="3">
        <v>18</v>
      </c>
      <c r="J31" s="3">
        <v>18</v>
      </c>
      <c r="K31" s="3">
        <v>18</v>
      </c>
      <c r="L31" s="3">
        <v>18</v>
      </c>
    </row>
    <row r="32" spans="1:12" ht="13.8" x14ac:dyDescent="0.25">
      <c r="A32" s="12" t="str">
        <f t="shared" si="3"/>
        <v>TRARLDVPRC_ACTFLO</v>
      </c>
      <c r="B32" s="12"/>
      <c r="C32" s="13" t="s">
        <v>9</v>
      </c>
      <c r="D32" s="14" t="s">
        <v>10</v>
      </c>
      <c r="E32" s="13">
        <f t="shared" si="0"/>
        <v>2017</v>
      </c>
      <c r="F32" s="13" t="s">
        <v>87</v>
      </c>
      <c r="G32" s="12" t="s">
        <v>50</v>
      </c>
      <c r="H32" s="12"/>
      <c r="I32" s="3">
        <v>3</v>
      </c>
      <c r="J32" s="3">
        <v>3</v>
      </c>
      <c r="K32" s="3">
        <v>3</v>
      </c>
      <c r="L32" s="3">
        <v>3</v>
      </c>
    </row>
    <row r="33" spans="1:12" ht="13.8" x14ac:dyDescent="0.25">
      <c r="A33" s="12" t="str">
        <f t="shared" ref="A33" si="7">LEFT(G33,7)&amp;F33</f>
        <v>TRARLDVEFF</v>
      </c>
      <c r="B33" s="12"/>
      <c r="C33" s="13" t="s">
        <v>9</v>
      </c>
      <c r="D33" s="17" t="s">
        <v>10</v>
      </c>
      <c r="E33" s="13">
        <f t="shared" si="0"/>
        <v>2017</v>
      </c>
      <c r="F33" s="12" t="s">
        <v>11</v>
      </c>
      <c r="G33" s="12" t="s">
        <v>58</v>
      </c>
      <c r="H33" s="12"/>
      <c r="I33" s="3">
        <v>191.668589907632</v>
      </c>
      <c r="J33" s="3">
        <v>191.668589907632</v>
      </c>
      <c r="K33" s="3">
        <v>191.668589907632</v>
      </c>
      <c r="L33" s="3">
        <v>191.668589907632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V63"/>
  <sheetViews>
    <sheetView tabSelected="1" topLeftCell="A2" zoomScale="85" zoomScaleNormal="85" workbookViewId="0">
      <selection activeCell="A2" sqref="A1:XFD1048576"/>
    </sheetView>
  </sheetViews>
  <sheetFormatPr defaultRowHeight="13.2" x14ac:dyDescent="0.25"/>
  <cols>
    <col min="1" max="1" width="2.88671875" style="3" customWidth="1"/>
    <col min="2" max="2" width="11.5546875" style="3" customWidth="1"/>
    <col min="3" max="3" width="15.109375" style="3" bestFit="1" customWidth="1"/>
    <col min="4" max="4" width="32.6640625" style="3" customWidth="1"/>
    <col min="5" max="5" width="19.88671875" style="3" customWidth="1"/>
    <col min="6" max="6" width="15.109375" style="3" bestFit="1" customWidth="1"/>
    <col min="7" max="7" width="10.6640625" style="3" customWidth="1"/>
    <col min="8" max="11" width="11" style="3" bestFit="1" customWidth="1"/>
    <col min="12" max="12" width="4.33203125" style="3" customWidth="1"/>
    <col min="13" max="13" width="23.5546875" style="3" bestFit="1" customWidth="1"/>
    <col min="14" max="14" width="17.5546875" style="3" bestFit="1" customWidth="1"/>
    <col min="15" max="15" width="9" style="3" customWidth="1"/>
    <col min="16" max="18" width="8.88671875" style="3"/>
    <col min="19" max="19" width="9.88671875" style="3" customWidth="1"/>
    <col min="20" max="20" width="17.33203125" style="3" bestFit="1" customWidth="1"/>
    <col min="21" max="21" width="12.5546875" style="3" bestFit="1" customWidth="1"/>
    <col min="22" max="22" width="12" style="3" bestFit="1" customWidth="1"/>
    <col min="23" max="23" width="17.6640625" style="3" bestFit="1" customWidth="1"/>
    <col min="24" max="24" width="12.5546875" style="3" bestFit="1" customWidth="1"/>
    <col min="25" max="25" width="12" style="3" bestFit="1" customWidth="1"/>
    <col min="26" max="16384" width="8.88671875" style="3"/>
  </cols>
  <sheetData>
    <row r="1" spans="2:14" ht="17.399999999999999" x14ac:dyDescent="0.3">
      <c r="B1" s="4" t="s">
        <v>12</v>
      </c>
      <c r="M1" s="5"/>
      <c r="N1" s="5"/>
    </row>
    <row r="2" spans="2:14" ht="17.399999999999999" x14ac:dyDescent="0.3">
      <c r="B2" s="4"/>
      <c r="M2" s="5"/>
      <c r="N2" s="5"/>
    </row>
    <row r="3" spans="2:14" ht="17.399999999999999" x14ac:dyDescent="0.3">
      <c r="B3" s="4"/>
      <c r="H3" s="19">
        <v>9</v>
      </c>
      <c r="I3" s="3">
        <v>10</v>
      </c>
      <c r="J3" s="3">
        <v>11</v>
      </c>
      <c r="K3" s="3">
        <v>12</v>
      </c>
      <c r="M3" s="5"/>
      <c r="N3" s="5"/>
    </row>
    <row r="4" spans="2:14" ht="14.4" x14ac:dyDescent="0.3">
      <c r="B4" s="18" t="s">
        <v>44</v>
      </c>
      <c r="M4" s="5"/>
      <c r="N4" s="5"/>
    </row>
    <row r="5" spans="2:14" ht="15" thickBot="1" x14ac:dyDescent="0.3">
      <c r="B5" s="7" t="s">
        <v>0</v>
      </c>
      <c r="C5" s="7" t="s">
        <v>1</v>
      </c>
      <c r="D5" s="7" t="s">
        <v>3</v>
      </c>
      <c r="E5" s="7" t="s">
        <v>89</v>
      </c>
      <c r="F5" s="7" t="s">
        <v>45</v>
      </c>
      <c r="G5" s="7" t="s">
        <v>2</v>
      </c>
      <c r="H5" s="2" t="s">
        <v>62</v>
      </c>
      <c r="I5" s="2" t="s">
        <v>63</v>
      </c>
      <c r="J5" s="2" t="s">
        <v>64</v>
      </c>
      <c r="K5" s="2" t="s">
        <v>65</v>
      </c>
      <c r="M5" s="2" t="s">
        <v>13</v>
      </c>
      <c r="N5" s="2" t="s">
        <v>8</v>
      </c>
    </row>
    <row r="6" spans="2:14" ht="15" thickBot="1" x14ac:dyDescent="0.3">
      <c r="B6" s="7" t="s">
        <v>45</v>
      </c>
      <c r="C6" s="7"/>
      <c r="D6" s="7"/>
      <c r="E6" s="7"/>
      <c r="F6" s="7"/>
      <c r="G6" s="7"/>
      <c r="H6" s="20"/>
      <c r="I6" s="20"/>
      <c r="J6" s="20"/>
      <c r="K6" s="20"/>
      <c r="M6" s="20" t="s">
        <v>53</v>
      </c>
      <c r="N6" s="2"/>
    </row>
    <row r="7" spans="2:14" ht="13.8" x14ac:dyDescent="0.25">
      <c r="B7" s="9"/>
      <c r="C7" s="9" t="str">
        <f>F7</f>
        <v>EFF</v>
      </c>
      <c r="D7" s="9" t="s">
        <v>16</v>
      </c>
      <c r="E7" s="9"/>
      <c r="F7" s="9" t="str">
        <f>'FILL Table'!F5</f>
        <v>EFF</v>
      </c>
      <c r="G7" s="21">
        <f t="shared" ref="G7" si="0">IF(RIGHT(D7,2)="ST",BASE_YEAR+1,IF(RIGHT(D7,2)="IM",BASE_YEAR+10,BASE_YEAR+20))</f>
        <v>2018</v>
      </c>
      <c r="H7" s="22">
        <f>VLOOKUP($N7,'FILL Table'!$A$4:$I$16,H$3,FALSE)*$M7</f>
        <v>22.556283326880408</v>
      </c>
      <c r="I7" s="22">
        <f>VLOOKUP($N7,'FILL Table'!$A$4:$L$16,I$3,FALSE)*$M7</f>
        <v>25.329607337345969</v>
      </c>
      <c r="J7" s="22">
        <f>VLOOKUP($N7,'FILL Table'!$A$4:$L$16,J$3,FALSE)*$M7</f>
        <v>21.711092003439347</v>
      </c>
      <c r="K7" s="22">
        <f>VLOOKUP($N7,'FILL Table'!$A$4:$L$16,K$3,FALSE)*$M7</f>
        <v>22.22</v>
      </c>
      <c r="L7" s="22"/>
      <c r="M7" s="23">
        <f>IF(RIGHT(D7,2)="ST",1.01,IF(RIGHT(D7,2)="IM",1.1,1.2))</f>
        <v>1.01</v>
      </c>
      <c r="N7" s="3" t="str">
        <f t="shared" ref="N7:N13" si="1">LEFT(D7,7)&amp;F7</f>
        <v>TRANAVPEFF</v>
      </c>
    </row>
    <row r="8" spans="2:14" ht="13.8" x14ac:dyDescent="0.25">
      <c r="B8" s="9"/>
      <c r="C8" s="9" t="str">
        <f t="shared" ref="C8:C51" si="2">F8</f>
        <v>EFF</v>
      </c>
      <c r="D8" s="9" t="s">
        <v>17</v>
      </c>
      <c r="E8" s="9"/>
      <c r="F8" s="9" t="str">
        <f>F7</f>
        <v>EFF</v>
      </c>
      <c r="G8" s="21">
        <f>IF(RIGHT(D8,2)="ST",BASE_YEAR+1,IF(RIGHT(D8,2)="IM",BASE_YEAR+8,BASE_YEAR+18))</f>
        <v>2025</v>
      </c>
      <c r="H8" s="22">
        <f>VLOOKUP($N8,'FILL Table'!$A$4:$I$16,H$3,FALSE)*$M8</f>
        <v>24.566249167889552</v>
      </c>
      <c r="I8" s="22">
        <f>VLOOKUP($N8,'FILL Table'!$A$4:$L$16,I$3,FALSE)*$M8</f>
        <v>27.586701060475811</v>
      </c>
      <c r="J8" s="22">
        <f>VLOOKUP($N8,'FILL Table'!$A$4:$L$16,J$3,FALSE)*$M8</f>
        <v>23.645743766122063</v>
      </c>
      <c r="K8" s="22">
        <f>VLOOKUP($N8,'FILL Table'!$A$4:$L$16,K$3,FALSE)*$M8</f>
        <v>24.200000000000003</v>
      </c>
      <c r="L8" s="15"/>
      <c r="M8" s="23">
        <f>IF(RIGHT(D8,2)="ST",1.01,IF(RIGHT(D8,2)="IM",1.1,1.2))</f>
        <v>1.1000000000000001</v>
      </c>
      <c r="N8" s="3" t="str">
        <f t="shared" si="1"/>
        <v>TRANAVPEFF</v>
      </c>
    </row>
    <row r="9" spans="2:14" ht="13.8" x14ac:dyDescent="0.25">
      <c r="B9" s="9"/>
      <c r="C9" s="9" t="str">
        <f t="shared" si="2"/>
        <v>EFF</v>
      </c>
      <c r="D9" s="9" t="s">
        <v>18</v>
      </c>
      <c r="E9" s="9"/>
      <c r="F9" s="9" t="str">
        <f t="shared" ref="F9:F12" si="3">F8</f>
        <v>EFF</v>
      </c>
      <c r="G9" s="21">
        <f>IF(RIGHT(D9,2)="ST",BASE_YEAR+1,IF(RIGHT(D9,2)="IM",BASE_YEAR+8,BASE_YEAR+18))</f>
        <v>2035</v>
      </c>
      <c r="H9" s="22">
        <f>VLOOKUP($N9,'FILL Table'!$A$4:$I$16,H$3,FALSE)*$M9</f>
        <v>26.799544546788599</v>
      </c>
      <c r="I9" s="22">
        <f>VLOOKUP($N9,'FILL Table'!$A$4:$L$16,I$3,FALSE)*$M9</f>
        <v>30.094582975064519</v>
      </c>
      <c r="J9" s="22">
        <f>VLOOKUP($N9,'FILL Table'!$A$4:$L$16,J$3,FALSE)*$M9</f>
        <v>25.795356835769521</v>
      </c>
      <c r="K9" s="22">
        <f>VLOOKUP($N9,'FILL Table'!$A$4:$L$16,K$3,FALSE)*$M9</f>
        <v>26.4</v>
      </c>
      <c r="L9" s="15"/>
      <c r="M9" s="23">
        <f>IF(RIGHT(D9,2)="ST",1.01,IF(RIGHT(D9,2)="IM",1.1,1.2))</f>
        <v>1.2</v>
      </c>
      <c r="N9" s="3" t="str">
        <f t="shared" si="1"/>
        <v>TRANAVPEFF</v>
      </c>
    </row>
    <row r="10" spans="2:14" ht="13.8" x14ac:dyDescent="0.25">
      <c r="B10" s="9"/>
      <c r="C10" s="9" t="str">
        <f t="shared" si="2"/>
        <v>EFF</v>
      </c>
      <c r="D10" s="9" t="s">
        <v>19</v>
      </c>
      <c r="E10" s="9"/>
      <c r="F10" s="9" t="str">
        <f t="shared" si="3"/>
        <v>EFF</v>
      </c>
      <c r="G10" s="21">
        <f>IF(RIGHT(D10,2)="ST",BASE_YEAR+1,IF(RIGHT(D10,2)="IM",BASE_YEAR+8,BASE_YEAR+18))</f>
        <v>2025</v>
      </c>
      <c r="H10" s="22">
        <f>VLOOKUP($N10,'FILL Table'!$A$4:$I$16,H$3,FALSE)*$M10</f>
        <v>23.449601478440027</v>
      </c>
      <c r="I10" s="22">
        <f>VLOOKUP($N10,'FILL Table'!$A$4:$L$16,I$3,FALSE)*$M10</f>
        <v>26.332760103181457</v>
      </c>
      <c r="J10" s="22">
        <f>VLOOKUP($N10,'FILL Table'!$A$4:$L$16,J$3,FALSE)*$M10</f>
        <v>22.570937231298334</v>
      </c>
      <c r="K10" s="22">
        <f>VLOOKUP($N10,'FILL Table'!$A$4:$L$16,K$3,FALSE)*$M10</f>
        <v>23.1</v>
      </c>
      <c r="L10" s="15"/>
      <c r="M10" s="23">
        <f>IF(RIGHT(D10,2)="ST",1.01,IF(RIGHT(D10,2)="IM",1.05,1.1))</f>
        <v>1.05</v>
      </c>
      <c r="N10" s="3" t="str">
        <f t="shared" si="1"/>
        <v>TRANAVPEFF</v>
      </c>
    </row>
    <row r="11" spans="2:14" ht="13.8" x14ac:dyDescent="0.25">
      <c r="B11" s="9"/>
      <c r="C11" s="9" t="str">
        <f t="shared" si="2"/>
        <v>EFF</v>
      </c>
      <c r="D11" s="9" t="s">
        <v>20</v>
      </c>
      <c r="E11" s="9"/>
      <c r="F11" s="9" t="str">
        <f t="shared" si="3"/>
        <v>EFF</v>
      </c>
      <c r="G11" s="21">
        <f>IF(RIGHT(D11,2)="ST",BASE_YEAR+1,IF(RIGHT(D11,2)="IM",BASE_YEAR+8,BASE_YEAR+18))</f>
        <v>2035</v>
      </c>
      <c r="H11" s="22">
        <f>VLOOKUP($N11,'FILL Table'!$A$4:$I$16,H$3,FALSE)*$M11</f>
        <v>24.566249167889552</v>
      </c>
      <c r="I11" s="22">
        <f>VLOOKUP($N11,'FILL Table'!$A$4:$L$16,I$3,FALSE)*$M11</f>
        <v>27.586701060475811</v>
      </c>
      <c r="J11" s="22">
        <f>VLOOKUP($N11,'FILL Table'!$A$4:$L$16,J$3,FALSE)*$M11</f>
        <v>23.645743766122063</v>
      </c>
      <c r="K11" s="22">
        <f>VLOOKUP($N11,'FILL Table'!$A$4:$L$16,K$3,FALSE)*$M11</f>
        <v>24.200000000000003</v>
      </c>
      <c r="L11" s="15"/>
      <c r="M11" s="23">
        <f>IF(RIGHT(D11,2)="ST",1.01,IF(RIGHT(D11,2)="IM",1.05,1.1))</f>
        <v>1.1000000000000001</v>
      </c>
      <c r="N11" s="3" t="str">
        <f t="shared" si="1"/>
        <v>TRANAVPEFF</v>
      </c>
    </row>
    <row r="12" spans="2:14" ht="13.8" x14ac:dyDescent="0.25">
      <c r="B12" s="9"/>
      <c r="C12" s="9" t="str">
        <f t="shared" si="2"/>
        <v>EFF</v>
      </c>
      <c r="D12" s="9" t="s">
        <v>61</v>
      </c>
      <c r="E12" s="9"/>
      <c r="F12" s="9" t="str">
        <f t="shared" si="3"/>
        <v>EFF</v>
      </c>
      <c r="G12" s="21">
        <v>2030</v>
      </c>
      <c r="H12" s="22">
        <f>H11</f>
        <v>24.566249167889552</v>
      </c>
      <c r="I12" s="22">
        <f t="shared" ref="I12:K12" si="4">I11</f>
        <v>27.586701060475811</v>
      </c>
      <c r="J12" s="22">
        <f t="shared" si="4"/>
        <v>23.645743766122063</v>
      </c>
      <c r="K12" s="22">
        <f t="shared" si="4"/>
        <v>24.200000000000003</v>
      </c>
      <c r="L12" s="15"/>
      <c r="M12" s="23"/>
    </row>
    <row r="13" spans="2:14" ht="13.8" x14ac:dyDescent="0.25">
      <c r="B13" s="9"/>
      <c r="C13" s="9" t="str">
        <f t="shared" si="2"/>
        <v>AFA</v>
      </c>
      <c r="D13" s="9" t="s">
        <v>41</v>
      </c>
      <c r="E13" s="9"/>
      <c r="F13" s="9" t="str">
        <f>'FILL Table'!F6</f>
        <v>AFA</v>
      </c>
      <c r="G13" s="21">
        <f>BASE_YEAR+1</f>
        <v>2018</v>
      </c>
      <c r="H13" s="22">
        <f>VLOOKUP($N13,'FILL Table'!$A$4:$I$16,H$3,FALSE)</f>
        <v>150000</v>
      </c>
      <c r="I13" s="22">
        <f>VLOOKUP($N13,'FILL Table'!$A$4:$L$16,I$3,FALSE)</f>
        <v>150000</v>
      </c>
      <c r="J13" s="22">
        <f>VLOOKUP($N13,'FILL Table'!$A$4:$L$16,J$3,FALSE)</f>
        <v>150000</v>
      </c>
      <c r="K13" s="22">
        <f>VLOOKUP($N13,'FILL Table'!$A$4:$L$16,K$3,FALSE)</f>
        <v>150000</v>
      </c>
      <c r="L13" s="15"/>
      <c r="M13" s="23"/>
      <c r="N13" s="3" t="str">
        <f t="shared" si="1"/>
        <v>TRANAVPAFA</v>
      </c>
    </row>
    <row r="14" spans="2:14" ht="13.8" x14ac:dyDescent="0.25">
      <c r="B14" s="9"/>
      <c r="C14" s="9" t="str">
        <f t="shared" si="2"/>
        <v>PRC_ACTFLO</v>
      </c>
      <c r="D14" s="9" t="s">
        <v>41</v>
      </c>
      <c r="E14" s="9" t="s">
        <v>88</v>
      </c>
      <c r="F14" s="9" t="str">
        <f>'FILL Table'!F7</f>
        <v>PRC_ACTFLO</v>
      </c>
      <c r="G14" s="21">
        <f>BASE_YEAR+1</f>
        <v>2018</v>
      </c>
      <c r="H14" s="22">
        <f>VLOOKUP($N14,'FILL Table'!$A$4:$I$16,H$3,FALSE)</f>
        <v>400</v>
      </c>
      <c r="I14" s="22">
        <f>VLOOKUP($N14,'FILL Table'!$A$4:$L$16,I$3,FALSE)</f>
        <v>400</v>
      </c>
      <c r="J14" s="22">
        <f>VLOOKUP($N14,'FILL Table'!$A$4:$L$16,J$3,FALSE)</f>
        <v>400</v>
      </c>
      <c r="K14" s="22">
        <f>VLOOKUP($N14,'FILL Table'!$A$4:$L$16,K$3,FALSE)</f>
        <v>400</v>
      </c>
      <c r="L14" s="15"/>
      <c r="M14" s="23"/>
      <c r="N14" s="3" t="str">
        <f>LEFT(D14,7)&amp;LEFT(F14,3)</f>
        <v>TRANAVPPRC</v>
      </c>
    </row>
    <row r="15" spans="2:14" ht="13.8" x14ac:dyDescent="0.25">
      <c r="B15" s="9"/>
      <c r="C15" s="9" t="str">
        <f t="shared" si="2"/>
        <v>EFF</v>
      </c>
      <c r="D15" s="9" t="s">
        <v>67</v>
      </c>
      <c r="E15" s="9"/>
      <c r="F15" s="9" t="str">
        <f>'FILL Table'!F8</f>
        <v>EFF</v>
      </c>
      <c r="G15" s="21">
        <f t="shared" ref="G15" si="5">IF(RIGHT(D15,2)="ST",BASE_YEAR+1,IF(RIGHT(D15,2)="IM",BASE_YEAR+10,BASE_YEAR+20))</f>
        <v>2018</v>
      </c>
      <c r="H15" s="22">
        <f>VLOOKUP($N15,'FILL Table'!$A$4:$I$16,H$3,FALSE)*$M15</f>
        <v>351.52907793444706</v>
      </c>
      <c r="I15" s="22">
        <f>VLOOKUP($N15,'FILL Table'!$A$4:$L$16,I$3,FALSE)*$M15</f>
        <v>188.46434030763331</v>
      </c>
      <c r="J15" s="22">
        <f>VLOOKUP($N15,'FILL Table'!$A$4:$L$16,J$3,FALSE)*$M15</f>
        <v>353.81038820419764</v>
      </c>
      <c r="K15" s="22">
        <f>VLOOKUP($N15,'FILL Table'!$A$4:$L$16,K$3,FALSE)*$M15</f>
        <v>185.56488891828479</v>
      </c>
      <c r="L15" s="15"/>
      <c r="M15" s="23">
        <f>IF(RIGHT(D15,2)="ST",1.01,IF(RIGHT(D15,2)="IM",1.1,1.2))</f>
        <v>1.01</v>
      </c>
      <c r="N15" s="3" t="str">
        <f>LEFT(D15,8)&amp;F15</f>
        <v>TRAAVDOMEFF</v>
      </c>
    </row>
    <row r="16" spans="2:14" ht="13.8" x14ac:dyDescent="0.25">
      <c r="B16" s="9"/>
      <c r="C16" s="9" t="str">
        <f t="shared" si="2"/>
        <v>EFF</v>
      </c>
      <c r="D16" s="9" t="s">
        <v>68</v>
      </c>
      <c r="E16" s="9"/>
      <c r="F16" s="9" t="str">
        <f>F15</f>
        <v>EFF</v>
      </c>
      <c r="G16" s="21">
        <f t="shared" ref="G16:G30" si="6">IF(RIGHT(D16,2)="ST",BASE_YEAR+1,IF(RIGHT(D16,2)="IM",BASE_YEAR+8,BASE_YEAR+18))</f>
        <v>2025</v>
      </c>
      <c r="H16" s="22">
        <f>VLOOKUP($N16,'FILL Table'!$A$4:$I$16,H$3,FALSE)*$M16</f>
        <v>382.85345121573442</v>
      </c>
      <c r="I16" s="22">
        <f>VLOOKUP($N16,'FILL Table'!$A$4:$L$16,I$3,FALSE)*$M16</f>
        <v>205.25819241425413</v>
      </c>
      <c r="J16" s="22">
        <f>VLOOKUP($N16,'FILL Table'!$A$4:$L$16,J$3,FALSE)*$M16</f>
        <v>385.33804655902713</v>
      </c>
      <c r="K16" s="22">
        <f>VLOOKUP($N16,'FILL Table'!$A$4:$L$16,K$3,FALSE)*$M16</f>
        <v>202.1003740694191</v>
      </c>
      <c r="L16" s="15"/>
      <c r="M16" s="23">
        <f>IF(RIGHT(D16,2)="ST",1.01,IF(RIGHT(D16,2)="IM",1.1,1.2))</f>
        <v>1.1000000000000001</v>
      </c>
      <c r="N16" s="3" t="str">
        <f>LEFT(D16,8)&amp;F16</f>
        <v>TRAAVDOMEFF</v>
      </c>
    </row>
    <row r="17" spans="2:14" ht="13.8" x14ac:dyDescent="0.25">
      <c r="B17" s="9"/>
      <c r="C17" s="9" t="str">
        <f t="shared" si="2"/>
        <v>EFF</v>
      </c>
      <c r="D17" s="9" t="s">
        <v>69</v>
      </c>
      <c r="E17" s="9"/>
      <c r="F17" s="9" t="str">
        <f>F16</f>
        <v>EFF</v>
      </c>
      <c r="G17" s="21">
        <f t="shared" si="6"/>
        <v>2035</v>
      </c>
      <c r="H17" s="22">
        <f>VLOOKUP($N17,'FILL Table'!$A$4:$I$16,H$3,FALSE)*$M17</f>
        <v>417.65831041716478</v>
      </c>
      <c r="I17" s="22">
        <f>VLOOKUP($N17,'FILL Table'!$A$4:$L$16,I$3,FALSE)*$M17</f>
        <v>223.9180280882772</v>
      </c>
      <c r="J17" s="22">
        <f>VLOOKUP($N17,'FILL Table'!$A$4:$L$16,J$3,FALSE)*$M17</f>
        <v>420.36877806439321</v>
      </c>
      <c r="K17" s="22">
        <f>VLOOKUP($N17,'FILL Table'!$A$4:$L$16,K$3,FALSE)*$M17</f>
        <v>220.47313534845719</v>
      </c>
      <c r="L17" s="15"/>
      <c r="M17" s="23">
        <f>IF(RIGHT(D17,2)="ST",1.01,IF(RIGHT(D17,2)="IM",1.1,1.2))</f>
        <v>1.2</v>
      </c>
      <c r="N17" s="3" t="str">
        <f>LEFT(D17,8)&amp;F17</f>
        <v>TRAAVDOMEFF</v>
      </c>
    </row>
    <row r="18" spans="2:14" ht="14.4" x14ac:dyDescent="0.3">
      <c r="B18" s="9"/>
      <c r="C18" s="24" t="str">
        <f t="shared" ref="C18" si="7">F18</f>
        <v>EFF</v>
      </c>
      <c r="D18" s="24" t="s">
        <v>90</v>
      </c>
      <c r="E18" s="24"/>
      <c r="F18" s="24" t="str">
        <f>F17</f>
        <v>EFF</v>
      </c>
      <c r="G18" s="25">
        <f t="shared" ref="G18" si="8">IF(RIGHT(D18,2)="ST",BASE_YEAR+1,IF(RIGHT(D18,2)="IM",BASE_YEAR+8,BASE_YEAR+18))</f>
        <v>2035</v>
      </c>
      <c r="H18" s="26">
        <f>H17</f>
        <v>417.65831041716478</v>
      </c>
      <c r="I18" s="26">
        <f t="shared" ref="I18:K18" si="9">I17</f>
        <v>223.9180280882772</v>
      </c>
      <c r="J18" s="26">
        <f t="shared" si="9"/>
        <v>420.36877806439321</v>
      </c>
      <c r="K18" s="26">
        <f t="shared" si="9"/>
        <v>220.47313534845719</v>
      </c>
      <c r="L18" s="27"/>
      <c r="M18" s="28"/>
      <c r="N18" s="29" t="str">
        <f>LEFT(D18,8)&amp;F18</f>
        <v>TRAAVDOMEFF</v>
      </c>
    </row>
    <row r="19" spans="2:14" ht="13.8" x14ac:dyDescent="0.25">
      <c r="B19" s="9"/>
      <c r="C19" s="9" t="str">
        <f t="shared" si="2"/>
        <v>EFF</v>
      </c>
      <c r="D19" s="9" t="s">
        <v>29</v>
      </c>
      <c r="E19" s="9"/>
      <c r="F19" s="9" t="s">
        <v>11</v>
      </c>
      <c r="G19" s="21">
        <f t="shared" si="6"/>
        <v>2018</v>
      </c>
      <c r="H19" s="22">
        <f>IF(VLOOKUP($N19,'FILL Table'!$A$4:$I$16,H$3,FALSE)*$M19=0,$H22*1.2,VLOOKUP($N19,'FILL Table'!$A$4:$I$16,H$3,FALSE)*$M19)</f>
        <v>29.235737964414515</v>
      </c>
      <c r="I19" s="22">
        <f>VLOOKUP($N19,'FILL Table'!$A$4:$L$16,I$3,FALSE)*$M19</f>
        <v>30.154294449221368</v>
      </c>
      <c r="J19" s="22">
        <f>VLOOKUP($N19,'FILL Table'!$A$4:$L$16,J$3,FALSE)*$M19</f>
        <v>30.154294449221368</v>
      </c>
      <c r="K19" s="22">
        <f>VLOOKUP($N19,'FILL Table'!$A$4:$L$16,K$3,FALSE)*$M19</f>
        <v>29.26976847871083</v>
      </c>
      <c r="L19" s="15"/>
      <c r="M19" s="23">
        <f t="shared" ref="M19:M25" si="10">IF(RIGHT(D19,2)="ST",1.01,IF(RIGHT(D19,2)="IM",1.1,1.2))</f>
        <v>1.01</v>
      </c>
      <c r="N19" s="3" t="str">
        <f>LEFT(D19,8)&amp;F19&amp;MID(D19,10,3)</f>
        <v>TRARAILPEFFELC</v>
      </c>
    </row>
    <row r="20" spans="2:14" ht="13.8" x14ac:dyDescent="0.25">
      <c r="B20" s="9"/>
      <c r="C20" s="9" t="str">
        <f t="shared" si="2"/>
        <v>EFF</v>
      </c>
      <c r="D20" s="9" t="s">
        <v>30</v>
      </c>
      <c r="E20" s="9"/>
      <c r="F20" s="9" t="s">
        <v>11</v>
      </c>
      <c r="G20" s="21">
        <f t="shared" si="6"/>
        <v>2025</v>
      </c>
      <c r="H20" s="22">
        <f>IF(VLOOKUP($N20,'FILL Table'!$A$4:$I$16,H$3,FALSE)*$M20=0,$H23*1.2,VLOOKUP($N20,'FILL Table'!$A$4:$I$16,H$3,FALSE)*$M20)</f>
        <v>30.39358897290618</v>
      </c>
      <c r="I20" s="22">
        <f>VLOOKUP($N20,'FILL Table'!$A$4:$L$16,I$3,FALSE)*$M20</f>
        <v>31.348523932358852</v>
      </c>
      <c r="J20" s="22">
        <f>VLOOKUP($N20,'FILL Table'!$A$4:$L$16,J$3,FALSE)*$M20</f>
        <v>31.348523932358852</v>
      </c>
      <c r="K20" s="22">
        <f>VLOOKUP($N20,'FILL Table'!$A$4:$L$16,K$3,FALSE)*$M20</f>
        <v>30.428967230342941</v>
      </c>
      <c r="L20" s="15"/>
      <c r="M20" s="23">
        <f>IF(RIGHT(D20,2)="ST",1.01,IF(RIGHT(D20,2)="IM",1.05,1.1))</f>
        <v>1.05</v>
      </c>
      <c r="N20" s="3" t="str">
        <f t="shared" ref="N20:N30" si="11">LEFT(D20,8)&amp;F20&amp;MID(D20,10,3)</f>
        <v>TRARAILPEFFELC</v>
      </c>
    </row>
    <row r="21" spans="2:14" ht="13.8" x14ac:dyDescent="0.25">
      <c r="B21" s="9"/>
      <c r="C21" s="9" t="str">
        <f t="shared" si="2"/>
        <v>EFF</v>
      </c>
      <c r="D21" s="9" t="s">
        <v>31</v>
      </c>
      <c r="E21" s="9"/>
      <c r="F21" s="9" t="s">
        <v>11</v>
      </c>
      <c r="G21" s="21">
        <f t="shared" si="6"/>
        <v>2035</v>
      </c>
      <c r="H21" s="22">
        <f>IF(VLOOKUP($N21,'FILL Table'!$A$4:$I$16,H$3,FALSE)*$M21=0,$H24*1.2,VLOOKUP($N21,'FILL Table'!$A$4:$I$16,H$3,FALSE)*$M21)</f>
        <v>31.84090273352076</v>
      </c>
      <c r="I21" s="22">
        <f>VLOOKUP($N21,'FILL Table'!$A$4:$L$16,I$3,FALSE)*$M21</f>
        <v>32.841310786280701</v>
      </c>
      <c r="J21" s="22">
        <f>VLOOKUP($N21,'FILL Table'!$A$4:$L$16,J$3,FALSE)*$M21</f>
        <v>32.841310786280701</v>
      </c>
      <c r="K21" s="22">
        <f>VLOOKUP($N21,'FILL Table'!$A$4:$L$16,K$3,FALSE)*$M21</f>
        <v>31.877965669883082</v>
      </c>
      <c r="L21" s="15"/>
      <c r="M21" s="23">
        <f>IF(RIGHT(D21,2)="ST",1.01,IF(RIGHT(D21,2)="IM",1.05,1.1))</f>
        <v>1.1000000000000001</v>
      </c>
      <c r="N21" s="3" t="str">
        <f t="shared" si="11"/>
        <v>TRARAILPEFFELC</v>
      </c>
    </row>
    <row r="22" spans="2:14" ht="13.8" x14ac:dyDescent="0.25">
      <c r="B22" s="9"/>
      <c r="C22" s="9" t="str">
        <f t="shared" si="2"/>
        <v>EFF</v>
      </c>
      <c r="D22" s="9" t="s">
        <v>32</v>
      </c>
      <c r="E22" s="9"/>
      <c r="F22" s="9" t="s">
        <v>11</v>
      </c>
      <c r="G22" s="21">
        <f t="shared" si="6"/>
        <v>2018</v>
      </c>
      <c r="H22" s="22">
        <f>VLOOKUP($N22,'FILL Table'!$A$4:$I$16,H$3,FALSE)*$M22</f>
        <v>19.156778124179127</v>
      </c>
      <c r="I22" s="22">
        <f>VLOOKUP($N22,'FILL Table'!$A$4:$L$16,I$3,FALSE)*$M22</f>
        <v>7.310131987690025</v>
      </c>
      <c r="J22" s="22">
        <f>VLOOKUP($N22,'FILL Table'!$A$4:$L$16,J$3,FALSE)*$M22</f>
        <v>18.762672101737774</v>
      </c>
      <c r="K22" s="22">
        <f>VLOOKUP($N22,'FILL Table'!$A$4:$L$16,K$3,FALSE)*$M22</f>
        <v>20.263685869876799</v>
      </c>
      <c r="L22" s="15"/>
      <c r="M22" s="23">
        <f t="shared" si="10"/>
        <v>1.01</v>
      </c>
      <c r="N22" s="3" t="str">
        <f t="shared" si="11"/>
        <v>TRARAILPEFFDSL</v>
      </c>
    </row>
    <row r="23" spans="2:14" ht="13.8" x14ac:dyDescent="0.25">
      <c r="B23" s="9"/>
      <c r="C23" s="9" t="str">
        <f t="shared" si="2"/>
        <v>EFF</v>
      </c>
      <c r="D23" s="9" t="s">
        <v>33</v>
      </c>
      <c r="E23" s="9"/>
      <c r="F23" s="9" t="s">
        <v>11</v>
      </c>
      <c r="G23" s="21">
        <f t="shared" si="6"/>
        <v>2025</v>
      </c>
      <c r="H23" s="22">
        <f>VLOOKUP($N23,'FILL Table'!$A$4:$I$16,H$3,FALSE)*$M23</f>
        <v>20.86381775900697</v>
      </c>
      <c r="I23" s="22">
        <f>VLOOKUP($N23,'FILL Table'!$A$4:$L$16,I$3,FALSE)*$M23</f>
        <v>7.9615298875831959</v>
      </c>
      <c r="J23" s="22">
        <f>VLOOKUP($N23,'FILL Table'!$A$4:$L$16,J$3,FALSE)*$M23</f>
        <v>20.434593378130248</v>
      </c>
      <c r="K23" s="22">
        <f>VLOOKUP($N23,'FILL Table'!$A$4:$L$16,K$3,FALSE)*$M23</f>
        <v>22.069360848380672</v>
      </c>
      <c r="L23" s="15"/>
      <c r="M23" s="30">
        <f t="shared" si="10"/>
        <v>1.1000000000000001</v>
      </c>
      <c r="N23" s="3" t="str">
        <f t="shared" si="11"/>
        <v>TRARAILPEFFDSL</v>
      </c>
    </row>
    <row r="24" spans="2:14" ht="13.8" x14ac:dyDescent="0.25">
      <c r="B24" s="9"/>
      <c r="C24" s="9" t="str">
        <f t="shared" si="2"/>
        <v>EFF</v>
      </c>
      <c r="D24" s="9" t="s">
        <v>34</v>
      </c>
      <c r="E24" s="9"/>
      <c r="F24" s="9" t="s">
        <v>11</v>
      </c>
      <c r="G24" s="21">
        <f t="shared" si="6"/>
        <v>2035</v>
      </c>
      <c r="H24" s="22">
        <f>VLOOKUP($N24,'FILL Table'!$A$4:$I$16,H$3,FALSE)*$M24</f>
        <v>22.760528464371237</v>
      </c>
      <c r="I24" s="22">
        <f>VLOOKUP($N24,'FILL Table'!$A$4:$L$16,I$3,FALSE)*$M24</f>
        <v>8.6853053319089391</v>
      </c>
      <c r="J24" s="22">
        <f>VLOOKUP($N24,'FILL Table'!$A$4:$L$16,J$3,FALSE)*$M24</f>
        <v>22.292283685232999</v>
      </c>
      <c r="K24" s="22">
        <f>VLOOKUP($N24,'FILL Table'!$A$4:$L$16,K$3,FALSE)*$M24</f>
        <v>24.07566638005164</v>
      </c>
      <c r="L24" s="15"/>
      <c r="M24" s="30">
        <f t="shared" si="10"/>
        <v>1.2</v>
      </c>
      <c r="N24" s="3" t="str">
        <f t="shared" si="11"/>
        <v>TRARAILPEFFDSL</v>
      </c>
    </row>
    <row r="25" spans="2:14" ht="13.8" x14ac:dyDescent="0.25">
      <c r="B25" s="9"/>
      <c r="C25" s="9" t="str">
        <f t="shared" si="2"/>
        <v>EFF</v>
      </c>
      <c r="D25" s="9" t="s">
        <v>35</v>
      </c>
      <c r="E25" s="9"/>
      <c r="F25" s="9" t="s">
        <v>11</v>
      </c>
      <c r="G25" s="21">
        <f t="shared" si="6"/>
        <v>2018</v>
      </c>
      <c r="H25" s="22">
        <f>IF(VLOOKUP($N25,'FILL Table'!$A$4:$I$16,H$3,FALSE)*$M25=0,$H28*1.2,VLOOKUP($N25,'FILL Table'!$A$4:$I$16,H$3,FALSE)*$M25)</f>
        <v>21.161105574242882</v>
      </c>
      <c r="I25" s="22">
        <f>VLOOKUP($N25,'FILL Table'!$A$4:$L$16,I$3,FALSE)*$M25</f>
        <v>20.45247797425451</v>
      </c>
      <c r="J25" s="22">
        <f>VLOOKUP($N25,'FILL Table'!$A$4:$L$16,J$3,FALSE)*$M25</f>
        <v>21.538781749443775</v>
      </c>
      <c r="K25" s="22">
        <f>VLOOKUP($N25,'FILL Table'!$A$4:$L$16,K$3,FALSE)*$M25</f>
        <v>21.443053830557385</v>
      </c>
      <c r="L25" s="15"/>
      <c r="M25" s="23">
        <f t="shared" si="10"/>
        <v>1.01</v>
      </c>
      <c r="N25" s="3" t="str">
        <f t="shared" si="11"/>
        <v>TRARAILFEFFELC</v>
      </c>
    </row>
    <row r="26" spans="2:14" ht="13.8" x14ac:dyDescent="0.25">
      <c r="B26" s="9"/>
      <c r="C26" s="9" t="str">
        <f t="shared" si="2"/>
        <v>EFF</v>
      </c>
      <c r="D26" s="9" t="s">
        <v>36</v>
      </c>
      <c r="E26" s="9"/>
      <c r="F26" s="9" t="s">
        <v>11</v>
      </c>
      <c r="G26" s="21">
        <f t="shared" si="6"/>
        <v>2025</v>
      </c>
      <c r="H26" s="22">
        <f>IF(VLOOKUP($N26,'FILL Table'!$A$4:$I$16,H$3,FALSE)*$M26=0,$H29*1.2,VLOOKUP($N26,'FILL Table'!$A$4:$I$16,H$3,FALSE)*$M26)</f>
        <v>21.999169161341609</v>
      </c>
      <c r="I26" s="22">
        <f>VLOOKUP($N26,'FILL Table'!$A$4:$L$16,I$3,FALSE)*$M26</f>
        <v>21.262477101947759</v>
      </c>
      <c r="J26" s="22">
        <f>VLOOKUP($N26,'FILL Table'!$A$4:$L$16,J$3,FALSE)*$M26</f>
        <v>22.391802808827688</v>
      </c>
      <c r="K26" s="22">
        <f>VLOOKUP($N26,'FILL Table'!$A$4:$L$16,K$3,FALSE)*$M26</f>
        <v>22.292283685232928</v>
      </c>
      <c r="L26" s="15"/>
      <c r="M26" s="23">
        <f>IF(RIGHT(D26,2)="ST",1.01,IF(RIGHT(D26,2)="IM",1.05,1.1))</f>
        <v>1.05</v>
      </c>
      <c r="N26" s="3" t="str">
        <f t="shared" si="11"/>
        <v>TRARAILFEFFELC</v>
      </c>
    </row>
    <row r="27" spans="2:14" ht="13.8" x14ac:dyDescent="0.25">
      <c r="B27" s="9"/>
      <c r="C27" s="9" t="str">
        <f t="shared" si="2"/>
        <v>EFF</v>
      </c>
      <c r="D27" s="9" t="s">
        <v>37</v>
      </c>
      <c r="E27" s="9"/>
      <c r="F27" s="9" t="s">
        <v>11</v>
      </c>
      <c r="G27" s="21">
        <f t="shared" si="6"/>
        <v>2035</v>
      </c>
      <c r="H27" s="22">
        <f>IF(VLOOKUP($N27,'FILL Table'!$A$4:$I$16,H$3,FALSE)*$M27=0,$H30*1.2,VLOOKUP($N27,'FILL Table'!$A$4:$I$16,H$3,FALSE)*$M27)</f>
        <v>23.046748645215022</v>
      </c>
      <c r="I27" s="22">
        <f>VLOOKUP($N27,'FILL Table'!$A$4:$L$16,I$3,FALSE)*$M27</f>
        <v>22.27497601156432</v>
      </c>
      <c r="J27" s="22">
        <f>VLOOKUP($N27,'FILL Table'!$A$4:$L$16,J$3,FALSE)*$M27</f>
        <v>23.458079133057581</v>
      </c>
      <c r="K27" s="22">
        <f>VLOOKUP($N27,'FILL Table'!$A$4:$L$16,K$3,FALSE)*$M27</f>
        <v>23.353821003577352</v>
      </c>
      <c r="L27" s="15"/>
      <c r="M27" s="23">
        <f>IF(RIGHT(D27,2)="ST",1.01,IF(RIGHT(D27,2)="IM",1.05,1.1))</f>
        <v>1.1000000000000001</v>
      </c>
      <c r="N27" s="3" t="str">
        <f t="shared" si="11"/>
        <v>TRARAILFEFFELC</v>
      </c>
    </row>
    <row r="28" spans="2:14" ht="13.8" x14ac:dyDescent="0.25">
      <c r="B28" s="9"/>
      <c r="C28" s="9" t="str">
        <f t="shared" si="2"/>
        <v>EFF</v>
      </c>
      <c r="D28" s="9" t="s">
        <v>38</v>
      </c>
      <c r="E28" s="9"/>
      <c r="F28" s="9" t="s">
        <v>11</v>
      </c>
      <c r="G28" s="21">
        <f t="shared" si="6"/>
        <v>2018</v>
      </c>
      <c r="H28" s="22">
        <f>VLOOKUP($N28,'FILL Table'!$A$4:$I$16,H$3,FALSE)*$M28</f>
        <v>10.601563183265137</v>
      </c>
      <c r="I28" s="22">
        <f>VLOOKUP($N28,'FILL Table'!$A$4:$L$16,I$3,FALSE)*$M28</f>
        <v>7.6279638132417631</v>
      </c>
      <c r="J28" s="22">
        <f>VLOOKUP($N28,'FILL Table'!$A$4:$L$16,J$3,FALSE)*$M28</f>
        <v>10.05143148307379</v>
      </c>
      <c r="K28" s="22">
        <f>VLOOKUP($N28,'FILL Table'!$A$4:$L$16,K$3,FALSE)*$M28</f>
        <v>11.257603261042664</v>
      </c>
      <c r="L28" s="15"/>
      <c r="M28" s="30">
        <f t="shared" ref="M28:M30" si="12">IF(RIGHT(D28,2)="ST",1.01,IF(RIGHT(D28,2)="IM",1.1,1.2))</f>
        <v>1.01</v>
      </c>
      <c r="N28" s="3" t="str">
        <f t="shared" si="11"/>
        <v>TRARAILFEFFDSL</v>
      </c>
    </row>
    <row r="29" spans="2:14" ht="13.8" x14ac:dyDescent="0.25">
      <c r="B29" s="9"/>
      <c r="C29" s="9" t="str">
        <f t="shared" si="2"/>
        <v>EFF</v>
      </c>
      <c r="D29" s="9" t="s">
        <v>39</v>
      </c>
      <c r="E29" s="9"/>
      <c r="F29" s="9" t="s">
        <v>11</v>
      </c>
      <c r="G29" s="21">
        <f t="shared" si="6"/>
        <v>2025</v>
      </c>
      <c r="H29" s="22">
        <f>VLOOKUP($N29,'FILL Table'!$A$4:$I$16,H$3,FALSE)*$M29</f>
        <v>11.546256932268962</v>
      </c>
      <c r="I29" s="22">
        <f>VLOOKUP($N29,'FILL Table'!$A$4:$L$16,I$3,FALSE)*$M29</f>
        <v>8.3076833609563767</v>
      </c>
      <c r="J29" s="22">
        <f>VLOOKUP($N29,'FILL Table'!$A$4:$L$16,J$3,FALSE)*$M29</f>
        <v>10.947103595426901</v>
      </c>
      <c r="K29" s="22">
        <f>VLOOKUP($N29,'FILL Table'!$A$4:$L$16,K$3,FALSE)*$M29</f>
        <v>12.26075602687815</v>
      </c>
      <c r="L29" s="15"/>
      <c r="M29" s="30">
        <f t="shared" si="12"/>
        <v>1.1000000000000001</v>
      </c>
      <c r="N29" s="3" t="str">
        <f t="shared" si="11"/>
        <v>TRARAILFEFFDSL</v>
      </c>
    </row>
    <row r="30" spans="2:14" ht="13.8" x14ac:dyDescent="0.25">
      <c r="B30" s="13"/>
      <c r="C30" s="9" t="str">
        <f t="shared" si="2"/>
        <v>EFF</v>
      </c>
      <c r="D30" s="13" t="s">
        <v>40</v>
      </c>
      <c r="E30" s="13"/>
      <c r="F30" s="13" t="s">
        <v>11</v>
      </c>
      <c r="G30" s="31">
        <f t="shared" si="6"/>
        <v>2035</v>
      </c>
      <c r="H30" s="32">
        <f>VLOOKUP($N30,'FILL Table'!$A$4:$I$16,H$3,FALSE)*$M30</f>
        <v>12.59591665338432</v>
      </c>
      <c r="I30" s="32">
        <f>VLOOKUP($N30,'FILL Table'!$A$4:$L$16,I$3,FALSE)*$M30</f>
        <v>9.0629273028614996</v>
      </c>
      <c r="J30" s="32">
        <f>VLOOKUP($N30,'FILL Table'!$A$4:$L$16,J$3,FALSE)*$M30</f>
        <v>11.942294831374799</v>
      </c>
      <c r="K30" s="32">
        <f>VLOOKUP($N30,'FILL Table'!$A$4:$L$16,K$3,FALSE)*$M30</f>
        <v>13.375370211139799</v>
      </c>
      <c r="L30" s="12"/>
      <c r="M30" s="33">
        <f t="shared" si="12"/>
        <v>1.2</v>
      </c>
      <c r="N30" s="3" t="str">
        <f t="shared" si="11"/>
        <v>TRARAILFEFFDSL</v>
      </c>
    </row>
    <row r="31" spans="2:14" ht="13.8" x14ac:dyDescent="0.25">
      <c r="B31" s="9"/>
      <c r="C31" s="9" t="str">
        <f t="shared" si="2"/>
        <v>AFA</v>
      </c>
      <c r="D31" s="9" t="s">
        <v>42</v>
      </c>
      <c r="E31" s="9"/>
      <c r="F31" s="9" t="s">
        <v>15</v>
      </c>
      <c r="G31" s="21">
        <f t="shared" ref="G31:G51" si="13">BASE_YEAR+1</f>
        <v>2018</v>
      </c>
      <c r="H31" s="22">
        <f>VLOOKUP($N31,'FILL Table'!$A$4:$I$16,H$3,FALSE)</f>
        <v>140000</v>
      </c>
      <c r="I31" s="22">
        <f>VLOOKUP($N31,'FILL Table'!$A$4:$L$16,I$3,FALSE)</f>
        <v>50000</v>
      </c>
      <c r="J31" s="22">
        <f>VLOOKUP($N31,'FILL Table'!$A$4:$L$16,J$3,FALSE)</f>
        <v>140000</v>
      </c>
      <c r="K31" s="22">
        <f>VLOOKUP($N31,'FILL Table'!$A$4:$L$16,K$3,FALSE)</f>
        <v>140000</v>
      </c>
      <c r="L31" s="15"/>
      <c r="M31" s="30"/>
      <c r="N31" s="15" t="str">
        <f>LEFT(D31,8)&amp;F31</f>
        <v>TRARAILPAFA</v>
      </c>
    </row>
    <row r="32" spans="2:14" ht="13.8" x14ac:dyDescent="0.25">
      <c r="B32" s="13"/>
      <c r="C32" s="9" t="str">
        <f t="shared" si="2"/>
        <v>AFA</v>
      </c>
      <c r="D32" s="13" t="s">
        <v>43</v>
      </c>
      <c r="E32" s="13"/>
      <c r="F32" s="13" t="s">
        <v>15</v>
      </c>
      <c r="G32" s="31">
        <f t="shared" si="13"/>
        <v>2018</v>
      </c>
      <c r="H32" s="32">
        <f>VLOOKUP($N32,'FILL Table'!$A$4:$I$16,H$3,FALSE)</f>
        <v>200000</v>
      </c>
      <c r="I32" s="32">
        <f>VLOOKUP($N32,'FILL Table'!$A$4:$L$16,I$3,FALSE)</f>
        <v>100000</v>
      </c>
      <c r="J32" s="32">
        <f>VLOOKUP($N32,'FILL Table'!$A$4:$L$16,J$3,FALSE)</f>
        <v>200000</v>
      </c>
      <c r="K32" s="32">
        <f>VLOOKUP($N32,'FILL Table'!$A$4:$L$16,K$3,FALSE)</f>
        <v>200000</v>
      </c>
      <c r="L32" s="12"/>
      <c r="M32" s="33"/>
      <c r="N32" s="12" t="str">
        <f>LEFT(D32,8)&amp;F32</f>
        <v>TRARAILFAFA</v>
      </c>
    </row>
    <row r="33" spans="1:22" ht="13.8" x14ac:dyDescent="0.25">
      <c r="B33" s="9"/>
      <c r="C33" s="9" t="str">
        <f t="shared" si="2"/>
        <v>PRC_ACTFLO</v>
      </c>
      <c r="D33" s="9" t="s">
        <v>42</v>
      </c>
      <c r="E33" s="9" t="s">
        <v>88</v>
      </c>
      <c r="F33" s="9" t="str">
        <f>F14</f>
        <v>PRC_ACTFLO</v>
      </c>
      <c r="G33" s="21">
        <f t="shared" si="13"/>
        <v>2018</v>
      </c>
      <c r="H33" s="22">
        <f>VLOOKUP($N33,'FILL Table'!$A$4:$I$16,H$3,FALSE)</f>
        <v>200</v>
      </c>
      <c r="I33" s="22">
        <f>VLOOKUP($N33,'FILL Table'!$A$4:$L$16,I$3,FALSE)</f>
        <v>75</v>
      </c>
      <c r="J33" s="22">
        <f>VLOOKUP($N33,'FILL Table'!$A$4:$L$16,J$3,FALSE)</f>
        <v>200</v>
      </c>
      <c r="K33" s="22">
        <f>VLOOKUP($N33,'FILL Table'!$A$4:$L$16,K$3,FALSE)</f>
        <v>200</v>
      </c>
      <c r="L33" s="15"/>
      <c r="M33" s="30"/>
      <c r="N33" s="15" t="str">
        <f>LEFT(D33,8)&amp;F33</f>
        <v>TRARAILPPRC_ACTFLO</v>
      </c>
    </row>
    <row r="34" spans="1:22" ht="13.8" x14ac:dyDescent="0.25">
      <c r="B34" s="13"/>
      <c r="C34" s="9" t="str">
        <f t="shared" si="2"/>
        <v>PRC_ACTFLO</v>
      </c>
      <c r="D34" s="13" t="s">
        <v>43</v>
      </c>
      <c r="E34" s="13" t="s">
        <v>88</v>
      </c>
      <c r="F34" s="13" t="str">
        <f>F33</f>
        <v>PRC_ACTFLO</v>
      </c>
      <c r="G34" s="31">
        <f t="shared" si="13"/>
        <v>2018</v>
      </c>
      <c r="H34" s="32">
        <f>VLOOKUP($N34,'FILL Table'!$A$4:$I$16,H$3,FALSE)</f>
        <v>150</v>
      </c>
      <c r="I34" s="32">
        <f>VLOOKUP($N34,'FILL Table'!$A$4:$L$16,I$3,FALSE)</f>
        <v>93.75</v>
      </c>
      <c r="J34" s="32">
        <f>VLOOKUP($N34,'FILL Table'!$A$4:$L$16,J$3,FALSE)</f>
        <v>150</v>
      </c>
      <c r="K34" s="32">
        <f>VLOOKUP($N34,'FILL Table'!$A$4:$L$16,K$3,FALSE)</f>
        <v>150</v>
      </c>
      <c r="L34" s="12"/>
      <c r="M34" s="33"/>
      <c r="N34" s="12" t="str">
        <f>LEFT(D34,8)&amp;F34</f>
        <v>TRARAILFPRC_ACTFLO</v>
      </c>
    </row>
    <row r="35" spans="1:22" ht="13.8" x14ac:dyDescent="0.25">
      <c r="B35" s="9"/>
      <c r="C35" s="9" t="str">
        <f t="shared" si="2"/>
        <v>AFA</v>
      </c>
      <c r="D35" s="9" t="s">
        <v>54</v>
      </c>
      <c r="E35" s="9"/>
      <c r="F35" s="9" t="s">
        <v>15</v>
      </c>
      <c r="G35" s="21">
        <f t="shared" si="13"/>
        <v>2018</v>
      </c>
      <c r="H35" s="34">
        <f>VLOOKUP($N35,'FILL Table'!$A$4:$I$32,H$3,FALSE)*V35</f>
        <v>15600</v>
      </c>
      <c r="I35" s="34">
        <f>VLOOKUP($N35,'FILL Table'!$A$4:$L$32,I$3,FALSE)</f>
        <v>19500</v>
      </c>
      <c r="J35" s="34">
        <f>VLOOKUP($N35,'FILL Table'!$A$4:$L$32,J$3,FALSE)</f>
        <v>19500</v>
      </c>
      <c r="K35" s="34">
        <f>VLOOKUP($N35,'FILL Table'!$A$4:$L$32,K$3,FALSE)</f>
        <v>9500</v>
      </c>
      <c r="L35" s="15"/>
      <c r="M35" s="23"/>
      <c r="N35" s="3" t="str">
        <f>LEFT(D35,7)&amp;F35</f>
        <v>TRARPPCAFA</v>
      </c>
      <c r="Q35" s="35" t="s">
        <v>57</v>
      </c>
      <c r="V35" s="3">
        <v>0.8</v>
      </c>
    </row>
    <row r="36" spans="1:22" ht="13.8" x14ac:dyDescent="0.25">
      <c r="B36" s="9"/>
      <c r="C36" s="9" t="str">
        <f t="shared" si="2"/>
        <v>AFA</v>
      </c>
      <c r="D36" s="9" t="s">
        <v>51</v>
      </c>
      <c r="E36" s="9"/>
      <c r="F36" s="9" t="s">
        <v>15</v>
      </c>
      <c r="G36" s="21">
        <f t="shared" si="13"/>
        <v>2018</v>
      </c>
      <c r="H36" s="34">
        <f>VLOOKUP($N36,'FILL Table'!$A$4:$I$32,H$3,FALSE)</f>
        <v>8000</v>
      </c>
      <c r="I36" s="34">
        <f>VLOOKUP($N36,'FILL Table'!$A$4:$L$32,I$3,FALSE)</f>
        <v>8000</v>
      </c>
      <c r="J36" s="34">
        <f>VLOOKUP($N36,'FILL Table'!$A$4:$L$32,J$3,FALSE)</f>
        <v>8000</v>
      </c>
      <c r="K36" s="34">
        <f>VLOOKUP($N36,'FILL Table'!$A$4:$L$32,K$3,FALSE)</f>
        <v>4000</v>
      </c>
      <c r="L36" s="15"/>
      <c r="M36" s="23"/>
      <c r="N36" s="3" t="str">
        <f t="shared" ref="N36:N38" si="14">LEFT(D36,7)&amp;F36</f>
        <v>TRARPMOAFA</v>
      </c>
    </row>
    <row r="37" spans="1:22" ht="13.8" x14ac:dyDescent="0.25">
      <c r="B37" s="9"/>
      <c r="C37" s="9" t="str">
        <f t="shared" si="2"/>
        <v>AFA</v>
      </c>
      <c r="D37" s="9" t="s">
        <v>52</v>
      </c>
      <c r="E37" s="9"/>
      <c r="F37" s="9" t="s">
        <v>15</v>
      </c>
      <c r="G37" s="21">
        <f t="shared" si="13"/>
        <v>2018</v>
      </c>
      <c r="H37" s="34">
        <f>VLOOKUP($N37,'FILL Table'!$A$4:$I$32,H$3,FALSE)</f>
        <v>21250</v>
      </c>
      <c r="I37" s="34">
        <f>VLOOKUP($N37,'FILL Table'!$A$4:$L$32,I$3,FALSE)</f>
        <v>21250</v>
      </c>
      <c r="J37" s="34">
        <f>VLOOKUP($N37,'FILL Table'!$A$4:$L$32,J$3,FALSE)</f>
        <v>21250</v>
      </c>
      <c r="K37" s="34">
        <f>VLOOKUP($N37,'FILL Table'!$A$4:$L$32,K$3,FALSE)</f>
        <v>20000</v>
      </c>
      <c r="L37" s="15"/>
      <c r="M37" s="23"/>
      <c r="N37" s="3" t="str">
        <f t="shared" si="14"/>
        <v>TRARPBUAFA</v>
      </c>
    </row>
    <row r="38" spans="1:22" ht="13.8" x14ac:dyDescent="0.25">
      <c r="B38" s="9"/>
      <c r="C38" s="9" t="str">
        <f t="shared" si="2"/>
        <v>AFA</v>
      </c>
      <c r="D38" s="9" t="s">
        <v>79</v>
      </c>
      <c r="E38" s="9"/>
      <c r="F38" s="9" t="s">
        <v>15</v>
      </c>
      <c r="G38" s="21">
        <f t="shared" si="13"/>
        <v>2018</v>
      </c>
      <c r="H38" s="34">
        <f>VLOOKUP($N38,'FILL Table'!$A$4:$I$32,H$3,FALSE)</f>
        <v>10000</v>
      </c>
      <c r="I38" s="34">
        <f>VLOOKUP($N38,'FILL Table'!$A$4:$L$32,I$3,FALSE)</f>
        <v>10000</v>
      </c>
      <c r="J38" s="34">
        <f>VLOOKUP($N38,'FILL Table'!$A$4:$L$32,J$3,FALSE)</f>
        <v>10000</v>
      </c>
      <c r="K38" s="34">
        <f>VLOOKUP($N38,'FILL Table'!$A$4:$L$32,K$3,FALSE)</f>
        <v>10000</v>
      </c>
      <c r="L38" s="15"/>
      <c r="M38" s="23"/>
      <c r="N38" s="3" t="str">
        <f t="shared" si="14"/>
        <v>TRARPTRAFA</v>
      </c>
    </row>
    <row r="39" spans="1:22" ht="13.8" x14ac:dyDescent="0.25">
      <c r="B39" s="9"/>
      <c r="C39" s="9" t="str">
        <f t="shared" si="2"/>
        <v>AFA</v>
      </c>
      <c r="D39" s="36" t="s">
        <v>74</v>
      </c>
      <c r="E39" s="36"/>
      <c r="F39" s="36" t="s">
        <v>15</v>
      </c>
      <c r="G39" s="37">
        <f t="shared" si="13"/>
        <v>2018</v>
      </c>
      <c r="H39" s="38">
        <f>VLOOKUP($N39,'FILL Table'!$A$4:$I$32,H$3,FALSE)</f>
        <v>80000</v>
      </c>
      <c r="I39" s="38">
        <f>VLOOKUP($N39,'FILL Table'!$A$4:$L$32,I$3,FALSE)</f>
        <v>80000</v>
      </c>
      <c r="J39" s="38">
        <f>VLOOKUP($N39,'FILL Table'!$A$4:$L$32,J$3,FALSE)</f>
        <v>80000</v>
      </c>
      <c r="K39" s="38">
        <f>VLOOKUP($N39,'FILL Table'!$A$4:$L$32,K$3,FALSE)</f>
        <v>20000</v>
      </c>
      <c r="L39" s="39"/>
      <c r="M39" s="40"/>
      <c r="N39" s="39" t="str">
        <f>LEFT(D39,11)&amp;F39</f>
        <v>TRARHDV*DSLAFA</v>
      </c>
    </row>
    <row r="40" spans="1:22" ht="13.8" x14ac:dyDescent="0.25">
      <c r="B40" s="9"/>
      <c r="C40" s="9" t="str">
        <f t="shared" si="2"/>
        <v>AFA</v>
      </c>
      <c r="D40" s="11" t="s">
        <v>83</v>
      </c>
      <c r="E40" s="11"/>
      <c r="F40" s="11" t="s">
        <v>15</v>
      </c>
      <c r="G40" s="41">
        <f t="shared" si="13"/>
        <v>2018</v>
      </c>
      <c r="H40" s="42">
        <f>VLOOKUP($N40,'FILL Table'!$A$4:$I$32,H$3,FALSE)</f>
        <v>36000</v>
      </c>
      <c r="I40" s="42">
        <f>VLOOKUP($N40,'FILL Table'!$A$4:$L$32,I$3,FALSE)</f>
        <v>36000</v>
      </c>
      <c r="J40" s="42">
        <f>VLOOKUP($N40,'FILL Table'!$A$4:$L$32,J$3,FALSE)</f>
        <v>36000</v>
      </c>
      <c r="K40" s="42">
        <f>VLOOKUP($N40,'FILL Table'!$A$4:$L$32,K$3,FALSE)</f>
        <v>36000</v>
      </c>
      <c r="L40" s="15"/>
      <c r="M40" s="30"/>
      <c r="N40" s="15" t="str">
        <f>N41</f>
        <v>TRARHDV*GASAFA</v>
      </c>
    </row>
    <row r="41" spans="1:22" ht="13.8" x14ac:dyDescent="0.25">
      <c r="B41" s="9"/>
      <c r="C41" s="9" t="str">
        <f t="shared" si="2"/>
        <v>AFA</v>
      </c>
      <c r="D41" s="13" t="s">
        <v>80</v>
      </c>
      <c r="E41" s="13"/>
      <c r="F41" s="13" t="s">
        <v>15</v>
      </c>
      <c r="G41" s="31">
        <f t="shared" si="13"/>
        <v>2018</v>
      </c>
      <c r="H41" s="43">
        <f>VLOOKUP($N41,'FILL Table'!$A$4:$I$32,H$3,FALSE)</f>
        <v>36000</v>
      </c>
      <c r="I41" s="43">
        <f>VLOOKUP($N41,'FILL Table'!$A$4:$L$32,I$3,FALSE)</f>
        <v>36000</v>
      </c>
      <c r="J41" s="43">
        <f>VLOOKUP($N41,'FILL Table'!$A$4:$L$32,J$3,FALSE)</f>
        <v>36000</v>
      </c>
      <c r="K41" s="43">
        <f>VLOOKUP($N41,'FILL Table'!$A$4:$L$32,K$3,FALSE)</f>
        <v>36000</v>
      </c>
      <c r="L41" s="12"/>
      <c r="M41" s="33"/>
      <c r="N41" s="12" t="str">
        <f>LEFT(D41,11)&amp;F41</f>
        <v>TRARHDV*GASAFA</v>
      </c>
    </row>
    <row r="42" spans="1:22" ht="13.8" x14ac:dyDescent="0.25">
      <c r="B42" s="11"/>
      <c r="C42" s="9" t="str">
        <f t="shared" si="2"/>
        <v>AFA</v>
      </c>
      <c r="D42" s="11" t="s">
        <v>76</v>
      </c>
      <c r="E42" s="11"/>
      <c r="F42" s="11" t="s">
        <v>15</v>
      </c>
      <c r="G42" s="41">
        <f t="shared" si="13"/>
        <v>2018</v>
      </c>
      <c r="H42" s="42">
        <f>VLOOKUP($N42,'FILL Table'!$A$4:$I$32,H$3,FALSE)</f>
        <v>40000</v>
      </c>
      <c r="I42" s="42">
        <f>VLOOKUP($N42,'FILL Table'!$A$4:$L$32,I$3,FALSE)</f>
        <v>40000</v>
      </c>
      <c r="J42" s="42">
        <f>VLOOKUP($N42,'FILL Table'!$A$4:$L$32,J$3,FALSE)</f>
        <v>40000</v>
      </c>
      <c r="K42" s="42">
        <f>VLOOKUP($N42,'FILL Table'!$A$4:$L$32,K$3,FALSE)</f>
        <v>10000</v>
      </c>
      <c r="L42" s="15"/>
      <c r="M42" s="30"/>
      <c r="N42" s="15" t="str">
        <f>LEFT(D42,11)&amp;F42</f>
        <v>TRARLDV*DSLAFA</v>
      </c>
      <c r="O42" s="15"/>
      <c r="P42" s="15"/>
    </row>
    <row r="43" spans="1:22" ht="13.8" x14ac:dyDescent="0.25">
      <c r="A43" s="15"/>
      <c r="B43" s="11"/>
      <c r="C43" s="9" t="str">
        <f t="shared" si="2"/>
        <v>AFA</v>
      </c>
      <c r="D43" s="11" t="s">
        <v>75</v>
      </c>
      <c r="E43" s="11"/>
      <c r="F43" s="11" t="s">
        <v>15</v>
      </c>
      <c r="G43" s="41">
        <f t="shared" si="13"/>
        <v>2018</v>
      </c>
      <c r="H43" s="42">
        <f>VLOOKUP($N43,'FILL Table'!$A$4:$I$32,H$3,FALSE)</f>
        <v>13000</v>
      </c>
      <c r="I43" s="42">
        <f>VLOOKUP($N43,'FILL Table'!$A$4:$L$32,I$3,FALSE)</f>
        <v>13000</v>
      </c>
      <c r="J43" s="42">
        <f>VLOOKUP($N43,'FILL Table'!$A$4:$L$32,J$3,FALSE)</f>
        <v>13000</v>
      </c>
      <c r="K43" s="42">
        <f>VLOOKUP($N43,'FILL Table'!$A$4:$L$32,K$3,FALSE)</f>
        <v>13000</v>
      </c>
      <c r="L43" s="15"/>
      <c r="M43" s="30"/>
      <c r="N43" s="15" t="str">
        <f>LEFT(D43,11)&amp;F43</f>
        <v>TRARLDV*GSLAFA</v>
      </c>
    </row>
    <row r="44" spans="1:22" ht="13.8" x14ac:dyDescent="0.25">
      <c r="A44" s="15"/>
      <c r="B44" s="11"/>
      <c r="C44" s="9" t="str">
        <f t="shared" si="2"/>
        <v>AFA</v>
      </c>
      <c r="D44" s="11" t="s">
        <v>81</v>
      </c>
      <c r="E44" s="11"/>
      <c r="F44" s="11" t="s">
        <v>15</v>
      </c>
      <c r="G44" s="41">
        <f t="shared" si="13"/>
        <v>2018</v>
      </c>
      <c r="H44" s="42">
        <f>VLOOKUP($N44,'FILL Table'!$A$4:$I$32,H$3,FALSE)</f>
        <v>18000</v>
      </c>
      <c r="I44" s="42">
        <f>VLOOKUP($N44,'FILL Table'!$A$4:$L$32,I$3,FALSE)</f>
        <v>18000</v>
      </c>
      <c r="J44" s="42">
        <f>VLOOKUP($N44,'FILL Table'!$A$4:$L$32,J$3,FALSE)</f>
        <v>18000</v>
      </c>
      <c r="K44" s="42">
        <f>VLOOKUP($N44,'FILL Table'!$A$4:$L$32,K$3,FALSE)</f>
        <v>18000</v>
      </c>
      <c r="L44" s="15"/>
      <c r="M44" s="30"/>
      <c r="N44" s="15" t="str">
        <f>LEFT(D44,11)&amp;F44</f>
        <v>TRARLDV*GASAFA</v>
      </c>
    </row>
    <row r="45" spans="1:22" ht="13.8" x14ac:dyDescent="0.25">
      <c r="A45" s="15"/>
      <c r="B45" s="11"/>
      <c r="C45" s="9" t="str">
        <f t="shared" si="2"/>
        <v>AFA</v>
      </c>
      <c r="D45" s="13" t="s">
        <v>84</v>
      </c>
      <c r="E45" s="13"/>
      <c r="F45" s="13" t="s">
        <v>15</v>
      </c>
      <c r="G45" s="31">
        <f t="shared" si="13"/>
        <v>2018</v>
      </c>
      <c r="H45" s="43">
        <f>VLOOKUP($N45,'FILL Table'!$A$4:$I$32,H$3,FALSE)</f>
        <v>13000</v>
      </c>
      <c r="I45" s="43">
        <f>VLOOKUP($N45,'FILL Table'!$A$4:$L$32,I$3,FALSE)</f>
        <v>13000</v>
      </c>
      <c r="J45" s="43">
        <f>VLOOKUP($N45,'FILL Table'!$A$4:$L$32,J$3,FALSE)</f>
        <v>13000</v>
      </c>
      <c r="K45" s="43">
        <f>VLOOKUP($N45,'FILL Table'!$A$4:$L$32,K$3,FALSE)</f>
        <v>13000</v>
      </c>
      <c r="L45" s="12"/>
      <c r="M45" s="33"/>
      <c r="N45" s="12" t="s">
        <v>82</v>
      </c>
    </row>
    <row r="46" spans="1:22" ht="13.8" x14ac:dyDescent="0.25">
      <c r="B46" s="9"/>
      <c r="C46" s="9" t="str">
        <f t="shared" si="2"/>
        <v>PRC_ACTFLO</v>
      </c>
      <c r="D46" s="9" t="s">
        <v>54</v>
      </c>
      <c r="E46" s="9" t="s">
        <v>88</v>
      </c>
      <c r="F46" s="9" t="str">
        <f>F33</f>
        <v>PRC_ACTFLO</v>
      </c>
      <c r="G46" s="21">
        <f t="shared" si="13"/>
        <v>2018</v>
      </c>
      <c r="H46" s="22">
        <f>VLOOKUP($N46,'FILL Table'!$A$4:$I$32,H$3,FALSE)</f>
        <v>2.2000000000000002</v>
      </c>
      <c r="I46" s="22">
        <f>VLOOKUP($N46,'FILL Table'!$A$4:$L$32,I$3,FALSE)</f>
        <v>2.2000000000000002</v>
      </c>
      <c r="J46" s="22">
        <f>VLOOKUP($N46,'FILL Table'!$A$4:$L$32,J$3,FALSE)</f>
        <v>2.2000000000000002</v>
      </c>
      <c r="K46" s="22">
        <f>VLOOKUP($N46,'FILL Table'!$A$4:$L$32,K$3,FALSE)</f>
        <v>2.2000000000000002</v>
      </c>
      <c r="L46" s="15"/>
      <c r="M46" s="23"/>
      <c r="N46" s="3" t="str">
        <f>LEFT(D46,7)&amp;F46</f>
        <v>TRARPPCPRC_ACTFLO</v>
      </c>
    </row>
    <row r="47" spans="1:22" ht="13.8" x14ac:dyDescent="0.25">
      <c r="B47" s="9"/>
      <c r="C47" s="9" t="str">
        <f t="shared" si="2"/>
        <v>PRC_ACTFLO</v>
      </c>
      <c r="D47" s="9" t="s">
        <v>51</v>
      </c>
      <c r="E47" s="9" t="str">
        <f t="shared" ref="E47:F51" si="15">E46</f>
        <v>DEMO</v>
      </c>
      <c r="F47" s="9" t="str">
        <f t="shared" si="15"/>
        <v>PRC_ACTFLO</v>
      </c>
      <c r="G47" s="21">
        <f t="shared" si="13"/>
        <v>2018</v>
      </c>
      <c r="H47" s="22">
        <f>VLOOKUP($N47,'FILL Table'!$A$4:$I$32,H$3,FALSE)</f>
        <v>1</v>
      </c>
      <c r="I47" s="22">
        <f>VLOOKUP($N47,'FILL Table'!$A$4:$L$32,I$3,FALSE)</f>
        <v>1</v>
      </c>
      <c r="J47" s="22">
        <f>VLOOKUP($N47,'FILL Table'!$A$4:$L$32,J$3,FALSE)</f>
        <v>1</v>
      </c>
      <c r="K47" s="22">
        <f>VLOOKUP($N47,'FILL Table'!$A$4:$L$32,K$3,FALSE)</f>
        <v>1</v>
      </c>
      <c r="L47" s="15"/>
      <c r="M47" s="23"/>
      <c r="N47" s="3" t="str">
        <f t="shared" ref="N47:N51" si="16">LEFT(D47,7)&amp;F47</f>
        <v>TRARPMOPRC_ACTFLO</v>
      </c>
    </row>
    <row r="48" spans="1:22" ht="13.8" x14ac:dyDescent="0.25">
      <c r="B48" s="9"/>
      <c r="C48" s="9" t="str">
        <f t="shared" si="2"/>
        <v>PRC_ACTFLO</v>
      </c>
      <c r="D48" s="9" t="s">
        <v>52</v>
      </c>
      <c r="E48" s="9" t="str">
        <f t="shared" si="15"/>
        <v>DEMO</v>
      </c>
      <c r="F48" s="9" t="str">
        <f t="shared" si="15"/>
        <v>PRC_ACTFLO</v>
      </c>
      <c r="G48" s="41">
        <f t="shared" si="13"/>
        <v>2018</v>
      </c>
      <c r="H48" s="44">
        <f>VLOOKUP($N48,'FILL Table'!$A$4:$I$32,H$3,FALSE)</f>
        <v>15</v>
      </c>
      <c r="I48" s="22">
        <f>VLOOKUP($N48,'FILL Table'!$A$4:$L$32,I$3,FALSE)</f>
        <v>15</v>
      </c>
      <c r="J48" s="22">
        <f>VLOOKUP($N48,'FILL Table'!$A$4:$L$32,J$3,FALSE)</f>
        <v>15</v>
      </c>
      <c r="K48" s="22">
        <f>VLOOKUP($N48,'FILL Table'!$A$4:$L$32,K$3,FALSE)</f>
        <v>15</v>
      </c>
      <c r="L48" s="15"/>
      <c r="M48" s="30"/>
      <c r="N48" s="15" t="str">
        <f t="shared" si="16"/>
        <v>TRARPBUPRC_ACTFLO</v>
      </c>
    </row>
    <row r="49" spans="1:16" ht="13.8" x14ac:dyDescent="0.25">
      <c r="B49" s="9"/>
      <c r="C49" s="9" t="str">
        <f t="shared" si="2"/>
        <v>PRC_ACTFLO</v>
      </c>
      <c r="D49" s="9" t="s">
        <v>60</v>
      </c>
      <c r="E49" s="9" t="str">
        <f t="shared" si="15"/>
        <v>DEMO</v>
      </c>
      <c r="F49" s="9" t="str">
        <f t="shared" si="15"/>
        <v>PRC_ACTFLO</v>
      </c>
      <c r="G49" s="41">
        <f t="shared" si="13"/>
        <v>2018</v>
      </c>
      <c r="H49" s="44">
        <f>VLOOKUP($N49,'FILL Table'!$A$4:$I$32,H$3,FALSE)</f>
        <v>15</v>
      </c>
      <c r="I49" s="22">
        <f>VLOOKUP($N49,'FILL Table'!$A$4:$L$32,I$3,FALSE)</f>
        <v>15</v>
      </c>
      <c r="J49" s="22">
        <f>VLOOKUP($N49,'FILL Table'!$A$4:$L$32,J$3,FALSE)</f>
        <v>15</v>
      </c>
      <c r="K49" s="22">
        <f>VLOOKUP($N49,'FILL Table'!$A$4:$L$32,K$3,FALSE)</f>
        <v>15</v>
      </c>
      <c r="L49" s="15"/>
      <c r="M49" s="30"/>
      <c r="N49" s="15" t="str">
        <f t="shared" si="16"/>
        <v>TRARPTRPRC_ACTFLO</v>
      </c>
    </row>
    <row r="50" spans="1:16" ht="13.8" x14ac:dyDescent="0.25">
      <c r="B50" s="9"/>
      <c r="C50" s="9" t="str">
        <f t="shared" si="2"/>
        <v>PRC_ACTFLO</v>
      </c>
      <c r="D50" s="9" t="s">
        <v>55</v>
      </c>
      <c r="E50" s="9" t="str">
        <f t="shared" si="15"/>
        <v>DEMO</v>
      </c>
      <c r="F50" s="9" t="str">
        <f t="shared" si="15"/>
        <v>PRC_ACTFLO</v>
      </c>
      <c r="G50" s="41">
        <f t="shared" si="13"/>
        <v>2018</v>
      </c>
      <c r="H50" s="44">
        <f>VLOOKUP($N50,'FILL Table'!$A$4:$I$32,H$3,FALSE)</f>
        <v>18</v>
      </c>
      <c r="I50" s="22">
        <f>VLOOKUP($N50,'FILL Table'!$A$4:$L$32,I$3,FALSE)</f>
        <v>18</v>
      </c>
      <c r="J50" s="22">
        <f>VLOOKUP($N50,'FILL Table'!$A$4:$L$32,J$3,FALSE)</f>
        <v>18</v>
      </c>
      <c r="K50" s="22">
        <f>VLOOKUP($N50,'FILL Table'!$A$4:$L$32,K$3,FALSE)</f>
        <v>18</v>
      </c>
      <c r="L50" s="15"/>
      <c r="M50" s="30"/>
      <c r="N50" s="15" t="str">
        <f t="shared" si="16"/>
        <v>TRARHDVPRC_ACTFLO</v>
      </c>
    </row>
    <row r="51" spans="1:16" ht="13.8" x14ac:dyDescent="0.25">
      <c r="A51" s="12"/>
      <c r="B51" s="13"/>
      <c r="C51" s="9" t="str">
        <f t="shared" si="2"/>
        <v>PRC_ACTFLO</v>
      </c>
      <c r="D51" s="13" t="s">
        <v>56</v>
      </c>
      <c r="E51" s="13" t="str">
        <f t="shared" si="15"/>
        <v>DEMO</v>
      </c>
      <c r="F51" s="13" t="str">
        <f t="shared" si="15"/>
        <v>PRC_ACTFLO</v>
      </c>
      <c r="G51" s="31">
        <f t="shared" si="13"/>
        <v>2018</v>
      </c>
      <c r="H51" s="32">
        <f>VLOOKUP($N51,'FILL Table'!$A$4:$I$32,H$3,FALSE)</f>
        <v>3</v>
      </c>
      <c r="I51" s="32">
        <f>VLOOKUP($N51,'FILL Table'!$A$4:$L$32,I$3,FALSE)</f>
        <v>3</v>
      </c>
      <c r="J51" s="32">
        <f>VLOOKUP($N51,'FILL Table'!$A$4:$L$32,J$3,FALSE)</f>
        <v>3</v>
      </c>
      <c r="K51" s="32">
        <f>VLOOKUP($N51,'FILL Table'!$A$4:$L$32,K$3,FALSE)</f>
        <v>3</v>
      </c>
      <c r="L51" s="12"/>
      <c r="M51" s="33"/>
      <c r="N51" s="12" t="str">
        <f t="shared" si="16"/>
        <v>TRARLDVPRC_ACTFLO</v>
      </c>
    </row>
    <row r="52" spans="1:16" ht="13.8" x14ac:dyDescent="0.25">
      <c r="A52" s="15"/>
      <c r="B52" s="11"/>
      <c r="C52" s="11"/>
      <c r="D52" s="11"/>
      <c r="E52" s="11"/>
      <c r="F52" s="11"/>
      <c r="G52" s="41"/>
      <c r="H52" s="44"/>
      <c r="I52" s="44"/>
      <c r="J52" s="44"/>
      <c r="K52" s="44"/>
      <c r="L52" s="15"/>
      <c r="M52" s="30"/>
      <c r="N52" s="15"/>
    </row>
    <row r="53" spans="1:16" x14ac:dyDescent="0.25">
      <c r="C53" s="3" t="s">
        <v>85</v>
      </c>
      <c r="D53" s="3" t="str">
        <f>D35</f>
        <v>TRARPPC*N*, TRARPPC*S*</v>
      </c>
      <c r="F53" s="3" t="str">
        <f>F35</f>
        <v>AFA</v>
      </c>
      <c r="H53" s="3">
        <f>H35*0.7</f>
        <v>10920</v>
      </c>
      <c r="I53" s="3">
        <f t="shared" ref="I53:K53" si="17">I35*0.7</f>
        <v>13650</v>
      </c>
      <c r="J53" s="3">
        <f t="shared" si="17"/>
        <v>13650</v>
      </c>
      <c r="K53" s="3">
        <f t="shared" si="17"/>
        <v>6650</v>
      </c>
      <c r="P53" s="3" t="s">
        <v>86</v>
      </c>
    </row>
    <row r="54" spans="1:16" x14ac:dyDescent="0.25">
      <c r="C54" s="3" t="s">
        <v>85</v>
      </c>
      <c r="D54" s="3" t="str">
        <f t="shared" ref="D54:D63" si="18">D36</f>
        <v>TRARPMO*N*</v>
      </c>
      <c r="F54" s="3" t="str">
        <f t="shared" ref="F54:F63" si="19">F36</f>
        <v>AFA</v>
      </c>
      <c r="H54" s="3">
        <f t="shared" ref="H54:K63" si="20">H36*0.7</f>
        <v>5600</v>
      </c>
      <c r="I54" s="3">
        <f t="shared" si="20"/>
        <v>5600</v>
      </c>
      <c r="J54" s="3">
        <f t="shared" si="20"/>
        <v>5600</v>
      </c>
      <c r="K54" s="3">
        <f t="shared" si="20"/>
        <v>2800</v>
      </c>
      <c r="P54" s="3" t="s">
        <v>86</v>
      </c>
    </row>
    <row r="55" spans="1:16" x14ac:dyDescent="0.25">
      <c r="C55" s="3" t="s">
        <v>85</v>
      </c>
      <c r="D55" s="3" t="str">
        <f t="shared" si="18"/>
        <v>TRARPBU*N*</v>
      </c>
      <c r="F55" s="3" t="str">
        <f t="shared" si="19"/>
        <v>AFA</v>
      </c>
      <c r="H55" s="3">
        <f t="shared" si="20"/>
        <v>14874.999999999998</v>
      </c>
      <c r="I55" s="3">
        <f t="shared" si="20"/>
        <v>14874.999999999998</v>
      </c>
      <c r="J55" s="3">
        <f t="shared" si="20"/>
        <v>14874.999999999998</v>
      </c>
      <c r="K55" s="3">
        <f t="shared" si="20"/>
        <v>14000</v>
      </c>
      <c r="P55" s="3" t="s">
        <v>86</v>
      </c>
    </row>
    <row r="56" spans="1:16" x14ac:dyDescent="0.25">
      <c r="C56" s="3" t="s">
        <v>85</v>
      </c>
      <c r="D56" s="3" t="str">
        <f t="shared" si="18"/>
        <v>TRARPTR_ELC_N*,TRARPTR_ELC_S*</v>
      </c>
      <c r="F56" s="3" t="str">
        <f t="shared" si="19"/>
        <v>AFA</v>
      </c>
      <c r="H56" s="3">
        <f t="shared" si="20"/>
        <v>7000</v>
      </c>
      <c r="I56" s="3">
        <f t="shared" si="20"/>
        <v>7000</v>
      </c>
      <c r="J56" s="3">
        <f t="shared" si="20"/>
        <v>7000</v>
      </c>
      <c r="K56" s="3">
        <f t="shared" si="20"/>
        <v>7000</v>
      </c>
      <c r="P56" s="3" t="s">
        <v>86</v>
      </c>
    </row>
    <row r="57" spans="1:16" x14ac:dyDescent="0.25">
      <c r="C57" s="3" t="s">
        <v>85</v>
      </c>
      <c r="D57" s="3" t="str">
        <f t="shared" si="18"/>
        <v>TRARHDV*DSL*N*,TRARHDV*DSL*S*</v>
      </c>
      <c r="F57" s="3" t="str">
        <f t="shared" si="19"/>
        <v>AFA</v>
      </c>
      <c r="H57" s="3">
        <f t="shared" si="20"/>
        <v>56000</v>
      </c>
      <c r="I57" s="3">
        <f t="shared" si="20"/>
        <v>56000</v>
      </c>
      <c r="J57" s="3">
        <f t="shared" si="20"/>
        <v>56000</v>
      </c>
      <c r="K57" s="3">
        <f t="shared" si="20"/>
        <v>14000</v>
      </c>
      <c r="P57" s="3" t="s">
        <v>86</v>
      </c>
    </row>
    <row r="58" spans="1:16" x14ac:dyDescent="0.25">
      <c r="C58" s="3" t="s">
        <v>85</v>
      </c>
      <c r="D58" s="3" t="str">
        <f t="shared" si="18"/>
        <v>TRARHDV*B1*N*,TRARHDV*H2*N*,TRARHDV*B1*S*,TRARHDV*H2*S*,TRARHDV*B2*N*,TRARHDV*B2*S*</v>
      </c>
      <c r="F58" s="3" t="str">
        <f t="shared" si="19"/>
        <v>AFA</v>
      </c>
      <c r="H58" s="3">
        <f t="shared" si="20"/>
        <v>25200</v>
      </c>
      <c r="I58" s="3">
        <f t="shared" si="20"/>
        <v>25200</v>
      </c>
      <c r="J58" s="3">
        <f t="shared" si="20"/>
        <v>25200</v>
      </c>
      <c r="K58" s="3">
        <f t="shared" si="20"/>
        <v>25200</v>
      </c>
      <c r="P58" s="3" t="s">
        <v>86</v>
      </c>
    </row>
    <row r="59" spans="1:16" x14ac:dyDescent="0.25">
      <c r="C59" s="3" t="s">
        <v>85</v>
      </c>
      <c r="D59" s="3" t="str">
        <f t="shared" si="18"/>
        <v>TRARHDV*GAS*N*,TRARHDV*GAS*S*</v>
      </c>
      <c r="F59" s="3" t="str">
        <f t="shared" si="19"/>
        <v>AFA</v>
      </c>
      <c r="H59" s="3">
        <f t="shared" si="20"/>
        <v>25200</v>
      </c>
      <c r="I59" s="3">
        <f t="shared" si="20"/>
        <v>25200</v>
      </c>
      <c r="J59" s="3">
        <f t="shared" si="20"/>
        <v>25200</v>
      </c>
      <c r="K59" s="3">
        <f t="shared" si="20"/>
        <v>25200</v>
      </c>
      <c r="P59" s="3" t="s">
        <v>86</v>
      </c>
    </row>
    <row r="60" spans="1:16" x14ac:dyDescent="0.25">
      <c r="C60" s="3" t="s">
        <v>85</v>
      </c>
      <c r="D60" s="3" t="str">
        <f t="shared" si="18"/>
        <v>TRARLDV*DSL*N*, TRARLDV*DSL*S*</v>
      </c>
      <c r="F60" s="3" t="str">
        <f t="shared" si="19"/>
        <v>AFA</v>
      </c>
      <c r="H60" s="3">
        <f t="shared" si="20"/>
        <v>28000</v>
      </c>
      <c r="I60" s="3">
        <f t="shared" si="20"/>
        <v>28000</v>
      </c>
      <c r="J60" s="3">
        <f t="shared" si="20"/>
        <v>28000</v>
      </c>
      <c r="K60" s="3">
        <f t="shared" si="20"/>
        <v>7000</v>
      </c>
      <c r="P60" s="3" t="s">
        <v>86</v>
      </c>
    </row>
    <row r="61" spans="1:16" x14ac:dyDescent="0.25">
      <c r="C61" s="3" t="s">
        <v>85</v>
      </c>
      <c r="D61" s="3" t="str">
        <f t="shared" si="18"/>
        <v>TRARLDV*GSL*N*, TRARLDV*GSL*S*</v>
      </c>
      <c r="F61" s="3" t="str">
        <f t="shared" si="19"/>
        <v>AFA</v>
      </c>
      <c r="H61" s="3">
        <f t="shared" si="20"/>
        <v>9100</v>
      </c>
      <c r="I61" s="3">
        <f t="shared" si="20"/>
        <v>9100</v>
      </c>
      <c r="J61" s="3">
        <f t="shared" si="20"/>
        <v>9100</v>
      </c>
      <c r="K61" s="3">
        <f t="shared" si="20"/>
        <v>9100</v>
      </c>
      <c r="P61" s="3" t="s">
        <v>86</v>
      </c>
    </row>
    <row r="62" spans="1:16" x14ac:dyDescent="0.25">
      <c r="C62" s="3" t="s">
        <v>85</v>
      </c>
      <c r="D62" s="3" t="str">
        <f t="shared" si="18"/>
        <v>TRARLDV*GAS*N*, TRARLDV*GAS*S*</v>
      </c>
      <c r="F62" s="3" t="str">
        <f t="shared" si="19"/>
        <v>AFA</v>
      </c>
      <c r="H62" s="3">
        <f t="shared" si="20"/>
        <v>12600</v>
      </c>
      <c r="I62" s="3">
        <f t="shared" si="20"/>
        <v>12600</v>
      </c>
      <c r="J62" s="3">
        <f t="shared" si="20"/>
        <v>12600</v>
      </c>
      <c r="K62" s="3">
        <f t="shared" si="20"/>
        <v>12600</v>
      </c>
      <c r="P62" s="3" t="s">
        <v>86</v>
      </c>
    </row>
    <row r="63" spans="1:16" x14ac:dyDescent="0.25">
      <c r="A63" s="12"/>
      <c r="B63" s="12"/>
      <c r="C63" s="12" t="s">
        <v>85</v>
      </c>
      <c r="D63" s="12" t="str">
        <f t="shared" si="18"/>
        <v>TRARLDV*B1*N*,TRARLDV*H2*N*,TRARLDV*B1*S*,TRARLDV*H2*S*,TRARLDV*B2*N*,TRARLDV*B2*S*,TRARLDV*EL*N*,TRARLDV*EL*S*</v>
      </c>
      <c r="E63" s="12"/>
      <c r="F63" s="12" t="str">
        <f t="shared" si="19"/>
        <v>AFA</v>
      </c>
      <c r="G63" s="12"/>
      <c r="H63" s="12">
        <f t="shared" si="20"/>
        <v>9100</v>
      </c>
      <c r="I63" s="12">
        <f t="shared" si="20"/>
        <v>9100</v>
      </c>
      <c r="J63" s="12">
        <f t="shared" si="20"/>
        <v>9100</v>
      </c>
      <c r="K63" s="12">
        <f t="shared" si="20"/>
        <v>9100</v>
      </c>
      <c r="L63" s="12"/>
      <c r="M63" s="12"/>
      <c r="N63" s="12"/>
      <c r="P63" s="3" t="s">
        <v>86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1"/>
  <sheetViews>
    <sheetView workbookViewId="0">
      <selection activeCell="B2" sqref="B2"/>
    </sheetView>
  </sheetViews>
  <sheetFormatPr defaultRowHeight="13.2" x14ac:dyDescent="0.25"/>
  <cols>
    <col min="1" max="1" width="12.33203125" bestFit="1" customWidth="1"/>
  </cols>
  <sheetData>
    <row r="1" spans="1:2" x14ac:dyDescent="0.25">
      <c r="A1" s="1" t="s">
        <v>22</v>
      </c>
      <c r="B1" s="1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FILL Table</vt:lpstr>
      <vt:lpstr>Param_Transformation</vt:lpstr>
      <vt:lpstr>General</vt:lpstr>
      <vt:lpstr>BASE_YEAR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Rocco De Miglio</cp:lastModifiedBy>
  <cp:lastPrinted>2001-09-28T20:39:50Z</cp:lastPrinted>
  <dcterms:created xsi:type="dcterms:W3CDTF">2001-09-28T18:48:17Z</dcterms:created>
  <dcterms:modified xsi:type="dcterms:W3CDTF">2022-09-23T17:10:53Z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38021266460418</vt:r8>
  </property>
</Properties>
</file>