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55BCDE92-0735-49F2-AB89-8CB2E7054259}" xr6:coauthVersionLast="47" xr6:coauthVersionMax="47" xr10:uidLastSave="{00000000-0000-0000-0000-000000000000}"/>
  <bookViews>
    <workbookView xWindow="372" yWindow="0" windowWidth="22668" windowHeight="12240" firstSheet="3" activeTab="9" xr2:uid="{00000000-000D-0000-FFFF-FFFF00000000}"/>
  </bookViews>
  <sheets>
    <sheet name="Bounds-StockChange" sheetId="7" r:id="rId1"/>
    <sheet name="CAP_AutoProdution-CAP_PP" sheetId="29" r:id="rId2"/>
    <sheet name="Industry_CCS" sheetId="22" r:id="rId3"/>
    <sheet name="Elc_CCS" sheetId="24" r:id="rId4"/>
    <sheet name="EMIP" sheetId="28" r:id="rId5"/>
    <sheet name="SH_RSD" sheetId="25" r:id="rId6"/>
    <sheet name="Cost_HP_SOL" sheetId="30" r:id="rId7"/>
    <sheet name="Balancing Capacity UC" sheetId="26" r:id="rId8"/>
    <sheet name="Other" sheetId="27" r:id="rId9"/>
    <sheet name="IMPELC_Prices_CAC" sheetId="31" r:id="rId10"/>
    <sheet name="General" sheetId="12" state="hidden" r:id="rId11"/>
  </sheets>
  <externalReferences>
    <externalReference r:id="rId12"/>
  </externalReferences>
  <definedNames>
    <definedName name="BASE_YEAR" localSheetId="7">[1]General!$F$1</definedName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27" l="1"/>
  <c r="K95" i="27"/>
  <c r="K96" i="27" s="1"/>
  <c r="J95" i="27"/>
  <c r="J96" i="27" s="1"/>
  <c r="I95" i="27"/>
  <c r="I96" i="27" s="1"/>
  <c r="H95" i="27"/>
  <c r="H96" i="27" s="1"/>
  <c r="C96" i="27" l="1"/>
  <c r="E95" i="27" l="1"/>
  <c r="K103" i="27" l="1"/>
  <c r="J103" i="27"/>
  <c r="I103" i="27"/>
  <c r="H103" i="27"/>
  <c r="K87" i="27"/>
  <c r="H87" i="27"/>
  <c r="I87" i="27"/>
  <c r="C87" i="27"/>
  <c r="F33" i="27" l="1"/>
  <c r="F32" i="27"/>
  <c r="F31" i="27"/>
  <c r="I85" i="27" l="1"/>
  <c r="H48" i="22"/>
  <c r="I48" i="22" s="1"/>
  <c r="F45" i="27"/>
  <c r="F46" i="27" s="1"/>
  <c r="K79" i="27"/>
  <c r="J79" i="27"/>
  <c r="H79" i="27"/>
  <c r="K112" i="27" l="1"/>
  <c r="J112" i="27"/>
  <c r="I112" i="27"/>
  <c r="H112" i="27"/>
  <c r="K110" i="27"/>
  <c r="J110" i="27"/>
  <c r="I110" i="27"/>
  <c r="H110" i="27"/>
  <c r="C112" i="27"/>
  <c r="C110" i="27"/>
  <c r="F48" i="27"/>
  <c r="F49" i="27" s="1"/>
  <c r="H9" i="27"/>
  <c r="J9" i="27" s="1"/>
  <c r="H6" i="27"/>
  <c r="J6" i="27" s="1"/>
  <c r="E18" i="26"/>
  <c r="K39" i="27"/>
  <c r="J39" i="27"/>
  <c r="I39" i="27"/>
  <c r="H39" i="27"/>
  <c r="K38" i="27"/>
  <c r="J38" i="27"/>
  <c r="I38" i="27"/>
  <c r="H38" i="27"/>
  <c r="D22" i="22"/>
  <c r="G22" i="22" s="1"/>
  <c r="I72" i="31"/>
  <c r="J72" i="31" s="1"/>
  <c r="I66" i="31"/>
  <c r="V66" i="31" s="1"/>
  <c r="I60" i="31"/>
  <c r="J60" i="31" s="1"/>
  <c r="S55" i="3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O55" i="3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N55" i="3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F55" i="3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E55" i="3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L54" i="3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K54" i="31"/>
  <c r="K55" i="3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I54" i="31"/>
  <c r="J54" i="31" s="1"/>
  <c r="C53" i="31"/>
  <c r="C77" i="31" s="1"/>
  <c r="C52" i="31"/>
  <c r="C76" i="31" s="1"/>
  <c r="C51" i="31"/>
  <c r="C75" i="31" s="1"/>
  <c r="C50" i="31"/>
  <c r="C74" i="31" s="1"/>
  <c r="C49" i="31"/>
  <c r="C73" i="31" s="1"/>
  <c r="I48" i="31"/>
  <c r="V48" i="31" s="1"/>
  <c r="C48" i="31"/>
  <c r="C72" i="31"/>
  <c r="C47" i="31"/>
  <c r="C71" i="31" s="1"/>
  <c r="C46" i="31"/>
  <c r="C70" i="31" s="1"/>
  <c r="C45" i="31"/>
  <c r="C69" i="31" s="1"/>
  <c r="C44" i="31"/>
  <c r="C68" i="31" s="1"/>
  <c r="C43" i="31"/>
  <c r="C67" i="31" s="1"/>
  <c r="I42" i="31"/>
  <c r="I43" i="31" s="1"/>
  <c r="V43" i="31" s="1"/>
  <c r="C42" i="31"/>
  <c r="C66" i="31" s="1"/>
  <c r="C41" i="31"/>
  <c r="C65" i="31" s="1"/>
  <c r="C40" i="31"/>
  <c r="C64" i="31" s="1"/>
  <c r="C39" i="31"/>
  <c r="C63" i="31" s="1"/>
  <c r="C38" i="31"/>
  <c r="C62" i="31" s="1"/>
  <c r="C37" i="31"/>
  <c r="C61" i="31" s="1"/>
  <c r="I36" i="31"/>
  <c r="C36" i="31"/>
  <c r="C60" i="31" s="1"/>
  <c r="C35" i="31"/>
  <c r="C59" i="31" s="1"/>
  <c r="C34" i="31"/>
  <c r="C58" i="31" s="1"/>
  <c r="X33" i="31"/>
  <c r="C33" i="31"/>
  <c r="C57" i="31" s="1"/>
  <c r="C32" i="31"/>
  <c r="C56" i="31" s="1"/>
  <c r="S31" i="3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O31" i="3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N31" i="3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F31" i="3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E31" i="3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C31" i="31"/>
  <c r="C55" i="31" s="1"/>
  <c r="L30" i="3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K30" i="3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I30" i="31"/>
  <c r="I31" i="31" s="1"/>
  <c r="C30" i="31"/>
  <c r="C54" i="31" s="1"/>
  <c r="I24" i="31"/>
  <c r="V24" i="31" s="1"/>
  <c r="I18" i="31"/>
  <c r="I19" i="31" s="1"/>
  <c r="J19" i="31" s="1"/>
  <c r="I12" i="31"/>
  <c r="J12" i="31" s="1"/>
  <c r="S7" i="31"/>
  <c r="S8" i="31" s="1"/>
  <c r="S9" i="31" s="1"/>
  <c r="S10" i="31" s="1"/>
  <c r="S11" i="3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O7" i="3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N7" i="3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F7" i="3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E7" i="3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L6" i="3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K6" i="31"/>
  <c r="K7" i="31" s="1"/>
  <c r="K8" i="31" s="1"/>
  <c r="K9" i="31" s="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I6" i="31"/>
  <c r="J6" i="31" s="1"/>
  <c r="V60" i="31"/>
  <c r="I61" i="31"/>
  <c r="V61" i="31" s="1"/>
  <c r="V12" i="31"/>
  <c r="K83" i="27"/>
  <c r="I78" i="27"/>
  <c r="I79" i="27" s="1"/>
  <c r="U34" i="27"/>
  <c r="K34" i="27" s="1"/>
  <c r="K35" i="27" s="1"/>
  <c r="T34" i="27"/>
  <c r="J34" i="27" s="1"/>
  <c r="J35" i="27" s="1"/>
  <c r="S34" i="27"/>
  <c r="R34" i="27"/>
  <c r="H34" i="27" s="1"/>
  <c r="H35" i="27" s="1"/>
  <c r="P30" i="27"/>
  <c r="S30" i="27" s="1"/>
  <c r="I30" i="27" s="1"/>
  <c r="P29" i="27"/>
  <c r="S29" i="27" s="1"/>
  <c r="I29" i="27" s="1"/>
  <c r="P28" i="27"/>
  <c r="S28" i="27" s="1"/>
  <c r="I28" i="27" s="1"/>
  <c r="N22" i="27"/>
  <c r="N20" i="27"/>
  <c r="E17" i="26"/>
  <c r="D18" i="26"/>
  <c r="K14" i="27"/>
  <c r="K11" i="27"/>
  <c r="J14" i="27"/>
  <c r="J11" i="27"/>
  <c r="I14" i="27"/>
  <c r="I11" i="27"/>
  <c r="J21" i="7"/>
  <c r="K21" i="7" s="1"/>
  <c r="I61" i="27"/>
  <c r="J61" i="27" s="1"/>
  <c r="K61" i="27" s="1"/>
  <c r="I60" i="27"/>
  <c r="J60" i="27" s="1"/>
  <c r="K60" i="27" s="1"/>
  <c r="I59" i="27"/>
  <c r="J59" i="27" s="1"/>
  <c r="K59" i="27" s="1"/>
  <c r="I58" i="27"/>
  <c r="I57" i="27"/>
  <c r="J57" i="27" s="1"/>
  <c r="K57" i="27" s="1"/>
  <c r="I56" i="27"/>
  <c r="J56" i="27" s="1"/>
  <c r="K56" i="27" s="1"/>
  <c r="I54" i="27"/>
  <c r="J54" i="27" s="1"/>
  <c r="K54" i="27" s="1"/>
  <c r="G36" i="25"/>
  <c r="H36" i="25"/>
  <c r="I36" i="25"/>
  <c r="G44" i="25"/>
  <c r="H44" i="25"/>
  <c r="I44" i="25"/>
  <c r="G52" i="25"/>
  <c r="H52" i="25"/>
  <c r="I52" i="25"/>
  <c r="F36" i="25"/>
  <c r="H22" i="25"/>
  <c r="I53" i="25" s="1"/>
  <c r="H14" i="25"/>
  <c r="I45" i="25" s="1"/>
  <c r="H6" i="25"/>
  <c r="I37" i="25" s="1"/>
  <c r="H4" i="25"/>
  <c r="G22" i="25"/>
  <c r="H53" i="25" s="1"/>
  <c r="G14" i="25"/>
  <c r="H45" i="25" s="1"/>
  <c r="G6" i="25"/>
  <c r="H37" i="25" s="1"/>
  <c r="G4" i="25"/>
  <c r="F22" i="25"/>
  <c r="G53" i="25" s="1"/>
  <c r="F14" i="25"/>
  <c r="F15" i="25" s="1"/>
  <c r="F6" i="25"/>
  <c r="G37" i="25" s="1"/>
  <c r="F4" i="25"/>
  <c r="H24" i="26"/>
  <c r="F24" i="26" s="1"/>
  <c r="E31" i="29"/>
  <c r="E28" i="29"/>
  <c r="E25" i="29"/>
  <c r="H81" i="27"/>
  <c r="F18" i="27"/>
  <c r="F19" i="27" s="1"/>
  <c r="H14" i="29"/>
  <c r="H15" i="29" s="1"/>
  <c r="E78" i="27"/>
  <c r="F15" i="27"/>
  <c r="F16" i="27" s="1"/>
  <c r="H14" i="27"/>
  <c r="F12" i="27"/>
  <c r="F13" i="27" s="1"/>
  <c r="H11" i="27"/>
  <c r="E13" i="29"/>
  <c r="H8" i="27"/>
  <c r="I8" i="27" s="1"/>
  <c r="H5" i="27"/>
  <c r="K5" i="27" s="1"/>
  <c r="H7" i="24"/>
  <c r="D12" i="30"/>
  <c r="D13" i="30" s="1"/>
  <c r="D14" i="30" s="1"/>
  <c r="D15" i="30" s="1"/>
  <c r="D16" i="30" s="1"/>
  <c r="D17" i="30" s="1"/>
  <c r="D5" i="30"/>
  <c r="D6" i="30" s="1"/>
  <c r="D7" i="30" s="1"/>
  <c r="D8" i="30" s="1"/>
  <c r="D9" i="30" s="1"/>
  <c r="D10" i="30" s="1"/>
  <c r="C6" i="29"/>
  <c r="C7" i="29" s="1"/>
  <c r="C8" i="29" s="1"/>
  <c r="C9" i="29" s="1"/>
  <c r="C10" i="29" s="1"/>
  <c r="C11" i="29" s="1"/>
  <c r="C12" i="29" s="1"/>
  <c r="E5" i="29"/>
  <c r="G10" i="28"/>
  <c r="G9" i="28"/>
  <c r="G8" i="28"/>
  <c r="E6" i="25"/>
  <c r="F37" i="25" s="1"/>
  <c r="E9" i="26"/>
  <c r="D9" i="26"/>
  <c r="A1" i="26"/>
  <c r="F72" i="25"/>
  <c r="F73" i="25" s="1"/>
  <c r="F74" i="25" s="1"/>
  <c r="F75" i="25" s="1"/>
  <c r="F69" i="25"/>
  <c r="F70" i="25" s="1"/>
  <c r="E69" i="25"/>
  <c r="E70" i="25" s="1"/>
  <c r="E71" i="25" s="1"/>
  <c r="E72" i="25" s="1"/>
  <c r="E73" i="25" s="1"/>
  <c r="E74" i="25" s="1"/>
  <c r="E75" i="25" s="1"/>
  <c r="D69" i="25"/>
  <c r="D70" i="25" s="1"/>
  <c r="D71" i="25" s="1"/>
  <c r="D72" i="25" s="1"/>
  <c r="D73" i="25" s="1"/>
  <c r="D74" i="25" s="1"/>
  <c r="D75" i="25" s="1"/>
  <c r="F52" i="25"/>
  <c r="E52" i="25"/>
  <c r="E53" i="25" s="1"/>
  <c r="E54" i="25" s="1"/>
  <c r="E55" i="25" s="1"/>
  <c r="E56" i="25" s="1"/>
  <c r="E57" i="25" s="1"/>
  <c r="E58" i="25" s="1"/>
  <c r="E59" i="25" s="1"/>
  <c r="F44" i="25"/>
  <c r="E44" i="25"/>
  <c r="E45" i="25" s="1"/>
  <c r="E46" i="25" s="1"/>
  <c r="E47" i="25" s="1"/>
  <c r="E48" i="25" s="1"/>
  <c r="E49" i="25" s="1"/>
  <c r="E50" i="25" s="1"/>
  <c r="E51" i="25" s="1"/>
  <c r="E36" i="25"/>
  <c r="E37" i="25" s="1"/>
  <c r="E38" i="25" s="1"/>
  <c r="E39" i="25" s="1"/>
  <c r="E40" i="25" s="1"/>
  <c r="E41" i="25" s="1"/>
  <c r="E42" i="25" s="1"/>
  <c r="E43" i="25" s="1"/>
  <c r="E22" i="25"/>
  <c r="F53" i="25" s="1"/>
  <c r="D22" i="25"/>
  <c r="D23" i="25" s="1"/>
  <c r="D24" i="25" s="1"/>
  <c r="D25" i="25" s="1"/>
  <c r="D26" i="25" s="1"/>
  <c r="D27" i="25" s="1"/>
  <c r="D28" i="25" s="1"/>
  <c r="E14" i="25"/>
  <c r="F45" i="25" s="1"/>
  <c r="D14" i="25"/>
  <c r="D15" i="25" s="1"/>
  <c r="D16" i="25" s="1"/>
  <c r="D17" i="25" s="1"/>
  <c r="D18" i="25" s="1"/>
  <c r="D19" i="25" s="1"/>
  <c r="D20" i="25" s="1"/>
  <c r="D6" i="25"/>
  <c r="D7" i="25" s="1"/>
  <c r="D8" i="25" s="1"/>
  <c r="D9" i="25" s="1"/>
  <c r="D10" i="25" s="1"/>
  <c r="D11" i="25" s="1"/>
  <c r="D12" i="25" s="1"/>
  <c r="E4" i="25"/>
  <c r="D6" i="24"/>
  <c r="G6" i="24" s="1"/>
  <c r="D11" i="24"/>
  <c r="G11" i="24" s="1"/>
  <c r="F10" i="24"/>
  <c r="F11" i="24" s="1"/>
  <c r="F6" i="24" s="1"/>
  <c r="D10" i="24"/>
  <c r="G10" i="24" s="1"/>
  <c r="D5" i="24"/>
  <c r="G5" i="24" s="1"/>
  <c r="C5" i="24"/>
  <c r="C10" i="24" s="1"/>
  <c r="C11" i="24" s="1"/>
  <c r="C6" i="24" s="1"/>
  <c r="F19" i="22"/>
  <c r="F34" i="22" s="1"/>
  <c r="F6" i="22"/>
  <c r="F20" i="22" s="1"/>
  <c r="F35" i="22" s="1"/>
  <c r="F49" i="22" s="1"/>
  <c r="D16" i="22"/>
  <c r="D31" i="22" s="1"/>
  <c r="D45" i="22" s="1"/>
  <c r="D17" i="22"/>
  <c r="D32" i="22" s="1"/>
  <c r="D46" i="22" s="1"/>
  <c r="D18" i="22"/>
  <c r="D33" i="22" s="1"/>
  <c r="D47" i="22" s="1"/>
  <c r="D6" i="22"/>
  <c r="D20" i="22" s="1"/>
  <c r="D35" i="22" s="1"/>
  <c r="D7" i="22"/>
  <c r="D21" i="22" s="1"/>
  <c r="D36" i="22" s="1"/>
  <c r="G7" i="22"/>
  <c r="G21" i="22" s="1"/>
  <c r="G36" i="22" s="1"/>
  <c r="D8" i="22"/>
  <c r="G8" i="22" s="1"/>
  <c r="G23" i="22" s="1"/>
  <c r="G37" i="22" s="1"/>
  <c r="D9" i="22"/>
  <c r="G9" i="22" s="1"/>
  <c r="G24" i="22" s="1"/>
  <c r="G38" i="22" s="1"/>
  <c r="D10" i="22"/>
  <c r="D25" i="22" s="1"/>
  <c r="D39" i="22" s="1"/>
  <c r="D11" i="22"/>
  <c r="G11" i="22" s="1"/>
  <c r="G26" i="22" s="1"/>
  <c r="G40" i="22" s="1"/>
  <c r="D12" i="22"/>
  <c r="G12" i="22" s="1"/>
  <c r="G27" i="22" s="1"/>
  <c r="G41" i="22" s="1"/>
  <c r="D13" i="22"/>
  <c r="D28" i="22" s="1"/>
  <c r="D42" i="22" s="1"/>
  <c r="D14" i="22"/>
  <c r="G14" i="22" s="1"/>
  <c r="G29" i="22" s="1"/>
  <c r="G43" i="22" s="1"/>
  <c r="D15" i="22"/>
  <c r="D30" i="22" s="1"/>
  <c r="D44" i="22" s="1"/>
  <c r="D5" i="22"/>
  <c r="D19" i="22" s="1"/>
  <c r="D34" i="22" s="1"/>
  <c r="G5" i="22"/>
  <c r="G19" i="22" s="1"/>
  <c r="G34" i="22" s="1"/>
  <c r="E6" i="22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D26" i="22"/>
  <c r="D40" i="22" s="1"/>
  <c r="C5" i="22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E15" i="7"/>
  <c r="E14" i="7"/>
  <c r="E9" i="7"/>
  <c r="E10" i="7"/>
  <c r="E11" i="7"/>
  <c r="E7" i="7"/>
  <c r="E8" i="7"/>
  <c r="E12" i="7"/>
  <c r="E5" i="7"/>
  <c r="E13" i="7"/>
  <c r="E6" i="7"/>
  <c r="D21" i="12"/>
  <c r="D19" i="12"/>
  <c r="E16" i="12"/>
  <c r="E15" i="12"/>
  <c r="E14" i="12"/>
  <c r="D13" i="12"/>
  <c r="E12" i="12"/>
  <c r="G16" i="22" l="1"/>
  <c r="G31" i="22" s="1"/>
  <c r="G45" i="22" s="1"/>
  <c r="G6" i="22"/>
  <c r="G20" i="22" s="1"/>
  <c r="G35" i="22" s="1"/>
  <c r="V72" i="31"/>
  <c r="I73" i="31"/>
  <c r="I74" i="31" s="1"/>
  <c r="V74" i="31" s="1"/>
  <c r="I20" i="31"/>
  <c r="I21" i="31" s="1"/>
  <c r="J21" i="31" s="1"/>
  <c r="H23" i="25"/>
  <c r="H24" i="25" s="1"/>
  <c r="I55" i="25" s="1"/>
  <c r="I49" i="31"/>
  <c r="V49" i="31" s="1"/>
  <c r="V54" i="31"/>
  <c r="G45" i="25"/>
  <c r="F23" i="25"/>
  <c r="G54" i="25" s="1"/>
  <c r="D29" i="22"/>
  <c r="D43" i="22" s="1"/>
  <c r="D24" i="22"/>
  <c r="D38" i="22" s="1"/>
  <c r="G15" i="22"/>
  <c r="G30" i="22" s="1"/>
  <c r="G44" i="22" s="1"/>
  <c r="I25" i="31"/>
  <c r="V19" i="31"/>
  <c r="I13" i="31"/>
  <c r="I14" i="31" s="1"/>
  <c r="J48" i="31"/>
  <c r="I55" i="31"/>
  <c r="J24" i="31"/>
  <c r="J30" i="31"/>
  <c r="J18" i="31"/>
  <c r="V18" i="31"/>
  <c r="I5" i="27"/>
  <c r="E7" i="25"/>
  <c r="G7" i="25"/>
  <c r="H38" i="25" s="1"/>
  <c r="G23" i="25"/>
  <c r="H54" i="25" s="1"/>
  <c r="H7" i="25"/>
  <c r="I38" i="25" s="1"/>
  <c r="G17" i="22"/>
  <c r="G32" i="22" s="1"/>
  <c r="G46" i="22" s="1"/>
  <c r="D23" i="22"/>
  <c r="D37" i="22" s="1"/>
  <c r="G10" i="22"/>
  <c r="G25" i="22" s="1"/>
  <c r="G39" i="22" s="1"/>
  <c r="G18" i="22"/>
  <c r="G33" i="22" s="1"/>
  <c r="G47" i="22" s="1"/>
  <c r="J42" i="31"/>
  <c r="J20" i="31"/>
  <c r="J43" i="31"/>
  <c r="V6" i="31"/>
  <c r="I37" i="31"/>
  <c r="J36" i="31"/>
  <c r="I22" i="31"/>
  <c r="V20" i="31"/>
  <c r="V36" i="31"/>
  <c r="I44" i="31"/>
  <c r="I7" i="31"/>
  <c r="J61" i="31"/>
  <c r="I75" i="31"/>
  <c r="I62" i="31"/>
  <c r="V42" i="31"/>
  <c r="V31" i="31"/>
  <c r="I32" i="31"/>
  <c r="J73" i="31"/>
  <c r="J74" i="31"/>
  <c r="V73" i="31"/>
  <c r="J31" i="31"/>
  <c r="J66" i="31"/>
  <c r="I67" i="31"/>
  <c r="V30" i="31"/>
  <c r="G46" i="25"/>
  <c r="F16" i="25"/>
  <c r="H15" i="25"/>
  <c r="G15" i="25"/>
  <c r="E23" i="25"/>
  <c r="E15" i="25"/>
  <c r="I54" i="25"/>
  <c r="F7" i="25"/>
  <c r="C22" i="22"/>
  <c r="C23" i="22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D27" i="22"/>
  <c r="D41" i="22" s="1"/>
  <c r="G13" i="22"/>
  <c r="G28" i="22" s="1"/>
  <c r="G42" i="22" s="1"/>
  <c r="F7" i="22"/>
  <c r="H19" i="29"/>
  <c r="H20" i="29" s="1"/>
  <c r="H16" i="29"/>
  <c r="H17" i="29" s="1"/>
  <c r="H18" i="29" s="1"/>
  <c r="J5" i="27"/>
  <c r="I9" i="27"/>
  <c r="N23" i="27"/>
  <c r="S22" i="27" s="1"/>
  <c r="T23" i="27" s="1"/>
  <c r="I21" i="27"/>
  <c r="I20" i="27" s="1"/>
  <c r="J8" i="27"/>
  <c r="I35" i="27"/>
  <c r="K8" i="27"/>
  <c r="K9" i="27"/>
  <c r="I6" i="27"/>
  <c r="K6" i="27"/>
  <c r="V21" i="31" l="1"/>
  <c r="H25" i="25"/>
  <c r="I56" i="25" s="1"/>
  <c r="J49" i="31"/>
  <c r="G8" i="25"/>
  <c r="G9" i="25" s="1"/>
  <c r="F24" i="25"/>
  <c r="F25" i="25" s="1"/>
  <c r="V13" i="31"/>
  <c r="I50" i="31"/>
  <c r="V50" i="31" s="1"/>
  <c r="V14" i="31"/>
  <c r="J14" i="31"/>
  <c r="I15" i="31"/>
  <c r="J55" i="31"/>
  <c r="I56" i="31"/>
  <c r="V55" i="31"/>
  <c r="I26" i="31"/>
  <c r="J25" i="31"/>
  <c r="V25" i="31"/>
  <c r="J13" i="31"/>
  <c r="H8" i="25"/>
  <c r="I39" i="25" s="1"/>
  <c r="G24" i="25"/>
  <c r="H55" i="25" s="1"/>
  <c r="E8" i="25"/>
  <c r="F38" i="25"/>
  <c r="I45" i="31"/>
  <c r="J44" i="31"/>
  <c r="V44" i="31"/>
  <c r="I38" i="31"/>
  <c r="J37" i="31"/>
  <c r="V37" i="31"/>
  <c r="J32" i="31"/>
  <c r="V32" i="31"/>
  <c r="I33" i="31"/>
  <c r="V62" i="31"/>
  <c r="I63" i="31"/>
  <c r="J62" i="31"/>
  <c r="I68" i="31"/>
  <c r="V67" i="31"/>
  <c r="J67" i="31"/>
  <c r="I8" i="31"/>
  <c r="V7" i="31"/>
  <c r="J7" i="31"/>
  <c r="J75" i="31"/>
  <c r="I76" i="31"/>
  <c r="V75" i="31"/>
  <c r="J22" i="31"/>
  <c r="I23" i="31"/>
  <c r="V22" i="31"/>
  <c r="F8" i="25"/>
  <c r="G38" i="25"/>
  <c r="F54" i="25"/>
  <c r="E24" i="25"/>
  <c r="H26" i="25"/>
  <c r="E16" i="25"/>
  <c r="F46" i="25"/>
  <c r="H46" i="25"/>
  <c r="G16" i="25"/>
  <c r="H39" i="25"/>
  <c r="G55" i="25"/>
  <c r="F17" i="25"/>
  <c r="G47" i="25"/>
  <c r="H16" i="25"/>
  <c r="I46" i="25"/>
  <c r="F8" i="22"/>
  <c r="F21" i="22"/>
  <c r="F36" i="22" s="1"/>
  <c r="C49" i="22"/>
  <c r="C47" i="22"/>
  <c r="I22" i="27"/>
  <c r="I34" i="27"/>
  <c r="H9" i="25" l="1"/>
  <c r="H10" i="25" s="1"/>
  <c r="J50" i="31"/>
  <c r="I51" i="31"/>
  <c r="I52" i="31" s="1"/>
  <c r="G25" i="25"/>
  <c r="J26" i="31"/>
  <c r="V26" i="31"/>
  <c r="I27" i="31"/>
  <c r="I57" i="31"/>
  <c r="J56" i="31"/>
  <c r="V56" i="31"/>
  <c r="V15" i="31"/>
  <c r="I16" i="31"/>
  <c r="J15" i="31"/>
  <c r="J51" i="31"/>
  <c r="F39" i="25"/>
  <c r="E9" i="25"/>
  <c r="J68" i="31"/>
  <c r="V68" i="31"/>
  <c r="I69" i="31"/>
  <c r="J38" i="31"/>
  <c r="I39" i="31"/>
  <c r="V38" i="31"/>
  <c r="J63" i="31"/>
  <c r="V63" i="31"/>
  <c r="I64" i="31"/>
  <c r="V8" i="31"/>
  <c r="J8" i="31"/>
  <c r="I9" i="31"/>
  <c r="J23" i="31"/>
  <c r="V23" i="31"/>
  <c r="J33" i="31"/>
  <c r="V33" i="31"/>
  <c r="I34" i="31"/>
  <c r="J76" i="31"/>
  <c r="V76" i="31"/>
  <c r="I77" i="31"/>
  <c r="I46" i="31"/>
  <c r="J45" i="31"/>
  <c r="V45" i="31"/>
  <c r="F55" i="25"/>
  <c r="E25" i="25"/>
  <c r="G26" i="25"/>
  <c r="H56" i="25"/>
  <c r="H47" i="25"/>
  <c r="G17" i="25"/>
  <c r="E17" i="25"/>
  <c r="F47" i="25"/>
  <c r="G48" i="25"/>
  <c r="F18" i="25"/>
  <c r="G56" i="25"/>
  <c r="F26" i="25"/>
  <c r="H40" i="25"/>
  <c r="G10" i="25"/>
  <c r="I40" i="25"/>
  <c r="I47" i="25"/>
  <c r="H17" i="25"/>
  <c r="H27" i="25"/>
  <c r="I57" i="25"/>
  <c r="F9" i="25"/>
  <c r="G39" i="25"/>
  <c r="F22" i="22"/>
  <c r="F23" i="22"/>
  <c r="F37" i="22" s="1"/>
  <c r="F9" i="22"/>
  <c r="V51" i="31" l="1"/>
  <c r="I28" i="31"/>
  <c r="V27" i="31"/>
  <c r="J27" i="31"/>
  <c r="J16" i="31"/>
  <c r="V16" i="31"/>
  <c r="I17" i="31"/>
  <c r="J52" i="31"/>
  <c r="I53" i="31"/>
  <c r="V52" i="31"/>
  <c r="V57" i="31"/>
  <c r="I58" i="31"/>
  <c r="J57" i="31"/>
  <c r="E10" i="25"/>
  <c r="F40" i="25"/>
  <c r="V46" i="31"/>
  <c r="I47" i="31"/>
  <c r="J46" i="31"/>
  <c r="I65" i="31"/>
  <c r="V64" i="31"/>
  <c r="J64" i="31"/>
  <c r="V77" i="31"/>
  <c r="J77" i="31"/>
  <c r="J39" i="31"/>
  <c r="V39" i="31"/>
  <c r="I40" i="31"/>
  <c r="J9" i="31"/>
  <c r="V9" i="31"/>
  <c r="I10" i="31"/>
  <c r="V34" i="31"/>
  <c r="J34" i="31"/>
  <c r="I35" i="31"/>
  <c r="J69" i="31"/>
  <c r="I70" i="31"/>
  <c r="V69" i="31"/>
  <c r="H11" i="25"/>
  <c r="I41" i="25"/>
  <c r="H41" i="25"/>
  <c r="G11" i="25"/>
  <c r="G27" i="25"/>
  <c r="H57" i="25"/>
  <c r="F48" i="25"/>
  <c r="E18" i="25"/>
  <c r="I58" i="25"/>
  <c r="H28" i="25"/>
  <c r="I59" i="25" s="1"/>
  <c r="H18" i="25"/>
  <c r="I48" i="25"/>
  <c r="G49" i="25"/>
  <c r="F19" i="25"/>
  <c r="F56" i="25"/>
  <c r="E26" i="25"/>
  <c r="G18" i="25"/>
  <c r="H48" i="25"/>
  <c r="G40" i="25"/>
  <c r="F10" i="25"/>
  <c r="G57" i="25"/>
  <c r="F27" i="25"/>
  <c r="F24" i="22"/>
  <c r="F38" i="22" s="1"/>
  <c r="F10" i="22"/>
  <c r="J17" i="31" l="1"/>
  <c r="V17" i="31"/>
  <c r="J58" i="31"/>
  <c r="I59" i="31"/>
  <c r="V58" i="31"/>
  <c r="J53" i="31"/>
  <c r="V53" i="31"/>
  <c r="J28" i="31"/>
  <c r="V28" i="31"/>
  <c r="I29" i="31"/>
  <c r="F41" i="25"/>
  <c r="E11" i="25"/>
  <c r="I71" i="31"/>
  <c r="J70" i="31"/>
  <c r="V70" i="31"/>
  <c r="V10" i="31"/>
  <c r="J10" i="31"/>
  <c r="I11" i="31"/>
  <c r="V40" i="31"/>
  <c r="J40" i="31"/>
  <c r="I41" i="31"/>
  <c r="V65" i="31"/>
  <c r="J65" i="31"/>
  <c r="J47" i="31"/>
  <c r="V47" i="31"/>
  <c r="V35" i="31"/>
  <c r="J35" i="31"/>
  <c r="E27" i="25"/>
  <c r="F57" i="25"/>
  <c r="F28" i="25"/>
  <c r="G59" i="25" s="1"/>
  <c r="G58" i="25"/>
  <c r="F20" i="25"/>
  <c r="G51" i="25" s="1"/>
  <c r="G50" i="25"/>
  <c r="H42" i="25"/>
  <c r="G12" i="25"/>
  <c r="H43" i="25" s="1"/>
  <c r="H58" i="25"/>
  <c r="G28" i="25"/>
  <c r="H59" i="25" s="1"/>
  <c r="E19" i="25"/>
  <c r="F49" i="25"/>
  <c r="F11" i="25"/>
  <c r="G41" i="25"/>
  <c r="H19" i="25"/>
  <c r="I49" i="25"/>
  <c r="G19" i="25"/>
  <c r="H49" i="25"/>
  <c r="I42" i="25"/>
  <c r="H12" i="25"/>
  <c r="I43" i="25" s="1"/>
  <c r="F11" i="22"/>
  <c r="F25" i="22"/>
  <c r="F39" i="22" s="1"/>
  <c r="J59" i="31" l="1"/>
  <c r="V59" i="31"/>
  <c r="V29" i="31"/>
  <c r="J29" i="31"/>
  <c r="E12" i="25"/>
  <c r="F43" i="25" s="1"/>
  <c r="F42" i="25"/>
  <c r="J11" i="31"/>
  <c r="V11" i="31"/>
  <c r="J41" i="31"/>
  <c r="V41" i="31"/>
  <c r="J71" i="31"/>
  <c r="V71" i="31"/>
  <c r="H50" i="25"/>
  <c r="G20" i="25"/>
  <c r="H51" i="25" s="1"/>
  <c r="I50" i="25"/>
  <c r="H20" i="25"/>
  <c r="I51" i="25" s="1"/>
  <c r="E28" i="25"/>
  <c r="F59" i="25" s="1"/>
  <c r="F58" i="25"/>
  <c r="G42" i="25"/>
  <c r="F12" i="25"/>
  <c r="G43" i="25" s="1"/>
  <c r="F50" i="25"/>
  <c r="E20" i="25"/>
  <c r="F51" i="25" s="1"/>
  <c r="F12" i="22"/>
  <c r="F26" i="22"/>
  <c r="F40" i="22" s="1"/>
  <c r="F13" i="22" l="1"/>
  <c r="F27" i="22"/>
  <c r="F41" i="22" s="1"/>
  <c r="F14" i="22" l="1"/>
  <c r="F28" i="22"/>
  <c r="F42" i="22" s="1"/>
  <c r="F15" i="22" l="1"/>
  <c r="F29" i="22"/>
  <c r="F43" i="22" s="1"/>
  <c r="F30" i="22" l="1"/>
  <c r="F44" i="22" s="1"/>
  <c r="F16" i="22"/>
  <c r="F31" i="22" l="1"/>
  <c r="F45" i="22" s="1"/>
  <c r="F17" i="22"/>
  <c r="F18" i="22" l="1"/>
  <c r="F33" i="22" s="1"/>
  <c r="F47" i="22" s="1"/>
  <c r="F32" i="22"/>
  <c r="F46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H48" authorId="0" shapeId="0" xr:uid="{8077F881-B269-4282-9B47-655FBE9B6F88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The total effective CO2 storage capacity in 6 basins was estimated to be 204 Mt, 610 Mt, and 403 Gt in oil reservoirs, gas reservoirs, and saline aquifers, respectively.</t>
        </r>
      </text>
    </comment>
    <comment ref="I48" authorId="0" shapeId="0" xr:uid="{23D48987-F6DD-4A5D-805C-1B20EE053F7F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NO INFO
BUT
a CCS (IND) project is planned
Ratio Km2 / km2</t>
        </r>
      </text>
    </comment>
    <comment ref="N49" authorId="0" shapeId="0" xr:uid="{D0B38C74-03AA-4ED4-BC3A-A2C1DBD8D5EF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around 7 kg CO2 / kg H2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F34" authorId="0" shapeId="0" xr:uid="{89233C2E-9B07-4B12-851A-3BB76D0FB787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including BRI prc</t>
        </r>
      </text>
    </comment>
    <comment ref="F35" authorId="0" shapeId="0" xr:uid="{A1685200-EE14-4373-92F3-ED4CE26FCB9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including BRI prc</t>
        </r>
      </text>
    </comment>
    <comment ref="F36" authorId="0" shapeId="0" xr:uid="{16F2681E-7EE0-4159-9635-01C2C6700FDF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including BRI prc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M4" authorId="0" shapeId="0" xr:uid="{1F6CD417-C438-4930-9A2F-3036EC6B3AA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R4" authorId="0" shapeId="0" xr:uid="{323FC87D-8B3E-4E59-A975-0E7260C476A3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<sst xmlns="http://schemas.openxmlformats.org/spreadsheetml/2006/main" count="1103" uniqueCount="390">
  <si>
    <t>LimType</t>
  </si>
  <si>
    <t>~TFM_INS</t>
  </si>
  <si>
    <t>TimeSlice</t>
  </si>
  <si>
    <t>Attribute</t>
  </si>
  <si>
    <t>Year</t>
  </si>
  <si>
    <t>Pset_PN</t>
  </si>
  <si>
    <t>Cset_CN</t>
  </si>
  <si>
    <t/>
  </si>
  <si>
    <t>UP</t>
  </si>
  <si>
    <t>ACT_BND</t>
  </si>
  <si>
    <t>BIOLOG</t>
  </si>
  <si>
    <t>OILGSL</t>
  </si>
  <si>
    <t>OILLPG</t>
  </si>
  <si>
    <t>OILKER</t>
  </si>
  <si>
    <t>SPRSTCKOILGSL</t>
  </si>
  <si>
    <t>SPRSTCKOILLPG</t>
  </si>
  <si>
    <t>SPRSTCKOILKER</t>
  </si>
  <si>
    <t>SPRSTCKGASNAT</t>
  </si>
  <si>
    <t>PRC_CAPACT</t>
  </si>
  <si>
    <t>Default Units</t>
  </si>
  <si>
    <t>BASE_YEAR</t>
  </si>
  <si>
    <t>Energy</t>
  </si>
  <si>
    <t>PJ</t>
  </si>
  <si>
    <t>END_YEAR</t>
  </si>
  <si>
    <t>Currency Unit</t>
  </si>
  <si>
    <t>Emissions</t>
  </si>
  <si>
    <t>Gg</t>
  </si>
  <si>
    <t>Capacity</t>
  </si>
  <si>
    <t>GW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</si>
  <si>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</si>
  <si>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</si>
  <si>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</si>
  <si>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</si>
  <si>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</si>
  <si>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</si>
  <si>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</si>
  <si>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</si>
  <si>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kg/GJ</t>
  </si>
  <si>
    <t>COST</t>
  </si>
  <si>
    <t>Extraction cost/Import Cost/Export cost</t>
  </si>
  <si>
    <t>Mining</t>
  </si>
  <si>
    <t>Annual Bound</t>
  </si>
  <si>
    <t>FIXOM</t>
  </si>
  <si>
    <t>Fixed O&amp;M Cost</t>
  </si>
  <si>
    <t>VAROM</t>
  </si>
  <si>
    <t>Variable O&amp;M Cost</t>
  </si>
  <si>
    <t>Capacity to Activity</t>
  </si>
  <si>
    <t>GJ/kW</t>
  </si>
  <si>
    <t>PRC_RESID</t>
  </si>
  <si>
    <t>Existing Capacity</t>
  </si>
  <si>
    <t>Transport</t>
  </si>
  <si>
    <t>000s Units</t>
  </si>
  <si>
    <t>Energy/Unit - delivered/year</t>
  </si>
  <si>
    <t>NCAP_TLIFE</t>
  </si>
  <si>
    <t>Technical Lifetime</t>
  </si>
  <si>
    <t>Years</t>
  </si>
  <si>
    <t>Generic processes</t>
  </si>
  <si>
    <t>INDBIOCHR</t>
  </si>
  <si>
    <t>INDBIOBGS</t>
  </si>
  <si>
    <t>INDBIOWID</t>
  </si>
  <si>
    <t>INDBIOLOG</t>
  </si>
  <si>
    <t>INDGASBFG</t>
  </si>
  <si>
    <t>INDGASNAT</t>
  </si>
  <si>
    <t>INDOILOTH</t>
  </si>
  <si>
    <t>INDOILPCK</t>
  </si>
  <si>
    <t>INDOILLPG</t>
  </si>
  <si>
    <t>INDOILGSL</t>
  </si>
  <si>
    <t>INDOILDSL</t>
  </si>
  <si>
    <t>INDCOABKB</t>
  </si>
  <si>
    <t>INDCOABIC</t>
  </si>
  <si>
    <t>PITGASNAT</t>
  </si>
  <si>
    <t>OILPCK</t>
  </si>
  <si>
    <t>OILDSL</t>
  </si>
  <si>
    <t>OILCRD</t>
  </si>
  <si>
    <t>COABIC</t>
  </si>
  <si>
    <t>SPRSTCKCOABIC</t>
  </si>
  <si>
    <t>SPRSTCKOILCRD</t>
  </si>
  <si>
    <t>SPRSTCKOILDSL</t>
  </si>
  <si>
    <t>SPRSTCKOILHFO</t>
  </si>
  <si>
    <t>SPRSTCKOILPCK</t>
  </si>
  <si>
    <t>OILHFO</t>
  </si>
  <si>
    <t>~TFM_UPD</t>
  </si>
  <si>
    <t>START</t>
  </si>
  <si>
    <t>IND*MCDOILDSL*,IND*MCDGASNAT*</t>
  </si>
  <si>
    <t>No industrial machine drive not using Electricity</t>
  </si>
  <si>
    <t>SPRSTCKBIOLOG_00</t>
  </si>
  <si>
    <t>Other_Indexes</t>
  </si>
  <si>
    <t>FLO_EMIS</t>
  </si>
  <si>
    <t>INDDEMCEM*,INDCEM*</t>
  </si>
  <si>
    <t>INDCO2</t>
  </si>
  <si>
    <t>INDOILHFO</t>
  </si>
  <si>
    <t>Share of CO2 which is Captured</t>
  </si>
  <si>
    <t>INDSSCO2N</t>
  </si>
  <si>
    <t>KZK</t>
  </si>
  <si>
    <t>INDCOASUB</t>
  </si>
  <si>
    <t>INDCOABCO</t>
  </si>
  <si>
    <t>EUGA*,PUGA*</t>
  </si>
  <si>
    <t>ELCSSCO2N</t>
  </si>
  <si>
    <t>EU*SUB*,PU*SUB*</t>
  </si>
  <si>
    <t>M$</t>
  </si>
  <si>
    <t>$/GJ</t>
  </si>
  <si>
    <t>$/GJ/a</t>
  </si>
  <si>
    <t>INDDEMIST*,INDIST*</t>
  </si>
  <si>
    <t>INDDEMPCH*,INDPCH*</t>
  </si>
  <si>
    <t>COASUB</t>
  </si>
  <si>
    <t>Base year Stock Changes set to zero for the horizon (or alternatively up to the BY values)</t>
  </si>
  <si>
    <t>Increase the Space heating demand per dwelling in order to improve comfort conditions</t>
  </si>
  <si>
    <t>Retrofit options available</t>
  </si>
  <si>
    <t>Inrease of the comfort level for space heating.</t>
  </si>
  <si>
    <t>Typology</t>
  </si>
  <si>
    <t>Detached-A1</t>
  </si>
  <si>
    <t>RSD_DW_DTA1</t>
  </si>
  <si>
    <t>PSET_PN</t>
  </si>
  <si>
    <t>Apartment-A1</t>
  </si>
  <si>
    <t>RSD_DW_APA1</t>
  </si>
  <si>
    <t>Dum_RSD_Retrofit,RSD*Ret*</t>
  </si>
  <si>
    <t>Detached-A2</t>
  </si>
  <si>
    <t>RSD_DW_DTA2</t>
  </si>
  <si>
    <t>Apartment-A2</t>
  </si>
  <si>
    <t>RSD_DW_APA2</t>
  </si>
  <si>
    <t>Detached-A3</t>
  </si>
  <si>
    <t>RSD_DW_DTA3</t>
  </si>
  <si>
    <t>Apartment-A3</t>
  </si>
  <si>
    <t>RSD_DW_APA3</t>
  </si>
  <si>
    <t>Detached-A4</t>
  </si>
  <si>
    <t>RSD_DW_DTA4</t>
  </si>
  <si>
    <t>Apartment-A4</t>
  </si>
  <si>
    <t>RSD_DW_APA4</t>
  </si>
  <si>
    <t>*Limit Type</t>
  </si>
  <si>
    <t>Technology Name</t>
  </si>
  <si>
    <t>*Units:</t>
  </si>
  <si>
    <t>ACTBND</t>
  </si>
  <si>
    <t>RSD_UMSH_DTA1</t>
  </si>
  <si>
    <t>RSD_UMSH_APA1</t>
  </si>
  <si>
    <t>RSD_UMSH_DTA2</t>
  </si>
  <si>
    <t>RSD_UMSH_APA2</t>
  </si>
  <si>
    <t>RSD_UMSH_DTA3</t>
  </si>
  <si>
    <t>RSD_UMSH_APA3</t>
  </si>
  <si>
    <t>RSD_UMSH_DTA4</t>
  </si>
  <si>
    <t>RSD_UMSH_APA4</t>
  </si>
  <si>
    <t>~TFM_FILL</t>
  </si>
  <si>
    <t>Operation_Sum_Avg_Count</t>
  </si>
  <si>
    <t>Scenario Name</t>
  </si>
  <si>
    <t>A</t>
  </si>
  <si>
    <t>BASE</t>
  </si>
  <si>
    <t>NEW GT required as a % of RES Capacity=</t>
  </si>
  <si>
    <t>~UC_T: UC_RHSRTS~LO</t>
  </si>
  <si>
    <t>UC_N</t>
  </si>
  <si>
    <t>UC_NCAP</t>
  </si>
  <si>
    <t>UC_RHSRTS~LO</t>
  </si>
  <si>
    <t>UC_RHSRTS~LO~0</t>
  </si>
  <si>
    <t>UC_Desc</t>
  </si>
  <si>
    <t>UC_ELC_GTRES-CAP</t>
  </si>
  <si>
    <t>PSet_PN</t>
  </si>
  <si>
    <t>LO</t>
  </si>
  <si>
    <t>NCAP_AFA</t>
  </si>
  <si>
    <t>Operational Hours per year</t>
  </si>
  <si>
    <t>Other Technology Options</t>
  </si>
  <si>
    <t>PUBIOLOG101</t>
  </si>
  <si>
    <t>Solid Biomass CHPs not available</t>
  </si>
  <si>
    <t>HPPHPUMPHETELC01</t>
  </si>
  <si>
    <t>GT and others - Capacity for balancing RES</t>
  </si>
  <si>
    <t>ENV_ACT</t>
  </si>
  <si>
    <t>Dum_TER_Retrofit, TER*Ret*</t>
  </si>
  <si>
    <t>SPRSTCKCOASUB</t>
  </si>
  <si>
    <t>INDISTSNTE_00</t>
  </si>
  <si>
    <t>INDISTPIRE_00</t>
  </si>
  <si>
    <t>INDISTCSTE_00</t>
  </si>
  <si>
    <t>Process-specific (non combustion) emissions</t>
  </si>
  <si>
    <t>RDM: value from BY balance</t>
  </si>
  <si>
    <t>UC_CAP</t>
  </si>
  <si>
    <t>Lower limit for Autoproducers Capacity in (GW)</t>
  </si>
  <si>
    <t>IND*AUT*</t>
  </si>
  <si>
    <t>UC_IND_AUTOCAP</t>
  </si>
  <si>
    <t>RSD_*_SH_ELC_N_ST02</t>
  </si>
  <si>
    <t>RSD_*_SH_ELC_N_ST03</t>
  </si>
  <si>
    <t>RSD_*_SH_ELC_N_IM01</t>
  </si>
  <si>
    <t>RSD_*_SH_ELC_N_IM02</t>
  </si>
  <si>
    <t>RSD_*_SH_ELC_N_AD01</t>
  </si>
  <si>
    <t>RSD_*_SH_ELC_N_AD02</t>
  </si>
  <si>
    <t>NCAP_COST</t>
  </si>
  <si>
    <t>RSD_*_SH_GEO*</t>
  </si>
  <si>
    <t>TER_*_SH_ELC_N_ST02</t>
  </si>
  <si>
    <t>TER_*_SH_ELC_N_ST03</t>
  </si>
  <si>
    <t>TER_*_SH_ELC_N_IM01</t>
  </si>
  <si>
    <t>TER_*_SH_ELC_N_IM02</t>
  </si>
  <si>
    <t>TER_*_SH_ELC_N_AD01</t>
  </si>
  <si>
    <t>TER_*_SH_ELC_N_AD02</t>
  </si>
  <si>
    <t>TER_*_SH_GEO*</t>
  </si>
  <si>
    <t>IMPELC*N01</t>
  </si>
  <si>
    <t>IMPELC*N02</t>
  </si>
  <si>
    <t>RSD_APA*SH_BIC_N*</t>
  </si>
  <si>
    <t>RSD_APA*SH_LOG_N*</t>
  </si>
  <si>
    <t>RSD_APA*SH_PLT_N*</t>
  </si>
  <si>
    <t>No room for those techs in AP</t>
  </si>
  <si>
    <t>EU*CC*101</t>
  </si>
  <si>
    <t>~UC_Sets: R_E: KZK</t>
  </si>
  <si>
    <t>EUWINPARK*,EUPVPARK*</t>
  </si>
  <si>
    <t>2020,2050</t>
  </si>
  <si>
    <t>MINMATFSC00</t>
  </si>
  <si>
    <t>Mt</t>
  </si>
  <si>
    <t>Ferrous Scrap</t>
  </si>
  <si>
    <t>MINMATSCR00</t>
  </si>
  <si>
    <t>Scrap (Al)</t>
  </si>
  <si>
    <t>UC_GAS_PP</t>
  </si>
  <si>
    <t>Lower limit for Gas PP-CHP (GW)</t>
  </si>
  <si>
    <t>PUGASN*,-PUGASN*ICE*</t>
  </si>
  <si>
    <t>Switch to gas (from coal)</t>
  </si>
  <si>
    <t>COM_CUMPRD</t>
  </si>
  <si>
    <t>INDSCO2N</t>
  </si>
  <si>
    <t>ELCSCO2N</t>
  </si>
  <si>
    <t>IMPBIODSL01</t>
  </si>
  <si>
    <t>IMPBIOETH01</t>
  </si>
  <si>
    <t>Low amount available in the market for KZ (Goal: self-sufficiency)</t>
  </si>
  <si>
    <t>UC_CAP_PP</t>
  </si>
  <si>
    <t>PU*,EU*,-EUWIN*-EUPV*</t>
  </si>
  <si>
    <t>~UC_T: UC_RHSRTS~UP</t>
  </si>
  <si>
    <t>Commissioning (up to)</t>
  </si>
  <si>
    <t>Calibration (installations)</t>
  </si>
  <si>
    <t>UC_RHSRTS~UP~0</t>
  </si>
  <si>
    <t>UC_CAP_HP</t>
  </si>
  <si>
    <t>HPPHET*</t>
  </si>
  <si>
    <t>*2.5</t>
  </si>
  <si>
    <t>RSD_*_SH_ELC_N_ST01, RSD_*_SH_ELC_E01</t>
  </si>
  <si>
    <t>MAX CAP for ELC resistance (BY value)</t>
  </si>
  <si>
    <t>CAP_BND</t>
  </si>
  <si>
    <t>PUGASNAT101</t>
  </si>
  <si>
    <t>RSD*SH*BIC*</t>
  </si>
  <si>
    <t>MAX CAP for BIC SH techs (BY value)</t>
  </si>
  <si>
    <t>RSD_*_WH_SOL_N_*</t>
  </si>
  <si>
    <t>*.6</t>
  </si>
  <si>
    <t>TER_*_WH_SOL_N_*</t>
  </si>
  <si>
    <t>IMPGASN*N01</t>
  </si>
  <si>
    <t>UC_CAP_PP_Large</t>
  </si>
  <si>
    <t>PU*CC*,EU*CC*,PU*SPC*, EU*ICE*,EU*GT*</t>
  </si>
  <si>
    <t>Construction rate (up to)</t>
  </si>
  <si>
    <t>Disabled</t>
  </si>
  <si>
    <t>TFM_INS</t>
  </si>
  <si>
    <t>AllRegions</t>
  </si>
  <si>
    <t>AZJ</t>
  </si>
  <si>
    <t>TKM</t>
  </si>
  <si>
    <t>UZB</t>
  </si>
  <si>
    <t>~UC_Sets: R_E: AZJ,UZB,TKM</t>
  </si>
  <si>
    <t>~UC_Sets: R_E: KZK,AZJ,TKM,UZB</t>
  </si>
  <si>
    <t>PJ (2017) gas final consumption</t>
  </si>
  <si>
    <t>losses (BY)</t>
  </si>
  <si>
    <t>losses (after refurbishment)</t>
  </si>
  <si>
    <t>savings</t>
  </si>
  <si>
    <t>PaM (CP)-AZJ</t>
  </si>
  <si>
    <t>Small Hydro</t>
  </si>
  <si>
    <t>Wind</t>
  </si>
  <si>
    <t>Solar</t>
  </si>
  <si>
    <t>USD/kWh</t>
  </si>
  <si>
    <t>EUWINP*</t>
  </si>
  <si>
    <t>EUHYDSR101</t>
  </si>
  <si>
    <t>EUPVPAR*</t>
  </si>
  <si>
    <t>ELCH*</t>
  </si>
  <si>
    <t>*</t>
  </si>
  <si>
    <t>RDM: to control retrofit of gas pipelines</t>
  </si>
  <si>
    <t>NCAP_BND</t>
  </si>
  <si>
    <t>BY</t>
  </si>
  <si>
    <t>FLO_SUB</t>
  </si>
  <si>
    <t>AGRSTMCH*DSL*</t>
  </si>
  <si>
    <t>No room for those techs in AGR</t>
  </si>
  <si>
    <t>ELECOASUB</t>
  </si>
  <si>
    <t>ELECOABIC</t>
  </si>
  <si>
    <t>ELECOABCO</t>
  </si>
  <si>
    <t>ELEGASNAT</t>
  </si>
  <si>
    <t>ELCCO2</t>
  </si>
  <si>
    <t>TER_T*_SH_DSL_N_*</t>
  </si>
  <si>
    <t>No room for those techs in TER</t>
  </si>
  <si>
    <t>TER_T*_CK_LPG_N_*</t>
  </si>
  <si>
    <t>IND*OILOTH*</t>
  </si>
  <si>
    <t>RSD_APA*SH_DSL_N*</t>
  </si>
  <si>
    <t>TER_T*_SH_DSL_*</t>
  </si>
  <si>
    <t>MAX CAP for DSL SH techs (BY value)</t>
  </si>
  <si>
    <t>UC_COAL_RSD_SH</t>
  </si>
  <si>
    <t>UC_DSL_TER_SH</t>
  </si>
  <si>
    <t>UC_RESISTANCE_RSD_SH</t>
  </si>
  <si>
    <t>Central Electric Heatpumps not available in the short term</t>
  </si>
  <si>
    <t>minor extra POP growth rate</t>
  </si>
  <si>
    <t>Conversion Coal to Gas (CHPs). Only for KZ</t>
  </si>
  <si>
    <t>TRARAI*_DSL_N*</t>
  </si>
  <si>
    <t>AZJ: electrification of railways</t>
  </si>
  <si>
    <t>Electricity import prices from other (implicit) CAC countries</t>
  </si>
  <si>
    <t>Attrib_Cond</t>
  </si>
  <si>
    <t>Val_Cond</t>
  </si>
  <si>
    <t>Pset_Set</t>
  </si>
  <si>
    <t>Pset_CI</t>
  </si>
  <si>
    <t>Pset_CO</t>
  </si>
  <si>
    <t>Cset_Set</t>
  </si>
  <si>
    <t>Cset_CD</t>
  </si>
  <si>
    <t>USD/MWh</t>
  </si>
  <si>
    <t>RN</t>
  </si>
  <si>
    <t>IRE_PRICE</t>
  </si>
  <si>
    <t>IMPELCR*</t>
  </si>
  <si>
    <t>Imp</t>
  </si>
  <si>
    <t>RL</t>
  </si>
  <si>
    <t>RM</t>
  </si>
  <si>
    <t>RD</t>
  </si>
  <si>
    <t>RA</t>
  </si>
  <si>
    <t>RE</t>
  </si>
  <si>
    <t>SN</t>
  </si>
  <si>
    <t>SL</t>
  </si>
  <si>
    <t>SM</t>
  </si>
  <si>
    <t>SD</t>
  </si>
  <si>
    <t>SA</t>
  </si>
  <si>
    <t>SE</t>
  </si>
  <si>
    <t>FN</t>
  </si>
  <si>
    <t>FL</t>
  </si>
  <si>
    <t>Basic Assumptions:</t>
  </si>
  <si>
    <t>FM</t>
  </si>
  <si>
    <t>IMPELC*, -IMPELC_Flex*</t>
  </si>
  <si>
    <t>ELCHIGG</t>
  </si>
  <si>
    <t>FD</t>
  </si>
  <si>
    <t>FA</t>
  </si>
  <si>
    <t>FE</t>
  </si>
  <si>
    <t>WN</t>
  </si>
  <si>
    <t>WL</t>
  </si>
  <si>
    <t>WM</t>
  </si>
  <si>
    <t>WD</t>
  </si>
  <si>
    <t>WA</t>
  </si>
  <si>
    <t>WE</t>
  </si>
  <si>
    <t>Kyrgyzstan and Tajikistan export excess</t>
  </si>
  <si>
    <t>hydro electricity in summer at low prices</t>
  </si>
  <si>
    <t>INDCOACOC</t>
  </si>
  <si>
    <t>FT-AGRGASNAT00</t>
  </si>
  <si>
    <t>RDM: to control MAX GAS in AGR (only 00 process)</t>
  </si>
  <si>
    <t>No room for those techs in RSD</t>
  </si>
  <si>
    <t>No room for those techs in IND</t>
  </si>
  <si>
    <t>AFA</t>
  </si>
  <si>
    <t>FT*INDHTH*00,FT*AGRHTH*00,FT*SUPHTH*00</t>
  </si>
  <si>
    <t>UC_ELC_TER_CK</t>
  </si>
  <si>
    <t>TER_T*_CK_ELC_*</t>
  </si>
  <si>
    <t>MIN CAP for ELC CK techs (BY value)</t>
  </si>
  <si>
    <t>RDM: to control the heat delivered to IND, SUP, AGR. Mimic the existing infrastructure and shares</t>
  </si>
  <si>
    <t>TER_T*_SH_LOG_N_*</t>
  </si>
  <si>
    <t>RSD_DT*SH_LOG_N*</t>
  </si>
  <si>
    <t>RDM: to open trades from ROW</t>
  </si>
  <si>
    <t>SPRSYNH2GCSMR01</t>
  </si>
  <si>
    <t>SYNH2GC</t>
  </si>
  <si>
    <t>Others</t>
  </si>
  <si>
    <t>EUGAS*GT101,EUSTGBAT*,EUGAS*ICE*,EUSTGHYD*, EU*H2G*</t>
  </si>
  <si>
    <t>SPRGASNAT_TRN*N01</t>
  </si>
  <si>
    <t>EUNUCPP*</t>
  </si>
  <si>
    <t>RDM: nuclear PP investments (UZB)</t>
  </si>
  <si>
    <t>INDFBTST*COABC*</t>
  </si>
  <si>
    <t>INDCEMHP*COABC*</t>
  </si>
  <si>
    <t>for a better allocation of BCO</t>
  </si>
  <si>
    <t>EUCOASUBIGCC101, EUCOASUBIGCC_DRYC_101</t>
  </si>
  <si>
    <t>See DISC INV (not to double the bound)</t>
  </si>
  <si>
    <t>UC_CAP_EU_COASUB</t>
  </si>
  <si>
    <t>EUGASNATCC101, EUGASNATCC_DRYC_101</t>
  </si>
  <si>
    <t>PUGASNATCC101, PUGASNATCC_DRYC_101</t>
  </si>
  <si>
    <t>UC_CAP_EU_GASNAT</t>
  </si>
  <si>
    <t>UC_CAP_PU_COASUB</t>
  </si>
  <si>
    <t>UC_CAP_PU_GASNAT</t>
  </si>
  <si>
    <t>PUCOASUBIGCC101, PUCOASUBIGCC_DRYC_101</t>
  </si>
  <si>
    <t>PUCOASUBSPC101, PUCOASUBSPC_DRYC_101</t>
  </si>
  <si>
    <t>UC_CAP_PU_COASUB2</t>
  </si>
  <si>
    <t>PUFCELEH2G101, PUFCELEH2G_DRYC_101</t>
  </si>
  <si>
    <t>UC_CAP_PU_ELEH2G</t>
  </si>
  <si>
    <t>EUNUCPP101, EUNUCPP_DRYC_101</t>
  </si>
  <si>
    <t>UC_CAP_EU_NUC</t>
  </si>
  <si>
    <t>UC_TRA_RAIL_F</t>
  </si>
  <si>
    <t>UC_ACT</t>
  </si>
  <si>
    <t>TRA*RAI*F*DSL*</t>
  </si>
  <si>
    <t>UC_TRA_RAIL_P</t>
  </si>
  <si>
    <t>MAX ACT DSL-freights</t>
  </si>
  <si>
    <t>MAX ACT DSL-pass</t>
  </si>
  <si>
    <t>No room for DSL in Country X</t>
  </si>
  <si>
    <t>RSD*SH*DSL*N*</t>
  </si>
  <si>
    <t>RSD*SH*LPG*</t>
  </si>
  <si>
    <t>UC_LPG_RSD_SH</t>
  </si>
  <si>
    <t>MAX CAP for LPG SH techs (BY value)</t>
  </si>
  <si>
    <t>Phase out SUBS</t>
  </si>
  <si>
    <t>UC_ELC_RSD_WH</t>
  </si>
  <si>
    <t>RSD_*_WH_ELC_*</t>
  </si>
  <si>
    <t>MAX CAP for ELC WH techs (BY value)</t>
  </si>
  <si>
    <t>UC_HeatPumps_RSD_SH</t>
  </si>
  <si>
    <t>RSD_*_SH_ELC_N_ST02,RSD_*_SH_ELC_N_ST03,RSD_*_SH_ELC_N_IM*,RSD_*_SH_ELC_AD*</t>
  </si>
  <si>
    <t>kW</t>
  </si>
  <si>
    <t>MAX NCAP for ELC HP (rate of retrofit + new + spare/substitution)</t>
  </si>
  <si>
    <t>years</t>
  </si>
  <si>
    <t>The large share is for Detached, the stock of which is projected to decrease</t>
  </si>
  <si>
    <t>TER_T*_WH_LOG_*</t>
  </si>
  <si>
    <t>MAX CAP for LOG WH techs (BY value)</t>
  </si>
  <si>
    <t>UC_LOG_TER_WH</t>
  </si>
  <si>
    <t>TRARPP*LPG*</t>
  </si>
  <si>
    <t>AZJ: to delay LPG in Transport (cars), not existing in the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</si>
</sst>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[$€-2]\ * #,##0.00_-;\-[$€-2]\ * #,##0.00_-;_-[$€-2]\ * &quot;-&quot;??_-"/>
    <numFmt numFmtId="166" formatCode="0.0"/>
  </numFmts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i/>
      <sz val="11"/>
      <color theme="1"/>
      <name val="Arial"/>
      <family val="2"/>
    </font>
    <font>
      <i/>
      <u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charset val="161"/>
    </font>
    <font>
      <b/>
      <u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indexed="47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9" fillId="6" borderId="9" applyNumberFormat="0" applyAlignment="0" applyProtection="0"/>
    <xf numFmtId="9" fontId="10" fillId="0" borderId="0" applyFont="0" applyFill="0" applyBorder="0" applyAlignment="0" applyProtection="0"/>
    <xf numFmtId="0" fontId="10" fillId="0" borderId="0"/>
    <xf numFmtId="165" fontId="11" fillId="0" borderId="0"/>
    <xf numFmtId="165" fontId="12" fillId="7" borderId="0" applyNumberFormat="0" applyBorder="0" applyAlignment="0" applyProtection="0"/>
    <xf numFmtId="0" fontId="11" fillId="0" borderId="0"/>
    <xf numFmtId="0" fontId="19" fillId="0" borderId="0"/>
  </cellStyleXfs>
  <cellXfs count="130">
    <xf numFmtId="0" fontId="0" fillId="0" borderId="0" xfId="0"/>
    <xf numFmtId="0" fontId="0" fillId="0" borderId="0" xfId="0" applyAlignment="1">
      <alignment horizontal="right"/>
    </xf>
    <xf numFmtId="0" fontId="5" fillId="5" borderId="0" xfId="2" applyFont="1" applyFill="1" applyAlignment="1"/>
    <xf numFmtId="0" fontId="6" fillId="5" borderId="0" xfId="1" applyFont="1" applyFill="1" applyAlignment="1">
      <alignment horizontal="center"/>
    </xf>
    <xf numFmtId="0" fontId="7" fillId="5" borderId="0" xfId="1" applyFont="1" applyFill="1" applyAlignment="1">
      <alignment horizontal="center"/>
    </xf>
    <xf numFmtId="0" fontId="5" fillId="5" borderId="0" xfId="2" applyFont="1" applyFill="1" applyAlignment="1">
      <alignment horizontal="center"/>
    </xf>
    <xf numFmtId="0" fontId="2" fillId="2" borderId="0" xfId="2" applyFont="1" applyFill="1" applyAlignment="1"/>
    <xf numFmtId="0" fontId="3" fillId="2" borderId="0" xfId="2" applyFill="1" applyAlignment="1"/>
    <xf numFmtId="0" fontId="0" fillId="0" borderId="0" xfId="0" applyAlignment="1"/>
    <xf numFmtId="0" fontId="4" fillId="5" borderId="0" xfId="2" applyFont="1" applyFill="1" applyAlignment="1">
      <alignment horizontal="left"/>
    </xf>
    <xf numFmtId="0" fontId="4" fillId="5" borderId="0" xfId="2" applyFont="1" applyFill="1" applyAlignment="1"/>
    <xf numFmtId="0" fontId="13" fillId="0" borderId="7" xfId="0" applyFont="1" applyFill="1" applyBorder="1"/>
    <xf numFmtId="0" fontId="13" fillId="0" borderId="0" xfId="0" applyFont="1" applyFill="1" applyBorder="1"/>
    <xf numFmtId="0" fontId="0" fillId="0" borderId="7" xfId="0" applyFont="1" applyFill="1" applyBorder="1"/>
    <xf numFmtId="0" fontId="13" fillId="0" borderId="1" xfId="0" applyFont="1" applyFill="1" applyBorder="1"/>
    <xf numFmtId="0" fontId="18" fillId="0" borderId="0" xfId="0" applyFont="1" applyFill="1"/>
    <xf numFmtId="0" fontId="21" fillId="0" borderId="0" xfId="0" applyFont="1" applyFill="1" applyBorder="1"/>
    <xf numFmtId="2" fontId="18" fillId="0" borderId="0" xfId="0" applyNumberFormat="1" applyFont="1" applyFill="1"/>
    <xf numFmtId="0" fontId="18" fillId="0" borderId="7" xfId="0" applyFont="1" applyFill="1" applyBorder="1"/>
    <xf numFmtId="0" fontId="21" fillId="0" borderId="7" xfId="0" applyFont="1" applyFill="1" applyBorder="1"/>
    <xf numFmtId="0" fontId="0" fillId="0" borderId="0" xfId="0" applyFont="1" applyFill="1" applyBorder="1"/>
    <xf numFmtId="2" fontId="0" fillId="0" borderId="0" xfId="0" applyNumberFormat="1" applyFont="1" applyFill="1"/>
    <xf numFmtId="0" fontId="23" fillId="0" borderId="0" xfId="0" applyFont="1" applyFill="1"/>
    <xf numFmtId="0" fontId="0" fillId="0" borderId="0" xfId="0" applyFont="1" applyFill="1"/>
    <xf numFmtId="0" fontId="24" fillId="0" borderId="0" xfId="0" applyFont="1" applyFill="1"/>
    <xf numFmtId="0" fontId="25" fillId="0" borderId="1" xfId="0" applyFont="1" applyFill="1" applyBorder="1" applyAlignment="1">
      <alignment vertical="center"/>
    </xf>
    <xf numFmtId="0" fontId="25" fillId="0" borderId="2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/>
    </xf>
    <xf numFmtId="0" fontId="0" fillId="0" borderId="6" xfId="0" applyFont="1" applyFill="1" applyBorder="1"/>
    <xf numFmtId="3" fontId="0" fillId="0" borderId="6" xfId="0" quotePrefix="1" applyNumberFormat="1" applyFont="1" applyFill="1" applyBorder="1" applyAlignment="1">
      <alignment horizontal="center"/>
    </xf>
    <xf numFmtId="0" fontId="13" fillId="0" borderId="6" xfId="0" applyFont="1" applyFill="1" applyBorder="1"/>
    <xf numFmtId="0" fontId="13" fillId="0" borderId="8" xfId="0" applyFont="1" applyFill="1" applyBorder="1"/>
    <xf numFmtId="164" fontId="0" fillId="0" borderId="0" xfId="0" applyNumberFormat="1" applyFont="1" applyFill="1" applyAlignment="1">
      <alignment horizontal="center"/>
    </xf>
    <xf numFmtId="3" fontId="0" fillId="0" borderId="0" xfId="0" quotePrefix="1" applyNumberFormat="1" applyFont="1" applyFill="1" applyBorder="1" applyAlignment="1">
      <alignment horizontal="center"/>
    </xf>
    <xf numFmtId="0" fontId="13" fillId="0" borderId="3" xfId="0" applyFont="1" applyFill="1" applyBorder="1"/>
    <xf numFmtId="1" fontId="13" fillId="0" borderId="3" xfId="0" applyNumberFormat="1" applyFont="1" applyFill="1" applyBorder="1" applyAlignment="1">
      <alignment horizontal="left"/>
    </xf>
    <xf numFmtId="0" fontId="0" fillId="0" borderId="3" xfId="0" applyFont="1" applyFill="1" applyBorder="1"/>
    <xf numFmtId="1" fontId="0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3" applyNumberFormat="1" applyFont="1" applyFill="1" applyBorder="1"/>
    <xf numFmtId="0" fontId="24" fillId="0" borderId="6" xfId="0" applyFont="1" applyFill="1" applyBorder="1"/>
    <xf numFmtId="0" fontId="24" fillId="0" borderId="6" xfId="0" applyFont="1" applyFill="1" applyBorder="1" applyAlignment="1">
      <alignment horizontal="center"/>
    </xf>
    <xf numFmtId="164" fontId="13" fillId="0" borderId="0" xfId="0" applyNumberFormat="1" applyFont="1" applyFill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0" fontId="24" fillId="0" borderId="7" xfId="0" applyFont="1" applyFill="1" applyBorder="1"/>
    <xf numFmtId="0" fontId="13" fillId="0" borderId="7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9" fontId="0" fillId="0" borderId="9" xfId="3" applyNumberFormat="1" applyFont="1" applyFill="1" applyAlignment="1">
      <alignment horizontal="center"/>
    </xf>
    <xf numFmtId="0" fontId="25" fillId="0" borderId="5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7" xfId="0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9" fontId="0" fillId="0" borderId="0" xfId="0" applyNumberFormat="1" applyFont="1" applyFill="1"/>
    <xf numFmtId="0" fontId="0" fillId="0" borderId="7" xfId="0" applyFont="1" applyFill="1" applyBorder="1" applyAlignment="1">
      <alignment horizontal="left"/>
    </xf>
    <xf numFmtId="2" fontId="0" fillId="0" borderId="7" xfId="0" applyNumberFormat="1" applyFont="1" applyFill="1" applyBorder="1" applyAlignment="1">
      <alignment horizontal="center"/>
    </xf>
    <xf numFmtId="9" fontId="0" fillId="0" borderId="7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8" fillId="0" borderId="0" xfId="0" applyFont="1" applyFill="1"/>
    <xf numFmtId="2" fontId="8" fillId="0" borderId="0" xfId="0" applyNumberFormat="1" applyFont="1" applyFill="1"/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left"/>
    </xf>
    <xf numFmtId="0" fontId="0" fillId="0" borderId="0" xfId="5" applyFont="1" applyFill="1"/>
    <xf numFmtId="9" fontId="0" fillId="0" borderId="10" xfId="4" applyFont="1" applyFill="1" applyBorder="1" applyAlignment="1">
      <alignment horizontal="center"/>
    </xf>
    <xf numFmtId="0" fontId="25" fillId="0" borderId="6" xfId="0" applyFont="1" applyFill="1" applyBorder="1" applyAlignment="1">
      <alignment vertical="center"/>
    </xf>
    <xf numFmtId="9" fontId="0" fillId="0" borderId="9" xfId="4" applyFont="1" applyFill="1" applyBorder="1" applyAlignment="1">
      <alignment horizontal="center"/>
    </xf>
    <xf numFmtId="0" fontId="26" fillId="0" borderId="0" xfId="0" applyFont="1" applyFill="1"/>
    <xf numFmtId="1" fontId="0" fillId="0" borderId="0" xfId="0" applyNumberFormat="1" applyFont="1" applyFill="1"/>
    <xf numFmtId="9" fontId="0" fillId="0" borderId="11" xfId="4" applyFont="1" applyFill="1" applyBorder="1" applyAlignment="1">
      <alignment horizontal="center"/>
    </xf>
    <xf numFmtId="0" fontId="13" fillId="0" borderId="5" xfId="0" applyFont="1" applyFill="1" applyBorder="1" applyAlignment="1">
      <alignment horizontal="left" wrapText="1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center"/>
    </xf>
    <xf numFmtId="0" fontId="26" fillId="0" borderId="7" xfId="0" applyFont="1" applyFill="1" applyBorder="1"/>
    <xf numFmtId="2" fontId="0" fillId="0" borderId="7" xfId="0" applyNumberFormat="1" applyFont="1" applyFill="1" applyBorder="1"/>
    <xf numFmtId="2" fontId="0" fillId="0" borderId="6" xfId="0" applyNumberFormat="1" applyFont="1" applyFill="1" applyBorder="1"/>
    <xf numFmtId="0" fontId="26" fillId="0" borderId="0" xfId="0" applyFont="1" applyFill="1" applyAlignment="1">
      <alignment horizontal="center"/>
    </xf>
    <xf numFmtId="0" fontId="23" fillId="0" borderId="0" xfId="6" applyNumberFormat="1" applyFont="1" applyFill="1"/>
    <xf numFmtId="165" fontId="26" fillId="0" borderId="0" xfId="6" applyFont="1" applyFill="1"/>
    <xf numFmtId="165" fontId="26" fillId="0" borderId="0" xfId="6" applyFont="1" applyFill="1" applyAlignment="1">
      <alignment horizontal="right"/>
    </xf>
    <xf numFmtId="9" fontId="27" fillId="0" borderId="4" xfId="7" applyNumberFormat="1" applyFont="1" applyFill="1" applyBorder="1" applyAlignment="1">
      <alignment horizontal="center"/>
    </xf>
    <xf numFmtId="165" fontId="28" fillId="0" borderId="0" xfId="6" applyFont="1" applyFill="1"/>
    <xf numFmtId="0" fontId="24" fillId="0" borderId="0" xfId="6" applyNumberFormat="1" applyFont="1" applyFill="1"/>
    <xf numFmtId="165" fontId="29" fillId="0" borderId="0" xfId="6" applyFont="1" applyFill="1"/>
    <xf numFmtId="0" fontId="25" fillId="0" borderId="1" xfId="6" applyNumberFormat="1" applyFont="1" applyFill="1" applyBorder="1" applyAlignment="1">
      <alignment horizontal="center" vertical="center"/>
    </xf>
    <xf numFmtId="0" fontId="13" fillId="0" borderId="0" xfId="6" applyNumberFormat="1" applyFont="1" applyFill="1" applyAlignment="1">
      <alignment horizontal="center"/>
    </xf>
    <xf numFmtId="0" fontId="13" fillId="0" borderId="0" xfId="8" applyFont="1" applyFill="1" applyAlignment="1">
      <alignment horizontal="left"/>
    </xf>
    <xf numFmtId="3" fontId="13" fillId="0" borderId="0" xfId="6" quotePrefix="1" applyNumberFormat="1" applyFont="1" applyFill="1" applyAlignment="1">
      <alignment horizontal="center"/>
    </xf>
    <xf numFmtId="0" fontId="13" fillId="0" borderId="0" xfId="6" applyNumberFormat="1" applyFont="1" applyFill="1" applyAlignment="1">
      <alignment horizontal="left"/>
    </xf>
    <xf numFmtId="0" fontId="28" fillId="0" borderId="0" xfId="6" applyNumberFormat="1" applyFont="1" applyFill="1"/>
    <xf numFmtId="0" fontId="28" fillId="0" borderId="0" xfId="6" applyNumberFormat="1" applyFont="1" applyFill="1" applyAlignment="1">
      <alignment horizontal="center"/>
    </xf>
    <xf numFmtId="165" fontId="26" fillId="0" borderId="7" xfId="6" applyFont="1" applyFill="1" applyBorder="1"/>
    <xf numFmtId="165" fontId="26" fillId="0" borderId="12" xfId="6" applyFont="1" applyFill="1" applyBorder="1" applyAlignment="1">
      <alignment horizontal="center"/>
    </xf>
    <xf numFmtId="0" fontId="28" fillId="0" borderId="7" xfId="6" applyNumberFormat="1" applyFont="1" applyFill="1" applyBorder="1"/>
    <xf numFmtId="0" fontId="28" fillId="0" borderId="7" xfId="6" applyNumberFormat="1" applyFont="1" applyFill="1" applyBorder="1" applyAlignment="1">
      <alignment horizontal="center"/>
    </xf>
    <xf numFmtId="2" fontId="28" fillId="0" borderId="7" xfId="6" applyNumberFormat="1" applyFont="1" applyFill="1" applyBorder="1" applyAlignment="1">
      <alignment horizontal="center"/>
    </xf>
    <xf numFmtId="1" fontId="24" fillId="0" borderId="13" xfId="6" applyNumberFormat="1" applyFont="1" applyFill="1" applyBorder="1" applyAlignment="1">
      <alignment horizontal="center"/>
    </xf>
    <xf numFmtId="2" fontId="28" fillId="0" borderId="0" xfId="6" applyNumberFormat="1" applyFont="1" applyFill="1" applyAlignment="1">
      <alignment horizontal="center"/>
    </xf>
    <xf numFmtId="0" fontId="17" fillId="0" borderId="7" xfId="0" applyFont="1" applyFill="1" applyBorder="1"/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0" fontId="17" fillId="0" borderId="0" xfId="0" applyFont="1" applyFill="1" applyBorder="1"/>
    <xf numFmtId="166" fontId="0" fillId="0" borderId="0" xfId="0" applyNumberFormat="1" applyFont="1" applyFill="1"/>
    <xf numFmtId="166" fontId="0" fillId="0" borderId="7" xfId="0" applyNumberFormat="1" applyFont="1" applyFill="1" applyBorder="1"/>
    <xf numFmtId="166" fontId="0" fillId="0" borderId="0" xfId="0" applyNumberFormat="1" applyFont="1" applyFill="1" applyBorder="1"/>
    <xf numFmtId="11" fontId="0" fillId="0" borderId="0" xfId="0" applyNumberFormat="1" applyFont="1" applyFill="1"/>
    <xf numFmtId="2" fontId="13" fillId="0" borderId="0" xfId="0" applyNumberFormat="1" applyFont="1" applyFill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0" borderId="7" xfId="0" applyNumberFormat="1" applyFont="1" applyFill="1" applyBorder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13" fillId="0" borderId="7" xfId="0" applyNumberFormat="1" applyFont="1" applyFill="1" applyBorder="1" applyAlignment="1">
      <alignment horizontal="center"/>
    </xf>
    <xf numFmtId="2" fontId="13" fillId="0" borderId="6" xfId="0" applyNumberFormat="1" applyFont="1" applyFill="1" applyBorder="1"/>
    <xf numFmtId="2" fontId="13" fillId="0" borderId="0" xfId="0" applyNumberFormat="1" applyFont="1" applyFill="1"/>
    <xf numFmtId="2" fontId="13" fillId="0" borderId="7" xfId="0" applyNumberFormat="1" applyFont="1" applyFill="1" applyBorder="1"/>
    <xf numFmtId="166" fontId="13" fillId="0" borderId="0" xfId="0" applyNumberFormat="1" applyFont="1" applyFill="1"/>
    <xf numFmtId="0" fontId="24" fillId="0" borderId="0" xfId="0" applyFont="1" applyFill="1" applyAlignment="1">
      <alignment horizontal="left"/>
    </xf>
    <xf numFmtId="0" fontId="26" fillId="0" borderId="5" xfId="0" applyFont="1" applyFill="1" applyBorder="1" applyAlignment="1">
      <alignment horizontal="center"/>
    </xf>
    <xf numFmtId="0" fontId="26" fillId="0" borderId="0" xfId="9" applyFont="1" applyFill="1" applyAlignment="1">
      <alignment horizontal="center"/>
    </xf>
    <xf numFmtId="0" fontId="24" fillId="0" borderId="0" xfId="9" applyFont="1" applyFill="1" applyAlignment="1">
      <alignment horizontal="center"/>
    </xf>
    <xf numFmtId="2" fontId="26" fillId="0" borderId="0" xfId="9" applyNumberFormat="1" applyFont="1" applyFill="1" applyAlignment="1">
      <alignment horizontal="center"/>
    </xf>
    <xf numFmtId="0" fontId="24" fillId="0" borderId="0" xfId="9" applyFont="1" applyFill="1" applyAlignment="1">
      <alignment horizontal="left"/>
    </xf>
  </cellXfs>
  <cellStyles count="10">
    <cellStyle name="20% - Accent6 46" xfId="7" xr:uid="{5B3D97B0-8AEB-4C27-A098-26539962133D}"/>
    <cellStyle name="Accent2" xfId="2" builtinId="33"/>
    <cellStyle name="Good" xfId="1" builtinId="26"/>
    <cellStyle name="Input" xfId="3" builtinId="20"/>
    <cellStyle name="Normal" xfId="0" builtinId="0"/>
    <cellStyle name="Normal 3" xfId="8" xr:uid="{C13C0AF6-8498-418D-BD4D-CDD3B9177E61}"/>
    <cellStyle name="Normal 3 2" xfId="9" xr:uid="{9B39B6BB-ECEB-4024-8168-91543F9E73AD}"/>
    <cellStyle name="Normal 42" xfId="6" xr:uid="{21890071-A449-459A-821B-89768908FDA6}"/>
    <cellStyle name="Normal 8" xfId="5" xr:uid="{F005E07C-13E5-4C61-9D25-20105F378D75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IMPELC_Prices_CAC!$F$6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IMPELC_Prices_CAC!$C$6:$C$29</c:f>
              <c:strCache>
                <c:ptCount val="24"/>
                <c:pt idx="0">
                  <c:v>RN</c:v>
                </c:pt>
                <c:pt idx="1">
                  <c:v>RL</c:v>
                </c:pt>
                <c:pt idx="2">
                  <c:v>RM</c:v>
                </c:pt>
                <c:pt idx="3">
                  <c:v>RD</c:v>
                </c:pt>
                <c:pt idx="4">
                  <c:v>RA</c:v>
                </c:pt>
                <c:pt idx="5">
                  <c:v>RE</c:v>
                </c:pt>
                <c:pt idx="6">
                  <c:v>SN</c:v>
                </c:pt>
                <c:pt idx="7">
                  <c:v>SL</c:v>
                </c:pt>
                <c:pt idx="8">
                  <c:v>SM</c:v>
                </c:pt>
                <c:pt idx="9">
                  <c:v>SD</c:v>
                </c:pt>
                <c:pt idx="10">
                  <c:v>SA</c:v>
                </c:pt>
                <c:pt idx="11">
                  <c:v>SE</c:v>
                </c:pt>
                <c:pt idx="12">
                  <c:v>FN</c:v>
                </c:pt>
                <c:pt idx="13">
                  <c:v>FL</c:v>
                </c:pt>
                <c:pt idx="14">
                  <c:v>FM</c:v>
                </c:pt>
                <c:pt idx="15">
                  <c:v>FD</c:v>
                </c:pt>
                <c:pt idx="16">
                  <c:v>FA</c:v>
                </c:pt>
                <c:pt idx="17">
                  <c:v>FE</c:v>
                </c:pt>
                <c:pt idx="18">
                  <c:v>WN</c:v>
                </c:pt>
                <c:pt idx="19">
                  <c:v>WL</c:v>
                </c:pt>
                <c:pt idx="20">
                  <c:v>WM</c:v>
                </c:pt>
                <c:pt idx="21">
                  <c:v>WD</c:v>
                </c:pt>
                <c:pt idx="22">
                  <c:v>WA</c:v>
                </c:pt>
                <c:pt idx="23">
                  <c:v>WE</c:v>
                </c:pt>
              </c:strCache>
            </c:strRef>
          </c:cat>
          <c:val>
            <c:numRef>
              <c:f>IMPELC_Prices_CAC!$V$6:$V$29</c:f>
              <c:numCache>
                <c:formatCode>0.0</c:formatCode>
                <c:ptCount val="24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  <c:pt idx="5">
                  <c:v>43.2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13.5</c:v>
                </c:pt>
                <c:pt idx="11">
                  <c:v>13.5</c:v>
                </c:pt>
                <c:pt idx="12">
                  <c:v>48.6</c:v>
                </c:pt>
                <c:pt idx="13">
                  <c:v>48.6</c:v>
                </c:pt>
                <c:pt idx="14">
                  <c:v>48.6</c:v>
                </c:pt>
                <c:pt idx="15">
                  <c:v>48.6</c:v>
                </c:pt>
                <c:pt idx="16">
                  <c:v>48.6</c:v>
                </c:pt>
                <c:pt idx="17">
                  <c:v>48.6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2-4F19-8F9C-CDAF0D6B57D3}"/>
            </c:ext>
          </c:extLst>
        </c:ser>
        <c:ser>
          <c:idx val="1"/>
          <c:order val="1"/>
          <c:tx>
            <c:strRef>
              <c:f>IMPELC_Prices_CAC!$F$30</c:f>
              <c:strCache>
                <c:ptCount val="1"/>
                <c:pt idx="0">
                  <c:v>2030</c:v>
                </c:pt>
              </c:strCache>
            </c:strRef>
          </c:tx>
          <c:marker>
            <c:symbol val="none"/>
          </c:marker>
          <c:val>
            <c:numRef>
              <c:f>IMPELC_Prices_CAC!$V$30:$V$53</c:f>
              <c:numCache>
                <c:formatCode>0.0</c:formatCode>
                <c:ptCount val="24"/>
                <c:pt idx="0">
                  <c:v>55.883806435604022</c:v>
                </c:pt>
                <c:pt idx="1">
                  <c:v>55.883806435604022</c:v>
                </c:pt>
                <c:pt idx="2">
                  <c:v>55.883806435604022</c:v>
                </c:pt>
                <c:pt idx="3">
                  <c:v>55.883806435604022</c:v>
                </c:pt>
                <c:pt idx="4">
                  <c:v>55.883806435604022</c:v>
                </c:pt>
                <c:pt idx="5">
                  <c:v>55.883806435604022</c:v>
                </c:pt>
                <c:pt idx="6">
                  <c:v>17.463689511126255</c:v>
                </c:pt>
                <c:pt idx="7">
                  <c:v>17.463689511126255</c:v>
                </c:pt>
                <c:pt idx="8">
                  <c:v>17.463689511126255</c:v>
                </c:pt>
                <c:pt idx="9">
                  <c:v>17.463689511126255</c:v>
                </c:pt>
                <c:pt idx="10">
                  <c:v>17.463689511126255</c:v>
                </c:pt>
                <c:pt idx="11">
                  <c:v>17.463689511126255</c:v>
                </c:pt>
                <c:pt idx="12">
                  <c:v>62.869282240054517</c:v>
                </c:pt>
                <c:pt idx="13">
                  <c:v>62.869282240054517</c:v>
                </c:pt>
                <c:pt idx="14">
                  <c:v>62.869282240054517</c:v>
                </c:pt>
                <c:pt idx="15">
                  <c:v>62.869282240054517</c:v>
                </c:pt>
                <c:pt idx="16">
                  <c:v>62.869282240054517</c:v>
                </c:pt>
                <c:pt idx="17">
                  <c:v>62.869282240054517</c:v>
                </c:pt>
                <c:pt idx="18">
                  <c:v>69.854758044505019</c:v>
                </c:pt>
                <c:pt idx="19">
                  <c:v>69.854758044505019</c:v>
                </c:pt>
                <c:pt idx="20">
                  <c:v>69.854758044505019</c:v>
                </c:pt>
                <c:pt idx="21">
                  <c:v>69.854758044505019</c:v>
                </c:pt>
                <c:pt idx="22">
                  <c:v>69.854758044505019</c:v>
                </c:pt>
                <c:pt idx="23">
                  <c:v>69.854758044505019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2-4F19-8F9C-CDAF0D6B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4976"/>
        <c:axId val="79456512"/>
      </c:lineChart>
      <c:catAx>
        <c:axId val="7945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56512"/>
        <c:crosses val="autoZero"/>
        <c:auto val="1"/>
        <c:lblAlgn val="ctr"/>
        <c:lblOffset val="100"/>
        <c:noMultiLvlLbl val="0"/>
      </c:catAx>
      <c:valAx>
        <c:axId val="79456512"/>
        <c:scaling>
          <c:orientation val="minMax"/>
        </c:scaling>
        <c:delete val="0"/>
        <c:axPos val="l"/>
        <c:majorGridlines/>
        <c:title>
          <c:tx>
            <c:strRef>
              <c:f>IMPELC_Prices_CAC!$V$5</c:f>
              <c:strCache>
                <c:ptCount val="1"/>
                <c:pt idx="0">
                  <c:v>USD/MWh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794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17318</xdr:colOff>
      <xdr:row>4</xdr:row>
      <xdr:rowOff>22513</xdr:rowOff>
    </xdr:from>
    <xdr:to>
      <xdr:col>33</xdr:col>
      <xdr:colOff>238125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4D99F-18DC-46CC-ABF5-5A0DD8A0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8084ecc5b758040/Desktop/Scen_RES_Potential_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Wind"/>
      <sheetName val="Solar PV"/>
      <sheetName val="Hydro"/>
      <sheetName val="Bioenergy for CHP"/>
      <sheetName val="Biomass Potential"/>
      <sheetName val="Geothermal"/>
      <sheetName val="Data on Biomass"/>
      <sheetName val="General"/>
      <sheetName val="Commodities"/>
      <sheetName val="Attributes_List"/>
      <sheetName val="Balancing Capacity 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 t="str">
            <v>2016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M21"/>
  <sheetViews>
    <sheetView zoomScale="70" zoomScaleNormal="70" workbookViewId="0">
      <selection sqref="A1:XFD1048576"/>
    </sheetView>
  </sheetViews>
  <sheetFormatPr defaultRowHeight="14.4" x14ac:dyDescent="0.3"/>
  <cols>
    <col min="1" max="1" width="8.88671875" style="23"/>
    <col min="2" max="2" width="23.88671875" style="23" customWidth="1"/>
    <col min="3" max="3" width="25.5546875" style="23" bestFit="1" customWidth="1"/>
    <col min="4" max="4" width="13" style="23" bestFit="1" customWidth="1"/>
    <col min="5" max="5" width="29.33203125" style="23" customWidth="1"/>
    <col min="6" max="6" width="44.44140625" style="23" bestFit="1" customWidth="1"/>
    <col min="7" max="7" width="23.33203125" style="23" customWidth="1"/>
    <col min="8" max="8" width="26" style="23" bestFit="1" customWidth="1"/>
    <col min="9" max="11" width="26" style="23" customWidth="1"/>
    <col min="12" max="12" width="8.88671875" style="23"/>
    <col min="13" max="13" width="19.88671875" style="23" bestFit="1" customWidth="1"/>
    <col min="14" max="14" width="21.33203125" style="23" customWidth="1"/>
    <col min="15" max="16384" width="8.88671875" style="23"/>
  </cols>
  <sheetData>
    <row r="2" spans="2:13" ht="17.399999999999999" x14ac:dyDescent="0.3">
      <c r="B2" s="22" t="s">
        <v>105</v>
      </c>
      <c r="C2" s="22"/>
      <c r="D2" s="22"/>
      <c r="E2" s="22"/>
      <c r="F2" s="22"/>
      <c r="G2" s="22"/>
      <c r="H2" s="22"/>
      <c r="I2" s="22"/>
      <c r="J2" s="22"/>
      <c r="K2" s="22"/>
    </row>
    <row r="3" spans="2:13" x14ac:dyDescent="0.3">
      <c r="B3" s="24" t="s">
        <v>1</v>
      </c>
    </row>
    <row r="4" spans="2:13" x14ac:dyDescent="0.3">
      <c r="B4" s="25" t="s">
        <v>2</v>
      </c>
      <c r="C4" s="25" t="s">
        <v>0</v>
      </c>
      <c r="D4" s="25" t="s">
        <v>3</v>
      </c>
      <c r="E4" s="25" t="s">
        <v>4</v>
      </c>
      <c r="F4" s="25" t="s">
        <v>5</v>
      </c>
      <c r="G4" s="26" t="s">
        <v>6</v>
      </c>
      <c r="H4" s="27" t="s">
        <v>93</v>
      </c>
      <c r="I4" s="27" t="s">
        <v>239</v>
      </c>
      <c r="J4" s="27" t="s">
        <v>240</v>
      </c>
      <c r="K4" s="27" t="s">
        <v>241</v>
      </c>
    </row>
    <row r="5" spans="2:13" x14ac:dyDescent="0.3">
      <c r="B5" s="28" t="s">
        <v>7</v>
      </c>
      <c r="C5" s="28" t="s">
        <v>8</v>
      </c>
      <c r="D5" s="28" t="s">
        <v>9</v>
      </c>
      <c r="E5" s="29" t="str">
        <f t="shared" ref="E5:E15" si="0">BASE_YEAR+1&amp;","&amp;END_YEAR</f>
        <v>2018,2050</v>
      </c>
      <c r="F5" s="30" t="s">
        <v>164</v>
      </c>
      <c r="G5" s="31" t="s">
        <v>104</v>
      </c>
      <c r="H5" s="32">
        <v>7.94</v>
      </c>
      <c r="I5" s="32">
        <v>0</v>
      </c>
      <c r="J5" s="32">
        <v>0</v>
      </c>
      <c r="K5" s="32">
        <v>0</v>
      </c>
      <c r="M5" s="23" t="s">
        <v>169</v>
      </c>
    </row>
    <row r="6" spans="2:13" x14ac:dyDescent="0.3">
      <c r="B6" s="20" t="s">
        <v>7</v>
      </c>
      <c r="C6" s="20" t="s">
        <v>8</v>
      </c>
      <c r="D6" s="20" t="s">
        <v>9</v>
      </c>
      <c r="E6" s="33" t="str">
        <f t="shared" si="0"/>
        <v>2018,2050</v>
      </c>
      <c r="F6" s="12" t="s">
        <v>75</v>
      </c>
      <c r="G6" s="34" t="s">
        <v>74</v>
      </c>
      <c r="H6" s="32">
        <v>0</v>
      </c>
      <c r="I6" s="32">
        <v>0</v>
      </c>
      <c r="J6" s="32">
        <v>0</v>
      </c>
      <c r="K6" s="32">
        <v>0</v>
      </c>
      <c r="M6" s="23" t="s">
        <v>169</v>
      </c>
    </row>
    <row r="7" spans="2:13" x14ac:dyDescent="0.3">
      <c r="B7" s="20" t="s">
        <v>7</v>
      </c>
      <c r="C7" s="20" t="s">
        <v>8</v>
      </c>
      <c r="D7" s="20" t="s">
        <v>9</v>
      </c>
      <c r="E7" s="33" t="str">
        <f t="shared" si="0"/>
        <v>2018,2050</v>
      </c>
      <c r="F7" s="12" t="s">
        <v>76</v>
      </c>
      <c r="G7" s="34" t="s">
        <v>73</v>
      </c>
      <c r="H7" s="32">
        <v>0</v>
      </c>
      <c r="I7" s="32">
        <v>0</v>
      </c>
      <c r="J7" s="32">
        <v>0</v>
      </c>
      <c r="K7" s="32">
        <v>0</v>
      </c>
    </row>
    <row r="8" spans="2:13" x14ac:dyDescent="0.3">
      <c r="B8" s="20" t="s">
        <v>7</v>
      </c>
      <c r="C8" s="20" t="s">
        <v>8</v>
      </c>
      <c r="D8" s="20" t="s">
        <v>9</v>
      </c>
      <c r="E8" s="33" t="str">
        <f t="shared" si="0"/>
        <v>2018,2050</v>
      </c>
      <c r="F8" s="12" t="s">
        <v>77</v>
      </c>
      <c r="G8" s="34" t="s">
        <v>72</v>
      </c>
      <c r="H8" s="32">
        <v>0</v>
      </c>
      <c r="I8" s="32">
        <v>0</v>
      </c>
      <c r="J8" s="32">
        <v>0</v>
      </c>
      <c r="K8" s="32">
        <v>0</v>
      </c>
    </row>
    <row r="9" spans="2:13" x14ac:dyDescent="0.3">
      <c r="B9" s="20" t="s">
        <v>7</v>
      </c>
      <c r="C9" s="20" t="s">
        <v>8</v>
      </c>
      <c r="D9" s="20" t="s">
        <v>9</v>
      </c>
      <c r="E9" s="33" t="str">
        <f t="shared" si="0"/>
        <v>2018,2050</v>
      </c>
      <c r="F9" s="12" t="s">
        <v>14</v>
      </c>
      <c r="G9" s="34" t="s">
        <v>11</v>
      </c>
      <c r="H9" s="32">
        <v>0</v>
      </c>
      <c r="I9" s="32">
        <v>0</v>
      </c>
      <c r="J9" s="32">
        <v>0</v>
      </c>
      <c r="K9" s="32">
        <v>0</v>
      </c>
    </row>
    <row r="10" spans="2:13" x14ac:dyDescent="0.3">
      <c r="B10" s="20" t="s">
        <v>7</v>
      </c>
      <c r="C10" s="20" t="s">
        <v>8</v>
      </c>
      <c r="D10" s="20" t="s">
        <v>9</v>
      </c>
      <c r="E10" s="33" t="str">
        <f t="shared" si="0"/>
        <v>2018,2050</v>
      </c>
      <c r="F10" s="12" t="s">
        <v>15</v>
      </c>
      <c r="G10" s="34" t="s">
        <v>12</v>
      </c>
      <c r="H10" s="32">
        <v>0</v>
      </c>
      <c r="I10" s="32">
        <v>0</v>
      </c>
      <c r="J10" s="32">
        <v>0</v>
      </c>
      <c r="K10" s="32">
        <v>0</v>
      </c>
    </row>
    <row r="11" spans="2:13" x14ac:dyDescent="0.3">
      <c r="B11" s="20" t="s">
        <v>7</v>
      </c>
      <c r="C11" s="20" t="s">
        <v>8</v>
      </c>
      <c r="D11" s="20" t="s">
        <v>9</v>
      </c>
      <c r="E11" s="33" t="str">
        <f t="shared" si="0"/>
        <v>2018,2050</v>
      </c>
      <c r="F11" s="12" t="s">
        <v>78</v>
      </c>
      <c r="G11" s="34" t="s">
        <v>80</v>
      </c>
      <c r="H11" s="32">
        <v>0</v>
      </c>
      <c r="I11" s="32">
        <v>0</v>
      </c>
      <c r="J11" s="32">
        <v>0</v>
      </c>
      <c r="K11" s="32">
        <v>0</v>
      </c>
    </row>
    <row r="12" spans="2:13" x14ac:dyDescent="0.3">
      <c r="B12" s="20" t="s">
        <v>7</v>
      </c>
      <c r="C12" s="20" t="s">
        <v>8</v>
      </c>
      <c r="D12" s="20" t="s">
        <v>9</v>
      </c>
      <c r="E12" s="33" t="str">
        <f t="shared" si="0"/>
        <v>2018,2050</v>
      </c>
      <c r="F12" s="12" t="s">
        <v>16</v>
      </c>
      <c r="G12" s="34" t="s">
        <v>13</v>
      </c>
      <c r="H12" s="32">
        <v>0</v>
      </c>
      <c r="I12" s="32">
        <v>0</v>
      </c>
      <c r="J12" s="32">
        <v>0</v>
      </c>
      <c r="K12" s="32">
        <v>0</v>
      </c>
    </row>
    <row r="13" spans="2:13" x14ac:dyDescent="0.3">
      <c r="B13" s="20" t="s">
        <v>7</v>
      </c>
      <c r="C13" s="20" t="s">
        <v>8</v>
      </c>
      <c r="D13" s="20" t="s">
        <v>9</v>
      </c>
      <c r="E13" s="33" t="str">
        <f t="shared" si="0"/>
        <v>2018,2050</v>
      </c>
      <c r="F13" s="12" t="s">
        <v>79</v>
      </c>
      <c r="G13" s="34" t="s">
        <v>71</v>
      </c>
      <c r="H13" s="32">
        <v>0</v>
      </c>
      <c r="I13" s="32">
        <v>0</v>
      </c>
      <c r="J13" s="32">
        <v>0</v>
      </c>
      <c r="K13" s="32">
        <v>0</v>
      </c>
    </row>
    <row r="14" spans="2:13" x14ac:dyDescent="0.3">
      <c r="B14" s="20" t="s">
        <v>7</v>
      </c>
      <c r="C14" s="20" t="s">
        <v>8</v>
      </c>
      <c r="D14" s="20" t="s">
        <v>9</v>
      </c>
      <c r="E14" s="33" t="str">
        <f t="shared" si="0"/>
        <v>2018,2050</v>
      </c>
      <c r="F14" s="12" t="s">
        <v>17</v>
      </c>
      <c r="G14" s="35" t="s">
        <v>70</v>
      </c>
      <c r="H14" s="32">
        <v>0</v>
      </c>
      <c r="I14" s="32">
        <v>0</v>
      </c>
      <c r="J14" s="32">
        <v>0</v>
      </c>
      <c r="K14" s="32">
        <v>0</v>
      </c>
    </row>
    <row r="15" spans="2:13" x14ac:dyDescent="0.3">
      <c r="C15" s="20" t="s">
        <v>8</v>
      </c>
      <c r="D15" s="20" t="s">
        <v>9</v>
      </c>
      <c r="E15" s="33" t="str">
        <f t="shared" si="0"/>
        <v>2018,2050</v>
      </c>
      <c r="F15" s="23" t="s">
        <v>85</v>
      </c>
      <c r="G15" s="36" t="s">
        <v>10</v>
      </c>
      <c r="H15" s="32">
        <v>0</v>
      </c>
      <c r="I15" s="32">
        <v>0</v>
      </c>
      <c r="J15" s="32">
        <v>0</v>
      </c>
      <c r="K15" s="32">
        <v>0</v>
      </c>
    </row>
    <row r="19" spans="2:13" x14ac:dyDescent="0.3">
      <c r="B19" s="24" t="s">
        <v>81</v>
      </c>
    </row>
    <row r="20" spans="2:13" x14ac:dyDescent="0.3">
      <c r="B20" s="25" t="s">
        <v>2</v>
      </c>
      <c r="C20" s="25" t="s">
        <v>0</v>
      </c>
      <c r="D20" s="25" t="s">
        <v>3</v>
      </c>
      <c r="E20" s="25" t="s">
        <v>4</v>
      </c>
      <c r="F20" s="25" t="s">
        <v>5</v>
      </c>
      <c r="G20" s="26" t="s">
        <v>6</v>
      </c>
      <c r="H20" s="27" t="s">
        <v>93</v>
      </c>
      <c r="I20" s="27" t="s">
        <v>239</v>
      </c>
      <c r="J20" s="27" t="s">
        <v>240</v>
      </c>
      <c r="K20" s="27" t="s">
        <v>241</v>
      </c>
    </row>
    <row r="21" spans="2:13" x14ac:dyDescent="0.3">
      <c r="B21" s="28" t="s">
        <v>7</v>
      </c>
      <c r="C21" s="28"/>
      <c r="D21" s="28" t="s">
        <v>82</v>
      </c>
      <c r="E21" s="29"/>
      <c r="F21" s="30" t="s">
        <v>83</v>
      </c>
      <c r="G21" s="31"/>
      <c r="H21" s="37">
        <v>2100</v>
      </c>
      <c r="I21" s="37">
        <v>2100</v>
      </c>
      <c r="J21" s="37">
        <f>I21</f>
        <v>2100</v>
      </c>
      <c r="K21" s="37">
        <f>J21</f>
        <v>2100</v>
      </c>
      <c r="M21" s="23" t="s">
        <v>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35B7-4598-489D-9740-5C14BCE21752}">
  <dimension ref="A1:AB77"/>
  <sheetViews>
    <sheetView tabSelected="1" zoomScale="60" zoomScaleNormal="60" workbookViewId="0">
      <selection sqref="A1:XFD1048576"/>
    </sheetView>
  </sheetViews>
  <sheetFormatPr defaultColWidth="9.109375" defaultRowHeight="13.8" x14ac:dyDescent="0.25"/>
  <cols>
    <col min="1" max="2" width="9.109375" style="38"/>
    <col min="3" max="3" width="13.44140625" style="38" bestFit="1" customWidth="1"/>
    <col min="4" max="4" width="11.88671875" style="38" bestFit="1" customWidth="1"/>
    <col min="5" max="5" width="13.109375" style="38" bestFit="1" customWidth="1"/>
    <col min="6" max="6" width="7.6640625" style="38" bestFit="1" customWidth="1"/>
    <col min="7" max="7" width="20.44140625" style="38" bestFit="1" customWidth="1"/>
    <col min="8" max="8" width="13.88671875" style="38" bestFit="1" customWidth="1"/>
    <col min="9" max="9" width="19.109375" style="38" bestFit="1" customWidth="1"/>
    <col min="10" max="12" width="19.109375" style="38" customWidth="1"/>
    <col min="13" max="13" width="12.88671875" style="38" bestFit="1" customWidth="1"/>
    <col min="14" max="14" width="32" style="38" customWidth="1"/>
    <col min="15" max="15" width="19.44140625" style="38" bestFit="1" customWidth="1"/>
    <col min="16" max="16" width="11.5546875" style="38" bestFit="1" customWidth="1"/>
    <col min="17" max="17" width="12.5546875" style="38" bestFit="1" customWidth="1"/>
    <col min="18" max="18" width="13.109375" style="38" bestFit="1" customWidth="1"/>
    <col min="19" max="20" width="12.88671875" style="38" bestFit="1" customWidth="1"/>
    <col min="21" max="21" width="9.109375" style="38"/>
    <col min="22" max="22" width="19" style="39" customWidth="1"/>
    <col min="23" max="16384" width="9.109375" style="38"/>
  </cols>
  <sheetData>
    <row r="1" spans="1:22" ht="17.399999999999999" x14ac:dyDescent="0.3">
      <c r="A1" s="22" t="s">
        <v>284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4" spans="1:22" x14ac:dyDescent="0.25">
      <c r="C4" s="24" t="s">
        <v>1</v>
      </c>
      <c r="M4" s="124"/>
      <c r="N4" s="50"/>
      <c r="O4" s="50"/>
      <c r="P4" s="50"/>
      <c r="Q4" s="50"/>
      <c r="R4" s="50"/>
      <c r="S4" s="50"/>
      <c r="T4" s="50"/>
    </row>
    <row r="5" spans="1:22" ht="14.4" thickBot="1" x14ac:dyDescent="0.3">
      <c r="C5" s="27" t="s">
        <v>2</v>
      </c>
      <c r="D5" s="27" t="s">
        <v>0</v>
      </c>
      <c r="E5" s="27" t="s">
        <v>3</v>
      </c>
      <c r="F5" s="27" t="s">
        <v>4</v>
      </c>
      <c r="G5" s="27" t="s">
        <v>285</v>
      </c>
      <c r="H5" s="27" t="s">
        <v>286</v>
      </c>
      <c r="I5" s="27" t="s">
        <v>241</v>
      </c>
      <c r="J5" s="27" t="s">
        <v>93</v>
      </c>
      <c r="K5" s="27" t="s">
        <v>239</v>
      </c>
      <c r="L5" s="27" t="s">
        <v>240</v>
      </c>
      <c r="M5" s="27" t="s">
        <v>287</v>
      </c>
      <c r="N5" s="27" t="s">
        <v>5</v>
      </c>
      <c r="O5" s="27" t="s">
        <v>86</v>
      </c>
      <c r="P5" s="27" t="s">
        <v>288</v>
      </c>
      <c r="Q5" s="27" t="s">
        <v>289</v>
      </c>
      <c r="R5" s="27" t="s">
        <v>290</v>
      </c>
      <c r="S5" s="27" t="s">
        <v>6</v>
      </c>
      <c r="T5" s="27" t="s">
        <v>291</v>
      </c>
      <c r="V5" s="125" t="s">
        <v>292</v>
      </c>
    </row>
    <row r="6" spans="1:22" x14ac:dyDescent="0.25">
      <c r="C6" s="38" t="s">
        <v>293</v>
      </c>
      <c r="E6" s="38" t="s">
        <v>294</v>
      </c>
      <c r="F6" s="38">
        <v>2017</v>
      </c>
      <c r="I6" s="120">
        <f>AB20*0.8</f>
        <v>12</v>
      </c>
      <c r="J6" s="121">
        <f>I6</f>
        <v>12</v>
      </c>
      <c r="K6" s="121">
        <f>AB20</f>
        <v>15</v>
      </c>
      <c r="L6" s="121">
        <f>AB20</f>
        <v>15</v>
      </c>
      <c r="N6" s="38" t="s">
        <v>295</v>
      </c>
      <c r="O6" s="38" t="s">
        <v>296</v>
      </c>
      <c r="S6" s="38" t="s">
        <v>313</v>
      </c>
      <c r="V6" s="116">
        <f>I6*3.6</f>
        <v>43.2</v>
      </c>
    </row>
    <row r="7" spans="1:22" x14ac:dyDescent="0.25">
      <c r="C7" s="38" t="s">
        <v>297</v>
      </c>
      <c r="E7" s="38" t="str">
        <f>E6</f>
        <v>IRE_PRICE</v>
      </c>
      <c r="F7" s="38">
        <f>F6</f>
        <v>2017</v>
      </c>
      <c r="I7" s="121">
        <f>I6</f>
        <v>12</v>
      </c>
      <c r="J7" s="121">
        <f t="shared" ref="J7:J70" si="0">I7</f>
        <v>12</v>
      </c>
      <c r="K7" s="121">
        <f>K6</f>
        <v>15</v>
      </c>
      <c r="L7" s="121">
        <f>L6</f>
        <v>15</v>
      </c>
      <c r="N7" s="38" t="str">
        <f>N6</f>
        <v>IMPELCR*</v>
      </c>
      <c r="O7" s="38" t="str">
        <f>O6</f>
        <v>Imp</v>
      </c>
      <c r="S7" s="38" t="str">
        <f>S6</f>
        <v>ELCHIGG</v>
      </c>
      <c r="V7" s="116">
        <f t="shared" ref="V7:V70" si="1">I7*3.6</f>
        <v>43.2</v>
      </c>
    </row>
    <row r="8" spans="1:22" x14ac:dyDescent="0.25">
      <c r="C8" s="38" t="s">
        <v>298</v>
      </c>
      <c r="E8" s="38" t="str">
        <f t="shared" ref="E8:F23" si="2">E7</f>
        <v>IRE_PRICE</v>
      </c>
      <c r="F8" s="38">
        <f t="shared" si="2"/>
        <v>2017</v>
      </c>
      <c r="I8" s="121">
        <f>I7</f>
        <v>12</v>
      </c>
      <c r="J8" s="121">
        <f t="shared" si="0"/>
        <v>12</v>
      </c>
      <c r="K8" s="121">
        <f t="shared" ref="K8:L23" si="3">K7</f>
        <v>15</v>
      </c>
      <c r="L8" s="121">
        <f t="shared" si="3"/>
        <v>15</v>
      </c>
      <c r="N8" s="38" t="str">
        <f t="shared" ref="N8:O23" si="4">N7</f>
        <v>IMPELCR*</v>
      </c>
      <c r="O8" s="38" t="str">
        <f t="shared" si="4"/>
        <v>Imp</v>
      </c>
      <c r="S8" s="38" t="str">
        <f t="shared" ref="S8:S29" si="5">S7</f>
        <v>ELCHIGG</v>
      </c>
      <c r="V8" s="116">
        <f t="shared" si="1"/>
        <v>43.2</v>
      </c>
    </row>
    <row r="9" spans="1:22" x14ac:dyDescent="0.25">
      <c r="C9" s="38" t="s">
        <v>299</v>
      </c>
      <c r="E9" s="38" t="str">
        <f t="shared" si="2"/>
        <v>IRE_PRICE</v>
      </c>
      <c r="F9" s="38">
        <f t="shared" si="2"/>
        <v>2017</v>
      </c>
      <c r="I9" s="121">
        <f>I8</f>
        <v>12</v>
      </c>
      <c r="J9" s="121">
        <f t="shared" si="0"/>
        <v>12</v>
      </c>
      <c r="K9" s="121">
        <f t="shared" si="3"/>
        <v>15</v>
      </c>
      <c r="L9" s="121">
        <f t="shared" si="3"/>
        <v>15</v>
      </c>
      <c r="N9" s="38" t="str">
        <f t="shared" si="4"/>
        <v>IMPELCR*</v>
      </c>
      <c r="O9" s="38" t="str">
        <f t="shared" si="4"/>
        <v>Imp</v>
      </c>
      <c r="S9" s="38" t="str">
        <f t="shared" si="5"/>
        <v>ELCHIGG</v>
      </c>
      <c r="V9" s="116">
        <f t="shared" si="1"/>
        <v>43.2</v>
      </c>
    </row>
    <row r="10" spans="1:22" x14ac:dyDescent="0.25">
      <c r="C10" s="38" t="s">
        <v>300</v>
      </c>
      <c r="E10" s="38" t="str">
        <f t="shared" si="2"/>
        <v>IRE_PRICE</v>
      </c>
      <c r="F10" s="38">
        <f t="shared" si="2"/>
        <v>2017</v>
      </c>
      <c r="I10" s="121">
        <f>I9</f>
        <v>12</v>
      </c>
      <c r="J10" s="121">
        <f t="shared" si="0"/>
        <v>12</v>
      </c>
      <c r="K10" s="121">
        <f t="shared" si="3"/>
        <v>15</v>
      </c>
      <c r="L10" s="121">
        <f t="shared" si="3"/>
        <v>15</v>
      </c>
      <c r="N10" s="38" t="str">
        <f t="shared" si="4"/>
        <v>IMPELCR*</v>
      </c>
      <c r="O10" s="38" t="str">
        <f t="shared" si="4"/>
        <v>Imp</v>
      </c>
      <c r="S10" s="38" t="str">
        <f t="shared" si="5"/>
        <v>ELCHIGG</v>
      </c>
      <c r="V10" s="116">
        <f t="shared" si="1"/>
        <v>43.2</v>
      </c>
    </row>
    <row r="11" spans="1:22" x14ac:dyDescent="0.25">
      <c r="C11" s="38" t="s">
        <v>301</v>
      </c>
      <c r="E11" s="38" t="str">
        <f t="shared" si="2"/>
        <v>IRE_PRICE</v>
      </c>
      <c r="F11" s="38">
        <f t="shared" si="2"/>
        <v>2017</v>
      </c>
      <c r="I11" s="121">
        <f>I10</f>
        <v>12</v>
      </c>
      <c r="J11" s="121">
        <f t="shared" si="0"/>
        <v>12</v>
      </c>
      <c r="K11" s="121">
        <f t="shared" si="3"/>
        <v>15</v>
      </c>
      <c r="L11" s="121">
        <f t="shared" si="3"/>
        <v>15</v>
      </c>
      <c r="N11" s="38" t="str">
        <f t="shared" si="4"/>
        <v>IMPELCR*</v>
      </c>
      <c r="O11" s="38" t="str">
        <f t="shared" si="4"/>
        <v>Imp</v>
      </c>
      <c r="S11" s="38" t="str">
        <f t="shared" si="5"/>
        <v>ELCHIGG</v>
      </c>
      <c r="V11" s="116">
        <f t="shared" si="1"/>
        <v>43.2</v>
      </c>
    </row>
    <row r="12" spans="1:22" x14ac:dyDescent="0.25">
      <c r="C12" s="38" t="s">
        <v>302</v>
      </c>
      <c r="E12" s="38" t="str">
        <f t="shared" si="2"/>
        <v>IRE_PRICE</v>
      </c>
      <c r="F12" s="38">
        <f t="shared" si="2"/>
        <v>2017</v>
      </c>
      <c r="I12" s="121">
        <f>AB20*0.25</f>
        <v>3.75</v>
      </c>
      <c r="J12" s="121">
        <f t="shared" si="0"/>
        <v>3.75</v>
      </c>
      <c r="K12" s="121">
        <f t="shared" si="3"/>
        <v>15</v>
      </c>
      <c r="L12" s="121">
        <f t="shared" si="3"/>
        <v>15</v>
      </c>
      <c r="N12" s="38" t="str">
        <f t="shared" si="4"/>
        <v>IMPELCR*</v>
      </c>
      <c r="O12" s="38" t="str">
        <f t="shared" si="4"/>
        <v>Imp</v>
      </c>
      <c r="S12" s="38" t="str">
        <f t="shared" si="5"/>
        <v>ELCHIGG</v>
      </c>
      <c r="V12" s="116">
        <f t="shared" si="1"/>
        <v>13.5</v>
      </c>
    </row>
    <row r="13" spans="1:22" x14ac:dyDescent="0.25">
      <c r="C13" s="38" t="s">
        <v>303</v>
      </c>
      <c r="E13" s="38" t="str">
        <f t="shared" si="2"/>
        <v>IRE_PRICE</v>
      </c>
      <c r="F13" s="38">
        <f t="shared" si="2"/>
        <v>2017</v>
      </c>
      <c r="I13" s="121">
        <f>I12</f>
        <v>3.75</v>
      </c>
      <c r="J13" s="121">
        <f t="shared" si="0"/>
        <v>3.75</v>
      </c>
      <c r="K13" s="121">
        <f t="shared" si="3"/>
        <v>15</v>
      </c>
      <c r="L13" s="121">
        <f t="shared" si="3"/>
        <v>15</v>
      </c>
      <c r="N13" s="38" t="str">
        <f t="shared" si="4"/>
        <v>IMPELCR*</v>
      </c>
      <c r="O13" s="38" t="str">
        <f t="shared" si="4"/>
        <v>Imp</v>
      </c>
      <c r="S13" s="38" t="str">
        <f t="shared" si="5"/>
        <v>ELCHIGG</v>
      </c>
      <c r="V13" s="116">
        <f t="shared" si="1"/>
        <v>13.5</v>
      </c>
    </row>
    <row r="14" spans="1:22" x14ac:dyDescent="0.25">
      <c r="C14" s="38" t="s">
        <v>304</v>
      </c>
      <c r="E14" s="38" t="str">
        <f t="shared" si="2"/>
        <v>IRE_PRICE</v>
      </c>
      <c r="F14" s="38">
        <f t="shared" si="2"/>
        <v>2017</v>
      </c>
      <c r="I14" s="121">
        <f>I13</f>
        <v>3.75</v>
      </c>
      <c r="J14" s="121">
        <f t="shared" si="0"/>
        <v>3.75</v>
      </c>
      <c r="K14" s="121">
        <f t="shared" si="3"/>
        <v>15</v>
      </c>
      <c r="L14" s="121">
        <f t="shared" si="3"/>
        <v>15</v>
      </c>
      <c r="N14" s="38" t="str">
        <f t="shared" si="4"/>
        <v>IMPELCR*</v>
      </c>
      <c r="O14" s="38" t="str">
        <f t="shared" si="4"/>
        <v>Imp</v>
      </c>
      <c r="S14" s="38" t="str">
        <f t="shared" si="5"/>
        <v>ELCHIGG</v>
      </c>
      <c r="V14" s="116">
        <f t="shared" si="1"/>
        <v>13.5</v>
      </c>
    </row>
    <row r="15" spans="1:22" x14ac:dyDescent="0.25">
      <c r="C15" s="38" t="s">
        <v>305</v>
      </c>
      <c r="E15" s="38" t="str">
        <f t="shared" si="2"/>
        <v>IRE_PRICE</v>
      </c>
      <c r="F15" s="38">
        <f t="shared" si="2"/>
        <v>2017</v>
      </c>
      <c r="I15" s="121">
        <f>I14</f>
        <v>3.75</v>
      </c>
      <c r="J15" s="121">
        <f t="shared" si="0"/>
        <v>3.75</v>
      </c>
      <c r="K15" s="121">
        <f t="shared" si="3"/>
        <v>15</v>
      </c>
      <c r="L15" s="121">
        <f t="shared" si="3"/>
        <v>15</v>
      </c>
      <c r="N15" s="38" t="str">
        <f t="shared" si="4"/>
        <v>IMPELCR*</v>
      </c>
      <c r="O15" s="38" t="str">
        <f t="shared" si="4"/>
        <v>Imp</v>
      </c>
      <c r="S15" s="38" t="str">
        <f t="shared" si="5"/>
        <v>ELCHIGG</v>
      </c>
      <c r="V15" s="116">
        <f t="shared" si="1"/>
        <v>13.5</v>
      </c>
    </row>
    <row r="16" spans="1:22" x14ac:dyDescent="0.25">
      <c r="C16" s="38" t="s">
        <v>306</v>
      </c>
      <c r="E16" s="38" t="str">
        <f t="shared" si="2"/>
        <v>IRE_PRICE</v>
      </c>
      <c r="F16" s="38">
        <f t="shared" si="2"/>
        <v>2017</v>
      </c>
      <c r="I16" s="121">
        <f>I15</f>
        <v>3.75</v>
      </c>
      <c r="J16" s="121">
        <f t="shared" si="0"/>
        <v>3.75</v>
      </c>
      <c r="K16" s="121">
        <f t="shared" si="3"/>
        <v>15</v>
      </c>
      <c r="L16" s="121">
        <f t="shared" si="3"/>
        <v>15</v>
      </c>
      <c r="N16" s="38" t="str">
        <f t="shared" si="4"/>
        <v>IMPELCR*</v>
      </c>
      <c r="O16" s="38" t="str">
        <f t="shared" si="4"/>
        <v>Imp</v>
      </c>
      <c r="S16" s="38" t="str">
        <f t="shared" si="5"/>
        <v>ELCHIGG</v>
      </c>
      <c r="V16" s="116">
        <f t="shared" si="1"/>
        <v>13.5</v>
      </c>
    </row>
    <row r="17" spans="3:28" x14ac:dyDescent="0.25">
      <c r="C17" s="38" t="s">
        <v>307</v>
      </c>
      <c r="E17" s="38" t="str">
        <f t="shared" si="2"/>
        <v>IRE_PRICE</v>
      </c>
      <c r="F17" s="38">
        <f t="shared" si="2"/>
        <v>2017</v>
      </c>
      <c r="I17" s="121">
        <f>I16</f>
        <v>3.75</v>
      </c>
      <c r="J17" s="121">
        <f t="shared" si="0"/>
        <v>3.75</v>
      </c>
      <c r="K17" s="121">
        <f t="shared" si="3"/>
        <v>15</v>
      </c>
      <c r="L17" s="121">
        <f t="shared" si="3"/>
        <v>15</v>
      </c>
      <c r="N17" s="38" t="str">
        <f t="shared" si="4"/>
        <v>IMPELCR*</v>
      </c>
      <c r="O17" s="38" t="str">
        <f t="shared" si="4"/>
        <v>Imp</v>
      </c>
      <c r="S17" s="38" t="str">
        <f t="shared" si="5"/>
        <v>ELCHIGG</v>
      </c>
      <c r="V17" s="116">
        <f t="shared" si="1"/>
        <v>13.5</v>
      </c>
    </row>
    <row r="18" spans="3:28" x14ac:dyDescent="0.25">
      <c r="C18" s="38" t="s">
        <v>308</v>
      </c>
      <c r="E18" s="38" t="str">
        <f t="shared" si="2"/>
        <v>IRE_PRICE</v>
      </c>
      <c r="F18" s="38">
        <f t="shared" si="2"/>
        <v>2017</v>
      </c>
      <c r="I18" s="121">
        <f>AB20*0.9</f>
        <v>13.5</v>
      </c>
      <c r="J18" s="121">
        <f t="shared" si="0"/>
        <v>13.5</v>
      </c>
      <c r="K18" s="121">
        <f t="shared" si="3"/>
        <v>15</v>
      </c>
      <c r="L18" s="121">
        <f t="shared" si="3"/>
        <v>15</v>
      </c>
      <c r="N18" s="38" t="str">
        <f t="shared" si="4"/>
        <v>IMPELCR*</v>
      </c>
      <c r="O18" s="38" t="str">
        <f t="shared" si="4"/>
        <v>Imp</v>
      </c>
      <c r="S18" s="38" t="str">
        <f t="shared" si="5"/>
        <v>ELCHIGG</v>
      </c>
      <c r="V18" s="116">
        <f t="shared" si="1"/>
        <v>48.6</v>
      </c>
    </row>
    <row r="19" spans="3:28" x14ac:dyDescent="0.25">
      <c r="C19" s="38" t="s">
        <v>309</v>
      </c>
      <c r="E19" s="38" t="str">
        <f t="shared" si="2"/>
        <v>IRE_PRICE</v>
      </c>
      <c r="F19" s="38">
        <f t="shared" si="2"/>
        <v>2017</v>
      </c>
      <c r="I19" s="121">
        <f>I18</f>
        <v>13.5</v>
      </c>
      <c r="J19" s="121">
        <f t="shared" si="0"/>
        <v>13.5</v>
      </c>
      <c r="K19" s="121">
        <f t="shared" si="3"/>
        <v>15</v>
      </c>
      <c r="L19" s="121">
        <f t="shared" si="3"/>
        <v>15</v>
      </c>
      <c r="N19" s="38" t="str">
        <f t="shared" si="4"/>
        <v>IMPELCR*</v>
      </c>
      <c r="O19" s="38" t="str">
        <f t="shared" si="4"/>
        <v>Imp</v>
      </c>
      <c r="S19" s="38" t="str">
        <f t="shared" si="5"/>
        <v>ELCHIGG</v>
      </c>
      <c r="V19" s="116">
        <f t="shared" si="1"/>
        <v>48.6</v>
      </c>
      <c r="X19" s="38" t="s">
        <v>310</v>
      </c>
    </row>
    <row r="20" spans="3:28" x14ac:dyDescent="0.25">
      <c r="C20" s="38" t="s">
        <v>311</v>
      </c>
      <c r="E20" s="38" t="str">
        <f t="shared" si="2"/>
        <v>IRE_PRICE</v>
      </c>
      <c r="F20" s="38">
        <f t="shared" si="2"/>
        <v>2017</v>
      </c>
      <c r="I20" s="121">
        <f t="shared" ref="I20:I23" si="6">I19</f>
        <v>13.5</v>
      </c>
      <c r="J20" s="121">
        <f t="shared" si="0"/>
        <v>13.5</v>
      </c>
      <c r="K20" s="121">
        <f t="shared" si="3"/>
        <v>15</v>
      </c>
      <c r="L20" s="121">
        <f t="shared" si="3"/>
        <v>15</v>
      </c>
      <c r="N20" s="38" t="str">
        <f t="shared" si="4"/>
        <v>IMPELCR*</v>
      </c>
      <c r="O20" s="38" t="str">
        <f t="shared" si="4"/>
        <v>Imp</v>
      </c>
      <c r="S20" s="38" t="str">
        <f t="shared" si="5"/>
        <v>ELCHIGG</v>
      </c>
      <c r="V20" s="116">
        <f t="shared" si="1"/>
        <v>48.6</v>
      </c>
      <c r="X20" s="126" t="s">
        <v>38</v>
      </c>
      <c r="Y20" s="127">
        <v>2017</v>
      </c>
      <c r="Z20" s="126" t="s">
        <v>312</v>
      </c>
      <c r="AA20" s="126" t="s">
        <v>313</v>
      </c>
      <c r="AB20" s="128">
        <v>15</v>
      </c>
    </row>
    <row r="21" spans="3:28" x14ac:dyDescent="0.25">
      <c r="C21" s="38" t="s">
        <v>314</v>
      </c>
      <c r="E21" s="38" t="str">
        <f t="shared" si="2"/>
        <v>IRE_PRICE</v>
      </c>
      <c r="F21" s="38">
        <f t="shared" si="2"/>
        <v>2017</v>
      </c>
      <c r="I21" s="121">
        <f t="shared" si="6"/>
        <v>13.5</v>
      </c>
      <c r="J21" s="121">
        <f t="shared" si="0"/>
        <v>13.5</v>
      </c>
      <c r="K21" s="121">
        <f t="shared" si="3"/>
        <v>15</v>
      </c>
      <c r="L21" s="121">
        <f t="shared" si="3"/>
        <v>15</v>
      </c>
      <c r="N21" s="38" t="str">
        <f t="shared" si="4"/>
        <v>IMPELCR*</v>
      </c>
      <c r="O21" s="38" t="str">
        <f t="shared" si="4"/>
        <v>Imp</v>
      </c>
      <c r="S21" s="38" t="str">
        <f t="shared" si="5"/>
        <v>ELCHIGG</v>
      </c>
      <c r="V21" s="116">
        <f t="shared" si="1"/>
        <v>48.6</v>
      </c>
      <c r="X21" s="126" t="s">
        <v>38</v>
      </c>
      <c r="Y21" s="127">
        <v>2020</v>
      </c>
      <c r="Z21" s="126" t="s">
        <v>312</v>
      </c>
      <c r="AA21" s="126" t="s">
        <v>313</v>
      </c>
      <c r="AB21" s="128">
        <v>15.918120000000002</v>
      </c>
    </row>
    <row r="22" spans="3:28" x14ac:dyDescent="0.25">
      <c r="C22" s="38" t="s">
        <v>315</v>
      </c>
      <c r="E22" s="38" t="str">
        <f t="shared" si="2"/>
        <v>IRE_PRICE</v>
      </c>
      <c r="F22" s="38">
        <f t="shared" si="2"/>
        <v>2017</v>
      </c>
      <c r="I22" s="121">
        <f t="shared" si="6"/>
        <v>13.5</v>
      </c>
      <c r="J22" s="121">
        <f t="shared" si="0"/>
        <v>13.5</v>
      </c>
      <c r="K22" s="121">
        <f t="shared" si="3"/>
        <v>15</v>
      </c>
      <c r="L22" s="121">
        <f t="shared" si="3"/>
        <v>15</v>
      </c>
      <c r="N22" s="38" t="str">
        <f t="shared" si="4"/>
        <v>IMPELCR*</v>
      </c>
      <c r="O22" s="38" t="str">
        <f t="shared" si="4"/>
        <v>Imp</v>
      </c>
      <c r="S22" s="38" t="str">
        <f t="shared" si="5"/>
        <v>ELCHIGG</v>
      </c>
      <c r="V22" s="116">
        <f t="shared" si="1"/>
        <v>48.6</v>
      </c>
      <c r="X22" s="126" t="s">
        <v>38</v>
      </c>
      <c r="Y22" s="127">
        <v>2025</v>
      </c>
      <c r="Z22" s="126" t="s">
        <v>312</v>
      </c>
      <c r="AA22" s="126" t="s">
        <v>313</v>
      </c>
      <c r="AB22" s="128">
        <v>17.574890715033991</v>
      </c>
    </row>
    <row r="23" spans="3:28" x14ac:dyDescent="0.25">
      <c r="C23" s="38" t="s">
        <v>316</v>
      </c>
      <c r="E23" s="38" t="str">
        <f t="shared" si="2"/>
        <v>IRE_PRICE</v>
      </c>
      <c r="F23" s="38">
        <f t="shared" si="2"/>
        <v>2017</v>
      </c>
      <c r="I23" s="121">
        <f t="shared" si="6"/>
        <v>13.5</v>
      </c>
      <c r="J23" s="121">
        <f t="shared" si="0"/>
        <v>13.5</v>
      </c>
      <c r="K23" s="121">
        <f t="shared" si="3"/>
        <v>15</v>
      </c>
      <c r="L23" s="121">
        <f t="shared" si="3"/>
        <v>15</v>
      </c>
      <c r="N23" s="38" t="str">
        <f t="shared" si="4"/>
        <v>IMPELCR*</v>
      </c>
      <c r="O23" s="38" t="str">
        <f t="shared" si="4"/>
        <v>Imp</v>
      </c>
      <c r="S23" s="38" t="str">
        <f t="shared" si="5"/>
        <v>ELCHIGG</v>
      </c>
      <c r="V23" s="116">
        <f t="shared" si="1"/>
        <v>48.6</v>
      </c>
      <c r="X23" s="126" t="s">
        <v>38</v>
      </c>
      <c r="Y23" s="127">
        <v>2030</v>
      </c>
      <c r="Z23" s="126" t="s">
        <v>312</v>
      </c>
      <c r="AA23" s="126" t="s">
        <v>313</v>
      </c>
      <c r="AB23" s="128">
        <v>19.40409945680695</v>
      </c>
    </row>
    <row r="24" spans="3:28" x14ac:dyDescent="0.25">
      <c r="C24" s="38" t="s">
        <v>317</v>
      </c>
      <c r="E24" s="38" t="str">
        <f t="shared" ref="E24:F29" si="7">E23</f>
        <v>IRE_PRICE</v>
      </c>
      <c r="F24" s="38">
        <f t="shared" si="7"/>
        <v>2017</v>
      </c>
      <c r="I24" s="121">
        <f>AB20</f>
        <v>15</v>
      </c>
      <c r="J24" s="121">
        <f t="shared" si="0"/>
        <v>15</v>
      </c>
      <c r="K24" s="121">
        <f t="shared" ref="K24:L29" si="8">K23</f>
        <v>15</v>
      </c>
      <c r="L24" s="121">
        <f t="shared" si="8"/>
        <v>15</v>
      </c>
      <c r="N24" s="38" t="str">
        <f t="shared" ref="N24:O29" si="9">N23</f>
        <v>IMPELCR*</v>
      </c>
      <c r="O24" s="38" t="str">
        <f t="shared" si="9"/>
        <v>Imp</v>
      </c>
      <c r="S24" s="38" t="str">
        <f t="shared" si="5"/>
        <v>ELCHIGG</v>
      </c>
      <c r="V24" s="116">
        <f t="shared" si="1"/>
        <v>54</v>
      </c>
      <c r="X24" s="126" t="s">
        <v>38</v>
      </c>
      <c r="Y24" s="127">
        <v>2035</v>
      </c>
      <c r="Z24" s="126" t="s">
        <v>312</v>
      </c>
      <c r="AA24" s="126" t="s">
        <v>313</v>
      </c>
      <c r="AB24" s="128">
        <v>21.423693713644102</v>
      </c>
    </row>
    <row r="25" spans="3:28" x14ac:dyDescent="0.25">
      <c r="C25" s="38" t="s">
        <v>318</v>
      </c>
      <c r="E25" s="38" t="str">
        <f t="shared" si="7"/>
        <v>IRE_PRICE</v>
      </c>
      <c r="F25" s="38">
        <f t="shared" si="7"/>
        <v>2017</v>
      </c>
      <c r="I25" s="121">
        <f>I24</f>
        <v>15</v>
      </c>
      <c r="J25" s="121">
        <f t="shared" si="0"/>
        <v>15</v>
      </c>
      <c r="K25" s="121">
        <f t="shared" si="8"/>
        <v>15</v>
      </c>
      <c r="L25" s="121">
        <f t="shared" si="8"/>
        <v>15</v>
      </c>
      <c r="N25" s="38" t="str">
        <f t="shared" si="9"/>
        <v>IMPELCR*</v>
      </c>
      <c r="O25" s="38" t="str">
        <f t="shared" si="9"/>
        <v>Imp</v>
      </c>
      <c r="S25" s="38" t="str">
        <f t="shared" si="5"/>
        <v>ELCHIGG</v>
      </c>
      <c r="V25" s="116">
        <f t="shared" si="1"/>
        <v>54</v>
      </c>
      <c r="X25" s="126" t="s">
        <v>38</v>
      </c>
      <c r="Y25" s="127">
        <v>2040</v>
      </c>
      <c r="Z25" s="126" t="s">
        <v>312</v>
      </c>
      <c r="AA25" s="126" t="s">
        <v>313</v>
      </c>
      <c r="AB25" s="128">
        <v>23.653488962870973</v>
      </c>
    </row>
    <row r="26" spans="3:28" x14ac:dyDescent="0.25">
      <c r="C26" s="38" t="s">
        <v>319</v>
      </c>
      <c r="E26" s="38" t="str">
        <f t="shared" si="7"/>
        <v>IRE_PRICE</v>
      </c>
      <c r="F26" s="38">
        <f t="shared" si="7"/>
        <v>2017</v>
      </c>
      <c r="I26" s="121">
        <f>I25</f>
        <v>15</v>
      </c>
      <c r="J26" s="121">
        <f t="shared" si="0"/>
        <v>15</v>
      </c>
      <c r="K26" s="121">
        <f t="shared" si="8"/>
        <v>15</v>
      </c>
      <c r="L26" s="121">
        <f t="shared" si="8"/>
        <v>15</v>
      </c>
      <c r="N26" s="38" t="str">
        <f t="shared" si="9"/>
        <v>IMPELCR*</v>
      </c>
      <c r="O26" s="38" t="str">
        <f t="shared" si="9"/>
        <v>Imp</v>
      </c>
      <c r="S26" s="38" t="str">
        <f t="shared" si="5"/>
        <v>ELCHIGG</v>
      </c>
      <c r="V26" s="116">
        <f t="shared" si="1"/>
        <v>54</v>
      </c>
      <c r="X26" s="126" t="s">
        <v>38</v>
      </c>
      <c r="Y26" s="127">
        <v>2045</v>
      </c>
      <c r="Z26" s="126" t="s">
        <v>312</v>
      </c>
      <c r="AA26" s="126" t="s">
        <v>313</v>
      </c>
      <c r="AB26" s="128">
        <v>26.11536309260892</v>
      </c>
    </row>
    <row r="27" spans="3:28" x14ac:dyDescent="0.25">
      <c r="C27" s="38" t="s">
        <v>320</v>
      </c>
      <c r="E27" s="38" t="str">
        <f t="shared" si="7"/>
        <v>IRE_PRICE</v>
      </c>
      <c r="F27" s="38">
        <f t="shared" si="7"/>
        <v>2017</v>
      </c>
      <c r="I27" s="121">
        <f>I26</f>
        <v>15</v>
      </c>
      <c r="J27" s="121">
        <f t="shared" si="0"/>
        <v>15</v>
      </c>
      <c r="K27" s="121">
        <f t="shared" si="8"/>
        <v>15</v>
      </c>
      <c r="L27" s="121">
        <f t="shared" si="8"/>
        <v>15</v>
      </c>
      <c r="N27" s="38" t="str">
        <f t="shared" si="9"/>
        <v>IMPELCR*</v>
      </c>
      <c r="O27" s="38" t="str">
        <f t="shared" si="9"/>
        <v>Imp</v>
      </c>
      <c r="S27" s="38" t="str">
        <f t="shared" si="5"/>
        <v>ELCHIGG</v>
      </c>
      <c r="V27" s="116">
        <f t="shared" si="1"/>
        <v>54</v>
      </c>
      <c r="X27" s="126" t="s">
        <v>38</v>
      </c>
      <c r="Y27" s="127">
        <v>2050</v>
      </c>
      <c r="Z27" s="126" t="s">
        <v>312</v>
      </c>
      <c r="AA27" s="126" t="s">
        <v>313</v>
      </c>
      <c r="AB27" s="128">
        <v>28.8334710591473</v>
      </c>
    </row>
    <row r="28" spans="3:28" x14ac:dyDescent="0.25">
      <c r="C28" s="38" t="s">
        <v>321</v>
      </c>
      <c r="E28" s="38" t="str">
        <f t="shared" si="7"/>
        <v>IRE_PRICE</v>
      </c>
      <c r="F28" s="38">
        <f t="shared" si="7"/>
        <v>2017</v>
      </c>
      <c r="I28" s="121">
        <f>I27</f>
        <v>15</v>
      </c>
      <c r="J28" s="121">
        <f t="shared" si="0"/>
        <v>15</v>
      </c>
      <c r="K28" s="121">
        <f t="shared" si="8"/>
        <v>15</v>
      </c>
      <c r="L28" s="121">
        <f t="shared" si="8"/>
        <v>15</v>
      </c>
      <c r="N28" s="38" t="str">
        <f t="shared" si="9"/>
        <v>IMPELCR*</v>
      </c>
      <c r="O28" s="38" t="str">
        <f t="shared" si="9"/>
        <v>Imp</v>
      </c>
      <c r="S28" s="38" t="str">
        <f t="shared" si="5"/>
        <v>ELCHIGG</v>
      </c>
      <c r="V28" s="116">
        <f t="shared" si="1"/>
        <v>54</v>
      </c>
    </row>
    <row r="29" spans="3:28" x14ac:dyDescent="0.25">
      <c r="C29" s="11" t="s">
        <v>322</v>
      </c>
      <c r="D29" s="11"/>
      <c r="E29" s="11" t="str">
        <f t="shared" si="7"/>
        <v>IRE_PRICE</v>
      </c>
      <c r="F29" s="11">
        <f t="shared" si="7"/>
        <v>2017</v>
      </c>
      <c r="G29" s="11"/>
      <c r="H29" s="11"/>
      <c r="I29" s="122">
        <f>I28</f>
        <v>15</v>
      </c>
      <c r="J29" s="122">
        <f t="shared" si="0"/>
        <v>15</v>
      </c>
      <c r="K29" s="122">
        <f t="shared" si="8"/>
        <v>15</v>
      </c>
      <c r="L29" s="122">
        <f t="shared" si="8"/>
        <v>15</v>
      </c>
      <c r="M29" s="11"/>
      <c r="N29" s="11" t="str">
        <f t="shared" si="9"/>
        <v>IMPELCR*</v>
      </c>
      <c r="O29" s="11" t="str">
        <f t="shared" si="9"/>
        <v>Imp</v>
      </c>
      <c r="P29" s="11"/>
      <c r="Q29" s="11"/>
      <c r="R29" s="11"/>
      <c r="S29" s="11" t="str">
        <f t="shared" si="5"/>
        <v>ELCHIGG</v>
      </c>
      <c r="T29" s="11"/>
      <c r="V29" s="116">
        <f t="shared" si="1"/>
        <v>54</v>
      </c>
      <c r="X29" s="129" t="s">
        <v>323</v>
      </c>
      <c r="Y29" s="127"/>
      <c r="Z29" s="126"/>
      <c r="AA29" s="126"/>
    </row>
    <row r="30" spans="3:28" x14ac:dyDescent="0.25">
      <c r="C30" s="38" t="str">
        <f t="shared" ref="C30:C77" si="10">C6</f>
        <v>RN</v>
      </c>
      <c r="E30" s="38" t="s">
        <v>294</v>
      </c>
      <c r="F30" s="38">
        <v>2030</v>
      </c>
      <c r="I30" s="120">
        <f>AB23*0.8</f>
        <v>15.523279565445561</v>
      </c>
      <c r="J30" s="121">
        <f t="shared" si="0"/>
        <v>15.523279565445561</v>
      </c>
      <c r="K30" s="121">
        <f>AB23</f>
        <v>19.40409945680695</v>
      </c>
      <c r="L30" s="121">
        <f>AB23</f>
        <v>19.40409945680695</v>
      </c>
      <c r="N30" s="38" t="s">
        <v>295</v>
      </c>
      <c r="O30" s="38" t="s">
        <v>296</v>
      </c>
      <c r="S30" s="38" t="s">
        <v>313</v>
      </c>
      <c r="U30" s="123"/>
      <c r="V30" s="116">
        <f t="shared" si="1"/>
        <v>55.883806435604022</v>
      </c>
      <c r="X30" s="129" t="s">
        <v>324</v>
      </c>
      <c r="Y30" s="127"/>
      <c r="Z30" s="126"/>
      <c r="AA30" s="126"/>
    </row>
    <row r="31" spans="3:28" x14ac:dyDescent="0.25">
      <c r="C31" s="38" t="str">
        <f t="shared" si="10"/>
        <v>RL</v>
      </c>
      <c r="E31" s="38" t="str">
        <f>E30</f>
        <v>IRE_PRICE</v>
      </c>
      <c r="F31" s="38">
        <f>F30</f>
        <v>2030</v>
      </c>
      <c r="I31" s="121">
        <f>I30</f>
        <v>15.523279565445561</v>
      </c>
      <c r="J31" s="121">
        <f t="shared" si="0"/>
        <v>15.523279565445561</v>
      </c>
      <c r="K31" s="121">
        <f>K30</f>
        <v>19.40409945680695</v>
      </c>
      <c r="L31" s="121">
        <f>L30</f>
        <v>19.40409945680695</v>
      </c>
      <c r="N31" s="38" t="str">
        <f>N30</f>
        <v>IMPELCR*</v>
      </c>
      <c r="O31" s="38" t="str">
        <f>O30</f>
        <v>Imp</v>
      </c>
      <c r="S31" s="38" t="str">
        <f>S30</f>
        <v>ELCHIGG</v>
      </c>
      <c r="U31" s="123"/>
      <c r="V31" s="116">
        <f t="shared" si="1"/>
        <v>55.883806435604022</v>
      </c>
      <c r="X31" s="126"/>
      <c r="Y31" s="127"/>
      <c r="Z31" s="126"/>
      <c r="AA31" s="126"/>
    </row>
    <row r="32" spans="3:28" x14ac:dyDescent="0.25">
      <c r="C32" s="38" t="str">
        <f t="shared" si="10"/>
        <v>RM</v>
      </c>
      <c r="E32" s="38" t="str">
        <f t="shared" ref="E32:F47" si="11">E31</f>
        <v>IRE_PRICE</v>
      </c>
      <c r="F32" s="38">
        <f t="shared" si="11"/>
        <v>2030</v>
      </c>
      <c r="I32" s="121">
        <f>I31</f>
        <v>15.523279565445561</v>
      </c>
      <c r="J32" s="121">
        <f t="shared" si="0"/>
        <v>15.523279565445561</v>
      </c>
      <c r="K32" s="121">
        <f t="shared" ref="K32:L47" si="12">K31</f>
        <v>19.40409945680695</v>
      </c>
      <c r="L32" s="121">
        <f t="shared" si="12"/>
        <v>19.40409945680695</v>
      </c>
      <c r="N32" s="38" t="str">
        <f t="shared" ref="N32:O47" si="13">N31</f>
        <v>IMPELCR*</v>
      </c>
      <c r="O32" s="38" t="str">
        <f t="shared" si="13"/>
        <v>Imp</v>
      </c>
      <c r="S32" s="38" t="str">
        <f t="shared" ref="S32:S53" si="14">S31</f>
        <v>ELCHIGG</v>
      </c>
      <c r="U32" s="123"/>
      <c r="V32" s="116">
        <f t="shared" si="1"/>
        <v>55.883806435604022</v>
      </c>
      <c r="X32" s="129">
        <v>1.2E-2</v>
      </c>
      <c r="Y32" s="129"/>
      <c r="Z32" s="126"/>
      <c r="AA32" s="126"/>
    </row>
    <row r="33" spans="3:27" x14ac:dyDescent="0.25">
      <c r="C33" s="38" t="str">
        <f t="shared" si="10"/>
        <v>RD</v>
      </c>
      <c r="E33" s="38" t="str">
        <f t="shared" si="11"/>
        <v>IRE_PRICE</v>
      </c>
      <c r="F33" s="38">
        <f t="shared" si="11"/>
        <v>2030</v>
      </c>
      <c r="I33" s="121">
        <f>I32</f>
        <v>15.523279565445561</v>
      </c>
      <c r="J33" s="121">
        <f t="shared" si="0"/>
        <v>15.523279565445561</v>
      </c>
      <c r="K33" s="121">
        <f t="shared" si="12"/>
        <v>19.40409945680695</v>
      </c>
      <c r="L33" s="121">
        <f t="shared" si="12"/>
        <v>19.40409945680695</v>
      </c>
      <c r="N33" s="38" t="str">
        <f t="shared" si="13"/>
        <v>IMPELCR*</v>
      </c>
      <c r="O33" s="38" t="str">
        <f t="shared" si="13"/>
        <v>Imp</v>
      </c>
      <c r="S33" s="38" t="str">
        <f t="shared" si="14"/>
        <v>ELCHIGG</v>
      </c>
      <c r="U33" s="123"/>
      <c r="V33" s="116">
        <f t="shared" si="1"/>
        <v>55.883806435604022</v>
      </c>
      <c r="X33" s="129">
        <f>X32*1000</f>
        <v>12</v>
      </c>
      <c r="Y33" s="129" t="s">
        <v>292</v>
      </c>
    </row>
    <row r="34" spans="3:27" x14ac:dyDescent="0.25">
      <c r="C34" s="38" t="str">
        <f t="shared" si="10"/>
        <v>RA</v>
      </c>
      <c r="E34" s="38" t="str">
        <f t="shared" si="11"/>
        <v>IRE_PRICE</v>
      </c>
      <c r="F34" s="38">
        <f t="shared" si="11"/>
        <v>2030</v>
      </c>
      <c r="I34" s="121">
        <f>I33</f>
        <v>15.523279565445561</v>
      </c>
      <c r="J34" s="121">
        <f t="shared" si="0"/>
        <v>15.523279565445561</v>
      </c>
      <c r="K34" s="121">
        <f t="shared" si="12"/>
        <v>19.40409945680695</v>
      </c>
      <c r="L34" s="121">
        <f t="shared" si="12"/>
        <v>19.40409945680695</v>
      </c>
      <c r="N34" s="38" t="str">
        <f t="shared" si="13"/>
        <v>IMPELCR*</v>
      </c>
      <c r="O34" s="38" t="str">
        <f t="shared" si="13"/>
        <v>Imp</v>
      </c>
      <c r="S34" s="38" t="str">
        <f t="shared" si="14"/>
        <v>ELCHIGG</v>
      </c>
      <c r="U34" s="123"/>
      <c r="V34" s="116">
        <f t="shared" si="1"/>
        <v>55.883806435604022</v>
      </c>
      <c r="X34" s="126"/>
      <c r="Y34" s="127"/>
      <c r="Z34" s="126"/>
      <c r="AA34" s="126"/>
    </row>
    <row r="35" spans="3:27" x14ac:dyDescent="0.25">
      <c r="C35" s="38" t="str">
        <f t="shared" si="10"/>
        <v>RE</v>
      </c>
      <c r="E35" s="38" t="str">
        <f t="shared" si="11"/>
        <v>IRE_PRICE</v>
      </c>
      <c r="F35" s="38">
        <f t="shared" si="11"/>
        <v>2030</v>
      </c>
      <c r="I35" s="121">
        <f>I34</f>
        <v>15.523279565445561</v>
      </c>
      <c r="J35" s="121">
        <f t="shared" si="0"/>
        <v>15.523279565445561</v>
      </c>
      <c r="K35" s="121">
        <f t="shared" si="12"/>
        <v>19.40409945680695</v>
      </c>
      <c r="L35" s="121">
        <f t="shared" si="12"/>
        <v>19.40409945680695</v>
      </c>
      <c r="N35" s="38" t="str">
        <f t="shared" si="13"/>
        <v>IMPELCR*</v>
      </c>
      <c r="O35" s="38" t="str">
        <f t="shared" si="13"/>
        <v>Imp</v>
      </c>
      <c r="S35" s="38" t="str">
        <f t="shared" si="14"/>
        <v>ELCHIGG</v>
      </c>
      <c r="U35" s="123"/>
      <c r="V35" s="116">
        <f t="shared" si="1"/>
        <v>55.883806435604022</v>
      </c>
      <c r="X35" s="126"/>
      <c r="Y35" s="127"/>
      <c r="Z35" s="126"/>
      <c r="AA35" s="126"/>
    </row>
    <row r="36" spans="3:27" x14ac:dyDescent="0.25">
      <c r="C36" s="38" t="str">
        <f t="shared" si="10"/>
        <v>SN</v>
      </c>
      <c r="E36" s="38" t="str">
        <f t="shared" si="11"/>
        <v>IRE_PRICE</v>
      </c>
      <c r="F36" s="38">
        <f t="shared" si="11"/>
        <v>2030</v>
      </c>
      <c r="I36" s="121">
        <f>AB23*0.25</f>
        <v>4.8510248642017375</v>
      </c>
      <c r="J36" s="121">
        <f t="shared" si="0"/>
        <v>4.8510248642017375</v>
      </c>
      <c r="K36" s="121">
        <f t="shared" si="12"/>
        <v>19.40409945680695</v>
      </c>
      <c r="L36" s="121">
        <f t="shared" si="12"/>
        <v>19.40409945680695</v>
      </c>
      <c r="N36" s="38" t="str">
        <f t="shared" si="13"/>
        <v>IMPELCR*</v>
      </c>
      <c r="O36" s="38" t="str">
        <f t="shared" si="13"/>
        <v>Imp</v>
      </c>
      <c r="S36" s="38" t="str">
        <f t="shared" si="14"/>
        <v>ELCHIGG</v>
      </c>
      <c r="U36" s="123"/>
      <c r="V36" s="116">
        <f t="shared" si="1"/>
        <v>17.463689511126255</v>
      </c>
      <c r="X36" s="126"/>
      <c r="Y36" s="127"/>
      <c r="Z36" s="126"/>
      <c r="AA36" s="126"/>
    </row>
    <row r="37" spans="3:27" x14ac:dyDescent="0.25">
      <c r="C37" s="38" t="str">
        <f t="shared" si="10"/>
        <v>SL</v>
      </c>
      <c r="E37" s="38" t="str">
        <f t="shared" si="11"/>
        <v>IRE_PRICE</v>
      </c>
      <c r="F37" s="38">
        <f t="shared" si="11"/>
        <v>2030</v>
      </c>
      <c r="I37" s="121">
        <f>I36</f>
        <v>4.8510248642017375</v>
      </c>
      <c r="J37" s="121">
        <f t="shared" si="0"/>
        <v>4.8510248642017375</v>
      </c>
      <c r="K37" s="121">
        <f t="shared" si="12"/>
        <v>19.40409945680695</v>
      </c>
      <c r="L37" s="121">
        <f t="shared" si="12"/>
        <v>19.40409945680695</v>
      </c>
      <c r="N37" s="38" t="str">
        <f t="shared" si="13"/>
        <v>IMPELCR*</v>
      </c>
      <c r="O37" s="38" t="str">
        <f t="shared" si="13"/>
        <v>Imp</v>
      </c>
      <c r="S37" s="38" t="str">
        <f t="shared" si="14"/>
        <v>ELCHIGG</v>
      </c>
      <c r="U37" s="123"/>
      <c r="V37" s="116">
        <f t="shared" si="1"/>
        <v>17.463689511126255</v>
      </c>
      <c r="X37" s="126"/>
      <c r="Y37" s="127"/>
      <c r="Z37" s="126"/>
      <c r="AA37" s="126"/>
    </row>
    <row r="38" spans="3:27" x14ac:dyDescent="0.25">
      <c r="C38" s="38" t="str">
        <f t="shared" si="10"/>
        <v>SM</v>
      </c>
      <c r="E38" s="38" t="str">
        <f t="shared" si="11"/>
        <v>IRE_PRICE</v>
      </c>
      <c r="F38" s="38">
        <f t="shared" si="11"/>
        <v>2030</v>
      </c>
      <c r="I38" s="121">
        <f>I37</f>
        <v>4.8510248642017375</v>
      </c>
      <c r="J38" s="121">
        <f t="shared" si="0"/>
        <v>4.8510248642017375</v>
      </c>
      <c r="K38" s="121">
        <f t="shared" si="12"/>
        <v>19.40409945680695</v>
      </c>
      <c r="L38" s="121">
        <f t="shared" si="12"/>
        <v>19.40409945680695</v>
      </c>
      <c r="N38" s="38" t="str">
        <f t="shared" si="13"/>
        <v>IMPELCR*</v>
      </c>
      <c r="O38" s="38" t="str">
        <f t="shared" si="13"/>
        <v>Imp</v>
      </c>
      <c r="S38" s="38" t="str">
        <f t="shared" si="14"/>
        <v>ELCHIGG</v>
      </c>
      <c r="U38" s="123"/>
      <c r="V38" s="116">
        <f t="shared" si="1"/>
        <v>17.463689511126255</v>
      </c>
    </row>
    <row r="39" spans="3:27" x14ac:dyDescent="0.25">
      <c r="C39" s="38" t="str">
        <f t="shared" si="10"/>
        <v>SD</v>
      </c>
      <c r="E39" s="38" t="str">
        <f t="shared" si="11"/>
        <v>IRE_PRICE</v>
      </c>
      <c r="F39" s="38">
        <f t="shared" si="11"/>
        <v>2030</v>
      </c>
      <c r="I39" s="121">
        <f>I38</f>
        <v>4.8510248642017375</v>
      </c>
      <c r="J39" s="121">
        <f t="shared" si="0"/>
        <v>4.8510248642017375</v>
      </c>
      <c r="K39" s="121">
        <f t="shared" si="12"/>
        <v>19.40409945680695</v>
      </c>
      <c r="L39" s="121">
        <f t="shared" si="12"/>
        <v>19.40409945680695</v>
      </c>
      <c r="N39" s="38" t="str">
        <f t="shared" si="13"/>
        <v>IMPELCR*</v>
      </c>
      <c r="O39" s="38" t="str">
        <f t="shared" si="13"/>
        <v>Imp</v>
      </c>
      <c r="S39" s="38" t="str">
        <f t="shared" si="14"/>
        <v>ELCHIGG</v>
      </c>
      <c r="U39" s="123"/>
      <c r="V39" s="116">
        <f t="shared" si="1"/>
        <v>17.463689511126255</v>
      </c>
      <c r="X39" s="126"/>
      <c r="Y39" s="127"/>
      <c r="Z39" s="126"/>
      <c r="AA39" s="126"/>
    </row>
    <row r="40" spans="3:27" x14ac:dyDescent="0.25">
      <c r="C40" s="38" t="str">
        <f t="shared" si="10"/>
        <v>SA</v>
      </c>
      <c r="E40" s="38" t="str">
        <f t="shared" si="11"/>
        <v>IRE_PRICE</v>
      </c>
      <c r="F40" s="38">
        <f t="shared" si="11"/>
        <v>2030</v>
      </c>
      <c r="I40" s="121">
        <f>I39</f>
        <v>4.8510248642017375</v>
      </c>
      <c r="J40" s="121">
        <f t="shared" si="0"/>
        <v>4.8510248642017375</v>
      </c>
      <c r="K40" s="121">
        <f t="shared" si="12"/>
        <v>19.40409945680695</v>
      </c>
      <c r="L40" s="121">
        <f t="shared" si="12"/>
        <v>19.40409945680695</v>
      </c>
      <c r="N40" s="38" t="str">
        <f t="shared" si="13"/>
        <v>IMPELCR*</v>
      </c>
      <c r="O40" s="38" t="str">
        <f t="shared" si="13"/>
        <v>Imp</v>
      </c>
      <c r="S40" s="38" t="str">
        <f t="shared" si="14"/>
        <v>ELCHIGG</v>
      </c>
      <c r="U40" s="123"/>
      <c r="V40" s="116">
        <f t="shared" si="1"/>
        <v>17.463689511126255</v>
      </c>
      <c r="X40" s="126"/>
      <c r="Y40" s="127"/>
      <c r="Z40" s="126"/>
      <c r="AA40" s="126"/>
    </row>
    <row r="41" spans="3:27" x14ac:dyDescent="0.25">
      <c r="C41" s="38" t="str">
        <f t="shared" si="10"/>
        <v>SE</v>
      </c>
      <c r="E41" s="38" t="str">
        <f t="shared" si="11"/>
        <v>IRE_PRICE</v>
      </c>
      <c r="F41" s="38">
        <f t="shared" si="11"/>
        <v>2030</v>
      </c>
      <c r="I41" s="121">
        <f>I40</f>
        <v>4.8510248642017375</v>
      </c>
      <c r="J41" s="121">
        <f t="shared" si="0"/>
        <v>4.8510248642017375</v>
      </c>
      <c r="K41" s="121">
        <f t="shared" si="12"/>
        <v>19.40409945680695</v>
      </c>
      <c r="L41" s="121">
        <f t="shared" si="12"/>
        <v>19.40409945680695</v>
      </c>
      <c r="N41" s="38" t="str">
        <f t="shared" si="13"/>
        <v>IMPELCR*</v>
      </c>
      <c r="O41" s="38" t="str">
        <f t="shared" si="13"/>
        <v>Imp</v>
      </c>
      <c r="S41" s="38" t="str">
        <f t="shared" si="14"/>
        <v>ELCHIGG</v>
      </c>
      <c r="U41" s="123"/>
      <c r="V41" s="116">
        <f t="shared" si="1"/>
        <v>17.463689511126255</v>
      </c>
      <c r="X41" s="126"/>
      <c r="Y41" s="127"/>
      <c r="Z41" s="126"/>
      <c r="AA41" s="126"/>
    </row>
    <row r="42" spans="3:27" x14ac:dyDescent="0.25">
      <c r="C42" s="38" t="str">
        <f t="shared" si="10"/>
        <v>FN</v>
      </c>
      <c r="E42" s="38" t="str">
        <f t="shared" si="11"/>
        <v>IRE_PRICE</v>
      </c>
      <c r="F42" s="38">
        <f t="shared" si="11"/>
        <v>2030</v>
      </c>
      <c r="I42" s="121">
        <f>AB23*0.9</f>
        <v>17.463689511126255</v>
      </c>
      <c r="J42" s="121">
        <f t="shared" si="0"/>
        <v>17.463689511126255</v>
      </c>
      <c r="K42" s="121">
        <f t="shared" si="12"/>
        <v>19.40409945680695</v>
      </c>
      <c r="L42" s="121">
        <f t="shared" si="12"/>
        <v>19.40409945680695</v>
      </c>
      <c r="N42" s="38" t="str">
        <f t="shared" si="13"/>
        <v>IMPELCR*</v>
      </c>
      <c r="O42" s="38" t="str">
        <f t="shared" si="13"/>
        <v>Imp</v>
      </c>
      <c r="S42" s="38" t="str">
        <f t="shared" si="14"/>
        <v>ELCHIGG</v>
      </c>
      <c r="U42" s="123"/>
      <c r="V42" s="116">
        <f t="shared" si="1"/>
        <v>62.869282240054517</v>
      </c>
      <c r="X42" s="126"/>
      <c r="Y42" s="127"/>
      <c r="Z42" s="126"/>
      <c r="AA42" s="126"/>
    </row>
    <row r="43" spans="3:27" x14ac:dyDescent="0.25">
      <c r="C43" s="38" t="str">
        <f t="shared" si="10"/>
        <v>FL</v>
      </c>
      <c r="E43" s="38" t="str">
        <f t="shared" si="11"/>
        <v>IRE_PRICE</v>
      </c>
      <c r="F43" s="38">
        <f t="shared" si="11"/>
        <v>2030</v>
      </c>
      <c r="I43" s="121">
        <f>I42</f>
        <v>17.463689511126255</v>
      </c>
      <c r="J43" s="121">
        <f t="shared" si="0"/>
        <v>17.463689511126255</v>
      </c>
      <c r="K43" s="121">
        <f t="shared" si="12"/>
        <v>19.40409945680695</v>
      </c>
      <c r="L43" s="121">
        <f t="shared" si="12"/>
        <v>19.40409945680695</v>
      </c>
      <c r="N43" s="38" t="str">
        <f t="shared" si="13"/>
        <v>IMPELCR*</v>
      </c>
      <c r="O43" s="38" t="str">
        <f t="shared" si="13"/>
        <v>Imp</v>
      </c>
      <c r="S43" s="38" t="str">
        <f t="shared" si="14"/>
        <v>ELCHIGG</v>
      </c>
      <c r="U43" s="123"/>
      <c r="V43" s="116">
        <f t="shared" si="1"/>
        <v>62.869282240054517</v>
      </c>
    </row>
    <row r="44" spans="3:27" x14ac:dyDescent="0.25">
      <c r="C44" s="38" t="str">
        <f t="shared" si="10"/>
        <v>FM</v>
      </c>
      <c r="E44" s="38" t="str">
        <f t="shared" si="11"/>
        <v>IRE_PRICE</v>
      </c>
      <c r="F44" s="38">
        <f t="shared" si="11"/>
        <v>2030</v>
      </c>
      <c r="I44" s="121">
        <f t="shared" ref="I44:I47" si="15">I43</f>
        <v>17.463689511126255</v>
      </c>
      <c r="J44" s="121">
        <f t="shared" si="0"/>
        <v>17.463689511126255</v>
      </c>
      <c r="K44" s="121">
        <f t="shared" si="12"/>
        <v>19.40409945680695</v>
      </c>
      <c r="L44" s="121">
        <f t="shared" si="12"/>
        <v>19.40409945680695</v>
      </c>
      <c r="N44" s="38" t="str">
        <f t="shared" si="13"/>
        <v>IMPELCR*</v>
      </c>
      <c r="O44" s="38" t="str">
        <f t="shared" si="13"/>
        <v>Imp</v>
      </c>
      <c r="S44" s="38" t="str">
        <f t="shared" si="14"/>
        <v>ELCHIGG</v>
      </c>
      <c r="U44" s="123"/>
      <c r="V44" s="116">
        <f t="shared" si="1"/>
        <v>62.869282240054517</v>
      </c>
      <c r="X44" s="126"/>
      <c r="Y44" s="127"/>
      <c r="Z44" s="126"/>
      <c r="AA44" s="126"/>
    </row>
    <row r="45" spans="3:27" x14ac:dyDescent="0.25">
      <c r="C45" s="38" t="str">
        <f t="shared" si="10"/>
        <v>FD</v>
      </c>
      <c r="E45" s="38" t="str">
        <f t="shared" si="11"/>
        <v>IRE_PRICE</v>
      </c>
      <c r="F45" s="38">
        <f t="shared" si="11"/>
        <v>2030</v>
      </c>
      <c r="I45" s="121">
        <f t="shared" si="15"/>
        <v>17.463689511126255</v>
      </c>
      <c r="J45" s="121">
        <f t="shared" si="0"/>
        <v>17.463689511126255</v>
      </c>
      <c r="K45" s="121">
        <f t="shared" si="12"/>
        <v>19.40409945680695</v>
      </c>
      <c r="L45" s="121">
        <f t="shared" si="12"/>
        <v>19.40409945680695</v>
      </c>
      <c r="N45" s="38" t="str">
        <f t="shared" si="13"/>
        <v>IMPELCR*</v>
      </c>
      <c r="O45" s="38" t="str">
        <f t="shared" si="13"/>
        <v>Imp</v>
      </c>
      <c r="S45" s="38" t="str">
        <f t="shared" si="14"/>
        <v>ELCHIGG</v>
      </c>
      <c r="U45" s="123"/>
      <c r="V45" s="116">
        <f t="shared" si="1"/>
        <v>62.869282240054517</v>
      </c>
      <c r="X45" s="126"/>
      <c r="Y45" s="127"/>
      <c r="Z45" s="126"/>
      <c r="AA45" s="126"/>
    </row>
    <row r="46" spans="3:27" x14ac:dyDescent="0.25">
      <c r="C46" s="38" t="str">
        <f t="shared" si="10"/>
        <v>FA</v>
      </c>
      <c r="E46" s="38" t="str">
        <f t="shared" si="11"/>
        <v>IRE_PRICE</v>
      </c>
      <c r="F46" s="38">
        <f t="shared" si="11"/>
        <v>2030</v>
      </c>
      <c r="I46" s="121">
        <f t="shared" si="15"/>
        <v>17.463689511126255</v>
      </c>
      <c r="J46" s="121">
        <f t="shared" si="0"/>
        <v>17.463689511126255</v>
      </c>
      <c r="K46" s="121">
        <f t="shared" si="12"/>
        <v>19.40409945680695</v>
      </c>
      <c r="L46" s="121">
        <f t="shared" si="12"/>
        <v>19.40409945680695</v>
      </c>
      <c r="N46" s="38" t="str">
        <f t="shared" si="13"/>
        <v>IMPELCR*</v>
      </c>
      <c r="O46" s="38" t="str">
        <f t="shared" si="13"/>
        <v>Imp</v>
      </c>
      <c r="S46" s="38" t="str">
        <f t="shared" si="14"/>
        <v>ELCHIGG</v>
      </c>
      <c r="U46" s="123"/>
      <c r="V46" s="116">
        <f t="shared" si="1"/>
        <v>62.869282240054517</v>
      </c>
      <c r="X46" s="126"/>
      <c r="Y46" s="127"/>
      <c r="Z46" s="126"/>
      <c r="AA46" s="126"/>
    </row>
    <row r="47" spans="3:27" x14ac:dyDescent="0.25">
      <c r="C47" s="38" t="str">
        <f t="shared" si="10"/>
        <v>FE</v>
      </c>
      <c r="E47" s="38" t="str">
        <f t="shared" si="11"/>
        <v>IRE_PRICE</v>
      </c>
      <c r="F47" s="38">
        <f t="shared" si="11"/>
        <v>2030</v>
      </c>
      <c r="I47" s="121">
        <f t="shared" si="15"/>
        <v>17.463689511126255</v>
      </c>
      <c r="J47" s="121">
        <f t="shared" si="0"/>
        <v>17.463689511126255</v>
      </c>
      <c r="K47" s="121">
        <f t="shared" si="12"/>
        <v>19.40409945680695</v>
      </c>
      <c r="L47" s="121">
        <f t="shared" si="12"/>
        <v>19.40409945680695</v>
      </c>
      <c r="N47" s="38" t="str">
        <f t="shared" si="13"/>
        <v>IMPELCR*</v>
      </c>
      <c r="O47" s="38" t="str">
        <f t="shared" si="13"/>
        <v>Imp</v>
      </c>
      <c r="S47" s="38" t="str">
        <f t="shared" si="14"/>
        <v>ELCHIGG</v>
      </c>
      <c r="U47" s="123"/>
      <c r="V47" s="116">
        <f t="shared" si="1"/>
        <v>62.869282240054517</v>
      </c>
      <c r="X47" s="126"/>
      <c r="Y47" s="127"/>
      <c r="Z47" s="126"/>
      <c r="AA47" s="126"/>
    </row>
    <row r="48" spans="3:27" x14ac:dyDescent="0.25">
      <c r="C48" s="38" t="str">
        <f t="shared" si="10"/>
        <v>WN</v>
      </c>
      <c r="E48" s="38" t="str">
        <f t="shared" ref="E48:F53" si="16">E47</f>
        <v>IRE_PRICE</v>
      </c>
      <c r="F48" s="38">
        <f t="shared" si="16"/>
        <v>2030</v>
      </c>
      <c r="I48" s="121">
        <f>AB23</f>
        <v>19.40409945680695</v>
      </c>
      <c r="J48" s="121">
        <f t="shared" si="0"/>
        <v>19.40409945680695</v>
      </c>
      <c r="K48" s="121">
        <f t="shared" ref="K48:L53" si="17">K47</f>
        <v>19.40409945680695</v>
      </c>
      <c r="L48" s="121">
        <f t="shared" si="17"/>
        <v>19.40409945680695</v>
      </c>
      <c r="N48" s="38" t="str">
        <f t="shared" ref="N48:O53" si="18">N47</f>
        <v>IMPELCR*</v>
      </c>
      <c r="O48" s="38" t="str">
        <f t="shared" si="18"/>
        <v>Imp</v>
      </c>
      <c r="S48" s="38" t="str">
        <f t="shared" si="14"/>
        <v>ELCHIGG</v>
      </c>
      <c r="U48" s="123"/>
      <c r="V48" s="116">
        <f t="shared" si="1"/>
        <v>69.854758044505019</v>
      </c>
    </row>
    <row r="49" spans="3:27" x14ac:dyDescent="0.25">
      <c r="C49" s="38" t="str">
        <f t="shared" si="10"/>
        <v>WL</v>
      </c>
      <c r="E49" s="38" t="str">
        <f t="shared" si="16"/>
        <v>IRE_PRICE</v>
      </c>
      <c r="F49" s="38">
        <f t="shared" si="16"/>
        <v>2030</v>
      </c>
      <c r="I49" s="121">
        <f>I48</f>
        <v>19.40409945680695</v>
      </c>
      <c r="J49" s="121">
        <f t="shared" si="0"/>
        <v>19.40409945680695</v>
      </c>
      <c r="K49" s="121">
        <f t="shared" si="17"/>
        <v>19.40409945680695</v>
      </c>
      <c r="L49" s="121">
        <f t="shared" si="17"/>
        <v>19.40409945680695</v>
      </c>
      <c r="N49" s="38" t="str">
        <f t="shared" si="18"/>
        <v>IMPELCR*</v>
      </c>
      <c r="O49" s="38" t="str">
        <f t="shared" si="18"/>
        <v>Imp</v>
      </c>
      <c r="S49" s="38" t="str">
        <f t="shared" si="14"/>
        <v>ELCHIGG</v>
      </c>
      <c r="U49" s="123"/>
      <c r="V49" s="116">
        <f t="shared" si="1"/>
        <v>69.854758044505019</v>
      </c>
      <c r="X49" s="126"/>
      <c r="Y49" s="127"/>
      <c r="Z49" s="126"/>
      <c r="AA49" s="126"/>
    </row>
    <row r="50" spans="3:27" x14ac:dyDescent="0.25">
      <c r="C50" s="38" t="str">
        <f t="shared" si="10"/>
        <v>WM</v>
      </c>
      <c r="E50" s="38" t="str">
        <f t="shared" si="16"/>
        <v>IRE_PRICE</v>
      </c>
      <c r="F50" s="38">
        <f t="shared" si="16"/>
        <v>2030</v>
      </c>
      <c r="I50" s="121">
        <f>I49</f>
        <v>19.40409945680695</v>
      </c>
      <c r="J50" s="121">
        <f t="shared" si="0"/>
        <v>19.40409945680695</v>
      </c>
      <c r="K50" s="121">
        <f t="shared" si="17"/>
        <v>19.40409945680695</v>
      </c>
      <c r="L50" s="121">
        <f t="shared" si="17"/>
        <v>19.40409945680695</v>
      </c>
      <c r="N50" s="38" t="str">
        <f t="shared" si="18"/>
        <v>IMPELCR*</v>
      </c>
      <c r="O50" s="38" t="str">
        <f t="shared" si="18"/>
        <v>Imp</v>
      </c>
      <c r="S50" s="38" t="str">
        <f t="shared" si="14"/>
        <v>ELCHIGG</v>
      </c>
      <c r="U50" s="123"/>
      <c r="V50" s="116">
        <f t="shared" si="1"/>
        <v>69.854758044505019</v>
      </c>
      <c r="X50" s="126"/>
      <c r="Y50" s="127"/>
      <c r="Z50" s="126"/>
      <c r="AA50" s="126"/>
    </row>
    <row r="51" spans="3:27" x14ac:dyDescent="0.25">
      <c r="C51" s="38" t="str">
        <f t="shared" si="10"/>
        <v>WD</v>
      </c>
      <c r="E51" s="38" t="str">
        <f t="shared" si="16"/>
        <v>IRE_PRICE</v>
      </c>
      <c r="F51" s="38">
        <f t="shared" si="16"/>
        <v>2030</v>
      </c>
      <c r="I51" s="121">
        <f>I50</f>
        <v>19.40409945680695</v>
      </c>
      <c r="J51" s="121">
        <f t="shared" si="0"/>
        <v>19.40409945680695</v>
      </c>
      <c r="K51" s="121">
        <f t="shared" si="17"/>
        <v>19.40409945680695</v>
      </c>
      <c r="L51" s="121">
        <f t="shared" si="17"/>
        <v>19.40409945680695</v>
      </c>
      <c r="N51" s="38" t="str">
        <f t="shared" si="18"/>
        <v>IMPELCR*</v>
      </c>
      <c r="O51" s="38" t="str">
        <f t="shared" si="18"/>
        <v>Imp</v>
      </c>
      <c r="S51" s="38" t="str">
        <f t="shared" si="14"/>
        <v>ELCHIGG</v>
      </c>
      <c r="U51" s="123"/>
      <c r="V51" s="116">
        <f t="shared" si="1"/>
        <v>69.854758044505019</v>
      </c>
      <c r="X51" s="126"/>
      <c r="Y51" s="127"/>
      <c r="Z51" s="126"/>
      <c r="AA51" s="126"/>
    </row>
    <row r="52" spans="3:27" x14ac:dyDescent="0.25">
      <c r="C52" s="38" t="str">
        <f t="shared" si="10"/>
        <v>WA</v>
      </c>
      <c r="E52" s="38" t="str">
        <f t="shared" si="16"/>
        <v>IRE_PRICE</v>
      </c>
      <c r="F52" s="38">
        <f t="shared" si="16"/>
        <v>2030</v>
      </c>
      <c r="I52" s="121">
        <f>I51</f>
        <v>19.40409945680695</v>
      </c>
      <c r="J52" s="121">
        <f t="shared" si="0"/>
        <v>19.40409945680695</v>
      </c>
      <c r="K52" s="121">
        <f t="shared" si="17"/>
        <v>19.40409945680695</v>
      </c>
      <c r="L52" s="121">
        <f t="shared" si="17"/>
        <v>19.40409945680695</v>
      </c>
      <c r="N52" s="38" t="str">
        <f t="shared" si="18"/>
        <v>IMPELCR*</v>
      </c>
      <c r="O52" s="38" t="str">
        <f t="shared" si="18"/>
        <v>Imp</v>
      </c>
      <c r="S52" s="38" t="str">
        <f t="shared" si="14"/>
        <v>ELCHIGG</v>
      </c>
      <c r="U52" s="123"/>
      <c r="V52" s="116">
        <f t="shared" si="1"/>
        <v>69.854758044505019</v>
      </c>
      <c r="X52" s="126"/>
      <c r="Y52" s="127"/>
      <c r="Z52" s="126"/>
      <c r="AA52" s="126"/>
    </row>
    <row r="53" spans="3:27" x14ac:dyDescent="0.25">
      <c r="C53" s="11" t="str">
        <f t="shared" si="10"/>
        <v>WE</v>
      </c>
      <c r="D53" s="11"/>
      <c r="E53" s="11" t="str">
        <f t="shared" si="16"/>
        <v>IRE_PRICE</v>
      </c>
      <c r="F53" s="11">
        <f t="shared" si="16"/>
        <v>2030</v>
      </c>
      <c r="G53" s="11"/>
      <c r="H53" s="11"/>
      <c r="I53" s="122">
        <f>I52</f>
        <v>19.40409945680695</v>
      </c>
      <c r="J53" s="122">
        <f t="shared" si="0"/>
        <v>19.40409945680695</v>
      </c>
      <c r="K53" s="122">
        <f t="shared" si="17"/>
        <v>19.40409945680695</v>
      </c>
      <c r="L53" s="122">
        <f t="shared" si="17"/>
        <v>19.40409945680695</v>
      </c>
      <c r="M53" s="11"/>
      <c r="N53" s="11" t="str">
        <f t="shared" si="18"/>
        <v>IMPELCR*</v>
      </c>
      <c r="O53" s="11" t="str">
        <f t="shared" si="18"/>
        <v>Imp</v>
      </c>
      <c r="P53" s="11"/>
      <c r="Q53" s="11"/>
      <c r="R53" s="11"/>
      <c r="S53" s="11" t="str">
        <f t="shared" si="14"/>
        <v>ELCHIGG</v>
      </c>
      <c r="U53" s="123"/>
      <c r="V53" s="116">
        <f t="shared" si="1"/>
        <v>69.854758044505019</v>
      </c>
    </row>
    <row r="54" spans="3:27" x14ac:dyDescent="0.25">
      <c r="C54" s="38" t="str">
        <f t="shared" si="10"/>
        <v>RN</v>
      </c>
      <c r="E54" s="38" t="s">
        <v>294</v>
      </c>
      <c r="F54" s="38">
        <v>2050</v>
      </c>
      <c r="I54" s="120">
        <f>AB27*0.8</f>
        <v>23.06677684731784</v>
      </c>
      <c r="J54" s="121">
        <f t="shared" si="0"/>
        <v>23.06677684731784</v>
      </c>
      <c r="K54" s="121">
        <f>AB27</f>
        <v>28.8334710591473</v>
      </c>
      <c r="L54" s="121">
        <f>AB27</f>
        <v>28.8334710591473</v>
      </c>
      <c r="N54" s="38" t="s">
        <v>295</v>
      </c>
      <c r="O54" s="38" t="s">
        <v>296</v>
      </c>
      <c r="S54" s="38" t="s">
        <v>313</v>
      </c>
      <c r="U54" s="123"/>
      <c r="V54" s="116">
        <f t="shared" si="1"/>
        <v>83.040396650344221</v>
      </c>
    </row>
    <row r="55" spans="3:27" x14ac:dyDescent="0.25">
      <c r="C55" s="38" t="str">
        <f t="shared" si="10"/>
        <v>RL</v>
      </c>
      <c r="E55" s="38" t="str">
        <f>E54</f>
        <v>IRE_PRICE</v>
      </c>
      <c r="F55" s="38">
        <f>F54</f>
        <v>2050</v>
      </c>
      <c r="I55" s="121">
        <f>I54</f>
        <v>23.06677684731784</v>
      </c>
      <c r="J55" s="121">
        <f t="shared" si="0"/>
        <v>23.06677684731784</v>
      </c>
      <c r="K55" s="121">
        <f>K54</f>
        <v>28.8334710591473</v>
      </c>
      <c r="L55" s="121">
        <f>L54</f>
        <v>28.8334710591473</v>
      </c>
      <c r="N55" s="38" t="str">
        <f>N54</f>
        <v>IMPELCR*</v>
      </c>
      <c r="O55" s="38" t="str">
        <f>O54</f>
        <v>Imp</v>
      </c>
      <c r="S55" s="38" t="str">
        <f>S54</f>
        <v>ELCHIGG</v>
      </c>
      <c r="U55" s="123"/>
      <c r="V55" s="116">
        <f t="shared" si="1"/>
        <v>83.040396650344221</v>
      </c>
    </row>
    <row r="56" spans="3:27" x14ac:dyDescent="0.25">
      <c r="C56" s="38" t="str">
        <f t="shared" si="10"/>
        <v>RM</v>
      </c>
      <c r="E56" s="38" t="str">
        <f t="shared" ref="E56:F71" si="19">E55</f>
        <v>IRE_PRICE</v>
      </c>
      <c r="F56" s="38">
        <f t="shared" si="19"/>
        <v>2050</v>
      </c>
      <c r="I56" s="121">
        <f>I55</f>
        <v>23.06677684731784</v>
      </c>
      <c r="J56" s="121">
        <f t="shared" si="0"/>
        <v>23.06677684731784</v>
      </c>
      <c r="K56" s="121">
        <f t="shared" ref="K56:L71" si="20">K55</f>
        <v>28.8334710591473</v>
      </c>
      <c r="L56" s="121">
        <f t="shared" si="20"/>
        <v>28.8334710591473</v>
      </c>
      <c r="N56" s="38" t="str">
        <f t="shared" ref="N56:O71" si="21">N55</f>
        <v>IMPELCR*</v>
      </c>
      <c r="O56" s="38" t="str">
        <f t="shared" si="21"/>
        <v>Imp</v>
      </c>
      <c r="S56" s="38" t="str">
        <f t="shared" ref="S56:S77" si="22">S55</f>
        <v>ELCHIGG</v>
      </c>
      <c r="U56" s="123"/>
      <c r="V56" s="116">
        <f t="shared" si="1"/>
        <v>83.040396650344221</v>
      </c>
    </row>
    <row r="57" spans="3:27" x14ac:dyDescent="0.25">
      <c r="C57" s="38" t="str">
        <f t="shared" si="10"/>
        <v>RD</v>
      </c>
      <c r="E57" s="38" t="str">
        <f t="shared" si="19"/>
        <v>IRE_PRICE</v>
      </c>
      <c r="F57" s="38">
        <f t="shared" si="19"/>
        <v>2050</v>
      </c>
      <c r="I57" s="121">
        <f>I56</f>
        <v>23.06677684731784</v>
      </c>
      <c r="J57" s="121">
        <f t="shared" si="0"/>
        <v>23.06677684731784</v>
      </c>
      <c r="K57" s="121">
        <f t="shared" si="20"/>
        <v>28.8334710591473</v>
      </c>
      <c r="L57" s="121">
        <f t="shared" si="20"/>
        <v>28.8334710591473</v>
      </c>
      <c r="N57" s="38" t="str">
        <f t="shared" si="21"/>
        <v>IMPELCR*</v>
      </c>
      <c r="O57" s="38" t="str">
        <f t="shared" si="21"/>
        <v>Imp</v>
      </c>
      <c r="S57" s="38" t="str">
        <f t="shared" si="22"/>
        <v>ELCHIGG</v>
      </c>
      <c r="U57" s="123"/>
      <c r="V57" s="116">
        <f t="shared" si="1"/>
        <v>83.040396650344221</v>
      </c>
    </row>
    <row r="58" spans="3:27" x14ac:dyDescent="0.25">
      <c r="C58" s="38" t="str">
        <f t="shared" si="10"/>
        <v>RA</v>
      </c>
      <c r="E58" s="38" t="str">
        <f t="shared" si="19"/>
        <v>IRE_PRICE</v>
      </c>
      <c r="F58" s="38">
        <f t="shared" si="19"/>
        <v>2050</v>
      </c>
      <c r="I58" s="121">
        <f>I57</f>
        <v>23.06677684731784</v>
      </c>
      <c r="J58" s="121">
        <f t="shared" si="0"/>
        <v>23.06677684731784</v>
      </c>
      <c r="K58" s="121">
        <f t="shared" si="20"/>
        <v>28.8334710591473</v>
      </c>
      <c r="L58" s="121">
        <f t="shared" si="20"/>
        <v>28.8334710591473</v>
      </c>
      <c r="N58" s="38" t="str">
        <f t="shared" si="21"/>
        <v>IMPELCR*</v>
      </c>
      <c r="O58" s="38" t="str">
        <f t="shared" si="21"/>
        <v>Imp</v>
      </c>
      <c r="S58" s="38" t="str">
        <f t="shared" si="22"/>
        <v>ELCHIGG</v>
      </c>
      <c r="U58" s="123"/>
      <c r="V58" s="116">
        <f t="shared" si="1"/>
        <v>83.040396650344221</v>
      </c>
    </row>
    <row r="59" spans="3:27" x14ac:dyDescent="0.25">
      <c r="C59" s="38" t="str">
        <f t="shared" si="10"/>
        <v>RE</v>
      </c>
      <c r="E59" s="38" t="str">
        <f t="shared" si="19"/>
        <v>IRE_PRICE</v>
      </c>
      <c r="F59" s="38">
        <f t="shared" si="19"/>
        <v>2050</v>
      </c>
      <c r="I59" s="121">
        <f>I58</f>
        <v>23.06677684731784</v>
      </c>
      <c r="J59" s="121">
        <f t="shared" si="0"/>
        <v>23.06677684731784</v>
      </c>
      <c r="K59" s="121">
        <f t="shared" si="20"/>
        <v>28.8334710591473</v>
      </c>
      <c r="L59" s="121">
        <f t="shared" si="20"/>
        <v>28.8334710591473</v>
      </c>
      <c r="N59" s="38" t="str">
        <f t="shared" si="21"/>
        <v>IMPELCR*</v>
      </c>
      <c r="O59" s="38" t="str">
        <f t="shared" si="21"/>
        <v>Imp</v>
      </c>
      <c r="S59" s="38" t="str">
        <f t="shared" si="22"/>
        <v>ELCHIGG</v>
      </c>
      <c r="U59" s="123"/>
      <c r="V59" s="116">
        <f t="shared" si="1"/>
        <v>83.040396650344221</v>
      </c>
    </row>
    <row r="60" spans="3:27" x14ac:dyDescent="0.25">
      <c r="C60" s="38" t="str">
        <f t="shared" si="10"/>
        <v>SN</v>
      </c>
      <c r="E60" s="38" t="str">
        <f t="shared" si="19"/>
        <v>IRE_PRICE</v>
      </c>
      <c r="F60" s="38">
        <f t="shared" si="19"/>
        <v>2050</v>
      </c>
      <c r="I60" s="121">
        <f>AB27*0.25</f>
        <v>7.2083677647868249</v>
      </c>
      <c r="J60" s="121">
        <f t="shared" si="0"/>
        <v>7.2083677647868249</v>
      </c>
      <c r="K60" s="121">
        <f t="shared" si="20"/>
        <v>28.8334710591473</v>
      </c>
      <c r="L60" s="121">
        <f t="shared" si="20"/>
        <v>28.8334710591473</v>
      </c>
      <c r="N60" s="38" t="str">
        <f t="shared" si="21"/>
        <v>IMPELCR*</v>
      </c>
      <c r="O60" s="38" t="str">
        <f t="shared" si="21"/>
        <v>Imp</v>
      </c>
      <c r="S60" s="38" t="str">
        <f t="shared" si="22"/>
        <v>ELCHIGG</v>
      </c>
      <c r="U60" s="123"/>
      <c r="V60" s="116">
        <f t="shared" si="1"/>
        <v>25.95012395323257</v>
      </c>
    </row>
    <row r="61" spans="3:27" x14ac:dyDescent="0.25">
      <c r="C61" s="38" t="str">
        <f t="shared" si="10"/>
        <v>SL</v>
      </c>
      <c r="E61" s="38" t="str">
        <f t="shared" si="19"/>
        <v>IRE_PRICE</v>
      </c>
      <c r="F61" s="38">
        <f t="shared" si="19"/>
        <v>2050</v>
      </c>
      <c r="I61" s="121">
        <f>I60</f>
        <v>7.2083677647868249</v>
      </c>
      <c r="J61" s="121">
        <f t="shared" si="0"/>
        <v>7.2083677647868249</v>
      </c>
      <c r="K61" s="121">
        <f t="shared" si="20"/>
        <v>28.8334710591473</v>
      </c>
      <c r="L61" s="121">
        <f t="shared" si="20"/>
        <v>28.8334710591473</v>
      </c>
      <c r="N61" s="38" t="str">
        <f t="shared" si="21"/>
        <v>IMPELCR*</v>
      </c>
      <c r="O61" s="38" t="str">
        <f t="shared" si="21"/>
        <v>Imp</v>
      </c>
      <c r="S61" s="38" t="str">
        <f t="shared" si="22"/>
        <v>ELCHIGG</v>
      </c>
      <c r="U61" s="123"/>
      <c r="V61" s="116">
        <f t="shared" si="1"/>
        <v>25.95012395323257</v>
      </c>
    </row>
    <row r="62" spans="3:27" x14ac:dyDescent="0.25">
      <c r="C62" s="38" t="str">
        <f t="shared" si="10"/>
        <v>SM</v>
      </c>
      <c r="E62" s="38" t="str">
        <f t="shared" si="19"/>
        <v>IRE_PRICE</v>
      </c>
      <c r="F62" s="38">
        <f t="shared" si="19"/>
        <v>2050</v>
      </c>
      <c r="I62" s="121">
        <f>I61</f>
        <v>7.2083677647868249</v>
      </c>
      <c r="J62" s="121">
        <f t="shared" si="0"/>
        <v>7.2083677647868249</v>
      </c>
      <c r="K62" s="121">
        <f t="shared" si="20"/>
        <v>28.8334710591473</v>
      </c>
      <c r="L62" s="121">
        <f t="shared" si="20"/>
        <v>28.8334710591473</v>
      </c>
      <c r="N62" s="38" t="str">
        <f t="shared" si="21"/>
        <v>IMPELCR*</v>
      </c>
      <c r="O62" s="38" t="str">
        <f t="shared" si="21"/>
        <v>Imp</v>
      </c>
      <c r="S62" s="38" t="str">
        <f t="shared" si="22"/>
        <v>ELCHIGG</v>
      </c>
      <c r="U62" s="123"/>
      <c r="V62" s="116">
        <f t="shared" si="1"/>
        <v>25.95012395323257</v>
      </c>
    </row>
    <row r="63" spans="3:27" x14ac:dyDescent="0.25">
      <c r="C63" s="38" t="str">
        <f t="shared" si="10"/>
        <v>SD</v>
      </c>
      <c r="E63" s="38" t="str">
        <f t="shared" si="19"/>
        <v>IRE_PRICE</v>
      </c>
      <c r="F63" s="38">
        <f t="shared" si="19"/>
        <v>2050</v>
      </c>
      <c r="I63" s="121">
        <f>I62</f>
        <v>7.2083677647868249</v>
      </c>
      <c r="J63" s="121">
        <f t="shared" si="0"/>
        <v>7.2083677647868249</v>
      </c>
      <c r="K63" s="121">
        <f t="shared" si="20"/>
        <v>28.8334710591473</v>
      </c>
      <c r="L63" s="121">
        <f t="shared" si="20"/>
        <v>28.8334710591473</v>
      </c>
      <c r="N63" s="38" t="str">
        <f t="shared" si="21"/>
        <v>IMPELCR*</v>
      </c>
      <c r="O63" s="38" t="str">
        <f t="shared" si="21"/>
        <v>Imp</v>
      </c>
      <c r="S63" s="38" t="str">
        <f t="shared" si="22"/>
        <v>ELCHIGG</v>
      </c>
      <c r="U63" s="123"/>
      <c r="V63" s="116">
        <f t="shared" si="1"/>
        <v>25.95012395323257</v>
      </c>
    </row>
    <row r="64" spans="3:27" x14ac:dyDescent="0.25">
      <c r="C64" s="38" t="str">
        <f t="shared" si="10"/>
        <v>SA</v>
      </c>
      <c r="E64" s="38" t="str">
        <f t="shared" si="19"/>
        <v>IRE_PRICE</v>
      </c>
      <c r="F64" s="38">
        <f t="shared" si="19"/>
        <v>2050</v>
      </c>
      <c r="I64" s="121">
        <f>I63</f>
        <v>7.2083677647868249</v>
      </c>
      <c r="J64" s="121">
        <f t="shared" si="0"/>
        <v>7.2083677647868249</v>
      </c>
      <c r="K64" s="121">
        <f t="shared" si="20"/>
        <v>28.8334710591473</v>
      </c>
      <c r="L64" s="121">
        <f t="shared" si="20"/>
        <v>28.8334710591473</v>
      </c>
      <c r="N64" s="38" t="str">
        <f t="shared" si="21"/>
        <v>IMPELCR*</v>
      </c>
      <c r="O64" s="38" t="str">
        <f t="shared" si="21"/>
        <v>Imp</v>
      </c>
      <c r="S64" s="38" t="str">
        <f t="shared" si="22"/>
        <v>ELCHIGG</v>
      </c>
      <c r="U64" s="123"/>
      <c r="V64" s="116">
        <f t="shared" si="1"/>
        <v>25.95012395323257</v>
      </c>
    </row>
    <row r="65" spans="3:22" x14ac:dyDescent="0.25">
      <c r="C65" s="38" t="str">
        <f t="shared" si="10"/>
        <v>SE</v>
      </c>
      <c r="E65" s="38" t="str">
        <f t="shared" si="19"/>
        <v>IRE_PRICE</v>
      </c>
      <c r="F65" s="38">
        <f t="shared" si="19"/>
        <v>2050</v>
      </c>
      <c r="I65" s="121">
        <f>I64</f>
        <v>7.2083677647868249</v>
      </c>
      <c r="J65" s="121">
        <f t="shared" si="0"/>
        <v>7.2083677647868249</v>
      </c>
      <c r="K65" s="121">
        <f t="shared" si="20"/>
        <v>28.8334710591473</v>
      </c>
      <c r="L65" s="121">
        <f t="shared" si="20"/>
        <v>28.8334710591473</v>
      </c>
      <c r="N65" s="38" t="str">
        <f t="shared" si="21"/>
        <v>IMPELCR*</v>
      </c>
      <c r="O65" s="38" t="str">
        <f t="shared" si="21"/>
        <v>Imp</v>
      </c>
      <c r="S65" s="38" t="str">
        <f t="shared" si="22"/>
        <v>ELCHIGG</v>
      </c>
      <c r="U65" s="123"/>
      <c r="V65" s="116">
        <f t="shared" si="1"/>
        <v>25.95012395323257</v>
      </c>
    </row>
    <row r="66" spans="3:22" x14ac:dyDescent="0.25">
      <c r="C66" s="38" t="str">
        <f t="shared" si="10"/>
        <v>FN</v>
      </c>
      <c r="E66" s="38" t="str">
        <f t="shared" si="19"/>
        <v>IRE_PRICE</v>
      </c>
      <c r="F66" s="38">
        <f t="shared" si="19"/>
        <v>2050</v>
      </c>
      <c r="I66" s="121">
        <f>AB27*0.9</f>
        <v>25.95012395323257</v>
      </c>
      <c r="J66" s="121">
        <f t="shared" si="0"/>
        <v>25.95012395323257</v>
      </c>
      <c r="K66" s="121">
        <f t="shared" si="20"/>
        <v>28.8334710591473</v>
      </c>
      <c r="L66" s="121">
        <f t="shared" si="20"/>
        <v>28.8334710591473</v>
      </c>
      <c r="N66" s="38" t="str">
        <f t="shared" si="21"/>
        <v>IMPELCR*</v>
      </c>
      <c r="O66" s="38" t="str">
        <f t="shared" si="21"/>
        <v>Imp</v>
      </c>
      <c r="S66" s="38" t="str">
        <f t="shared" si="22"/>
        <v>ELCHIGG</v>
      </c>
      <c r="U66" s="123"/>
      <c r="V66" s="116">
        <f t="shared" si="1"/>
        <v>93.420446231637257</v>
      </c>
    </row>
    <row r="67" spans="3:22" x14ac:dyDescent="0.25">
      <c r="C67" s="38" t="str">
        <f t="shared" si="10"/>
        <v>FL</v>
      </c>
      <c r="E67" s="38" t="str">
        <f t="shared" si="19"/>
        <v>IRE_PRICE</v>
      </c>
      <c r="F67" s="38">
        <f t="shared" si="19"/>
        <v>2050</v>
      </c>
      <c r="I67" s="121">
        <f>I66</f>
        <v>25.95012395323257</v>
      </c>
      <c r="J67" s="121">
        <f t="shared" si="0"/>
        <v>25.95012395323257</v>
      </c>
      <c r="K67" s="121">
        <f t="shared" si="20"/>
        <v>28.8334710591473</v>
      </c>
      <c r="L67" s="121">
        <f t="shared" si="20"/>
        <v>28.8334710591473</v>
      </c>
      <c r="N67" s="38" t="str">
        <f t="shared" si="21"/>
        <v>IMPELCR*</v>
      </c>
      <c r="O67" s="38" t="str">
        <f t="shared" si="21"/>
        <v>Imp</v>
      </c>
      <c r="S67" s="38" t="str">
        <f t="shared" si="22"/>
        <v>ELCHIGG</v>
      </c>
      <c r="U67" s="123"/>
      <c r="V67" s="116">
        <f t="shared" si="1"/>
        <v>93.420446231637257</v>
      </c>
    </row>
    <row r="68" spans="3:22" x14ac:dyDescent="0.25">
      <c r="C68" s="38" t="str">
        <f t="shared" si="10"/>
        <v>FM</v>
      </c>
      <c r="E68" s="38" t="str">
        <f t="shared" si="19"/>
        <v>IRE_PRICE</v>
      </c>
      <c r="F68" s="38">
        <f t="shared" si="19"/>
        <v>2050</v>
      </c>
      <c r="I68" s="121">
        <f t="shared" ref="I68:I71" si="23">I67</f>
        <v>25.95012395323257</v>
      </c>
      <c r="J68" s="121">
        <f t="shared" si="0"/>
        <v>25.95012395323257</v>
      </c>
      <c r="K68" s="121">
        <f t="shared" si="20"/>
        <v>28.8334710591473</v>
      </c>
      <c r="L68" s="121">
        <f t="shared" si="20"/>
        <v>28.8334710591473</v>
      </c>
      <c r="N68" s="38" t="str">
        <f t="shared" si="21"/>
        <v>IMPELCR*</v>
      </c>
      <c r="O68" s="38" t="str">
        <f t="shared" si="21"/>
        <v>Imp</v>
      </c>
      <c r="S68" s="38" t="str">
        <f t="shared" si="22"/>
        <v>ELCHIGG</v>
      </c>
      <c r="U68" s="123"/>
      <c r="V68" s="116">
        <f t="shared" si="1"/>
        <v>93.420446231637257</v>
      </c>
    </row>
    <row r="69" spans="3:22" x14ac:dyDescent="0.25">
      <c r="C69" s="38" t="str">
        <f t="shared" si="10"/>
        <v>FD</v>
      </c>
      <c r="E69" s="38" t="str">
        <f t="shared" si="19"/>
        <v>IRE_PRICE</v>
      </c>
      <c r="F69" s="38">
        <f t="shared" si="19"/>
        <v>2050</v>
      </c>
      <c r="I69" s="121">
        <f t="shared" si="23"/>
        <v>25.95012395323257</v>
      </c>
      <c r="J69" s="121">
        <f t="shared" si="0"/>
        <v>25.95012395323257</v>
      </c>
      <c r="K69" s="121">
        <f t="shared" si="20"/>
        <v>28.8334710591473</v>
      </c>
      <c r="L69" s="121">
        <f t="shared" si="20"/>
        <v>28.8334710591473</v>
      </c>
      <c r="N69" s="38" t="str">
        <f t="shared" si="21"/>
        <v>IMPELCR*</v>
      </c>
      <c r="O69" s="38" t="str">
        <f t="shared" si="21"/>
        <v>Imp</v>
      </c>
      <c r="S69" s="38" t="str">
        <f t="shared" si="22"/>
        <v>ELCHIGG</v>
      </c>
      <c r="U69" s="123"/>
      <c r="V69" s="116">
        <f t="shared" si="1"/>
        <v>93.420446231637257</v>
      </c>
    </row>
    <row r="70" spans="3:22" x14ac:dyDescent="0.25">
      <c r="C70" s="38" t="str">
        <f t="shared" si="10"/>
        <v>FA</v>
      </c>
      <c r="E70" s="38" t="str">
        <f t="shared" si="19"/>
        <v>IRE_PRICE</v>
      </c>
      <c r="F70" s="38">
        <f t="shared" si="19"/>
        <v>2050</v>
      </c>
      <c r="I70" s="121">
        <f t="shared" si="23"/>
        <v>25.95012395323257</v>
      </c>
      <c r="J70" s="121">
        <f t="shared" si="0"/>
        <v>25.95012395323257</v>
      </c>
      <c r="K70" s="121">
        <f t="shared" si="20"/>
        <v>28.8334710591473</v>
      </c>
      <c r="L70" s="121">
        <f t="shared" si="20"/>
        <v>28.8334710591473</v>
      </c>
      <c r="N70" s="38" t="str">
        <f t="shared" si="21"/>
        <v>IMPELCR*</v>
      </c>
      <c r="O70" s="38" t="str">
        <f t="shared" si="21"/>
        <v>Imp</v>
      </c>
      <c r="S70" s="38" t="str">
        <f t="shared" si="22"/>
        <v>ELCHIGG</v>
      </c>
      <c r="U70" s="123"/>
      <c r="V70" s="116">
        <f t="shared" si="1"/>
        <v>93.420446231637257</v>
      </c>
    </row>
    <row r="71" spans="3:22" x14ac:dyDescent="0.25">
      <c r="C71" s="38" t="str">
        <f t="shared" si="10"/>
        <v>FE</v>
      </c>
      <c r="E71" s="38" t="str">
        <f t="shared" si="19"/>
        <v>IRE_PRICE</v>
      </c>
      <c r="F71" s="38">
        <f t="shared" si="19"/>
        <v>2050</v>
      </c>
      <c r="I71" s="121">
        <f t="shared" si="23"/>
        <v>25.95012395323257</v>
      </c>
      <c r="J71" s="121">
        <f t="shared" ref="J71:J77" si="24">I71</f>
        <v>25.95012395323257</v>
      </c>
      <c r="K71" s="121">
        <f t="shared" si="20"/>
        <v>28.8334710591473</v>
      </c>
      <c r="L71" s="121">
        <f t="shared" si="20"/>
        <v>28.8334710591473</v>
      </c>
      <c r="N71" s="38" t="str">
        <f t="shared" si="21"/>
        <v>IMPELCR*</v>
      </c>
      <c r="O71" s="38" t="str">
        <f t="shared" si="21"/>
        <v>Imp</v>
      </c>
      <c r="S71" s="38" t="str">
        <f t="shared" si="22"/>
        <v>ELCHIGG</v>
      </c>
      <c r="U71" s="123"/>
      <c r="V71" s="116">
        <f t="shared" ref="V71:V77" si="25">I71*3.6</f>
        <v>93.420446231637257</v>
      </c>
    </row>
    <row r="72" spans="3:22" x14ac:dyDescent="0.25">
      <c r="C72" s="38" t="str">
        <f t="shared" si="10"/>
        <v>WN</v>
      </c>
      <c r="E72" s="38" t="str">
        <f t="shared" ref="E72:F77" si="26">E71</f>
        <v>IRE_PRICE</v>
      </c>
      <c r="F72" s="38">
        <f t="shared" si="26"/>
        <v>2050</v>
      </c>
      <c r="I72" s="121">
        <f>AB27</f>
        <v>28.8334710591473</v>
      </c>
      <c r="J72" s="121">
        <f t="shared" si="24"/>
        <v>28.8334710591473</v>
      </c>
      <c r="K72" s="121">
        <f t="shared" ref="K72:L77" si="27">K71</f>
        <v>28.8334710591473</v>
      </c>
      <c r="L72" s="121">
        <f t="shared" si="27"/>
        <v>28.8334710591473</v>
      </c>
      <c r="N72" s="38" t="str">
        <f t="shared" ref="N72:O77" si="28">N71</f>
        <v>IMPELCR*</v>
      </c>
      <c r="O72" s="38" t="str">
        <f t="shared" si="28"/>
        <v>Imp</v>
      </c>
      <c r="S72" s="38" t="str">
        <f t="shared" si="22"/>
        <v>ELCHIGG</v>
      </c>
      <c r="U72" s="123"/>
      <c r="V72" s="116">
        <f t="shared" si="25"/>
        <v>103.80049581293028</v>
      </c>
    </row>
    <row r="73" spans="3:22" x14ac:dyDescent="0.25">
      <c r="C73" s="38" t="str">
        <f t="shared" si="10"/>
        <v>WL</v>
      </c>
      <c r="E73" s="38" t="str">
        <f t="shared" si="26"/>
        <v>IRE_PRICE</v>
      </c>
      <c r="F73" s="38">
        <f t="shared" si="26"/>
        <v>2050</v>
      </c>
      <c r="I73" s="121">
        <f>I72</f>
        <v>28.8334710591473</v>
      </c>
      <c r="J73" s="121">
        <f t="shared" si="24"/>
        <v>28.8334710591473</v>
      </c>
      <c r="K73" s="121">
        <f t="shared" si="27"/>
        <v>28.8334710591473</v>
      </c>
      <c r="L73" s="121">
        <f t="shared" si="27"/>
        <v>28.8334710591473</v>
      </c>
      <c r="N73" s="38" t="str">
        <f t="shared" si="28"/>
        <v>IMPELCR*</v>
      </c>
      <c r="O73" s="38" t="str">
        <f t="shared" si="28"/>
        <v>Imp</v>
      </c>
      <c r="S73" s="38" t="str">
        <f t="shared" si="22"/>
        <v>ELCHIGG</v>
      </c>
      <c r="U73" s="123"/>
      <c r="V73" s="116">
        <f t="shared" si="25"/>
        <v>103.80049581293028</v>
      </c>
    </row>
    <row r="74" spans="3:22" x14ac:dyDescent="0.25">
      <c r="C74" s="38" t="str">
        <f t="shared" si="10"/>
        <v>WM</v>
      </c>
      <c r="E74" s="38" t="str">
        <f t="shared" si="26"/>
        <v>IRE_PRICE</v>
      </c>
      <c r="F74" s="38">
        <f t="shared" si="26"/>
        <v>2050</v>
      </c>
      <c r="I74" s="121">
        <f>I73</f>
        <v>28.8334710591473</v>
      </c>
      <c r="J74" s="121">
        <f t="shared" si="24"/>
        <v>28.8334710591473</v>
      </c>
      <c r="K74" s="121">
        <f t="shared" si="27"/>
        <v>28.8334710591473</v>
      </c>
      <c r="L74" s="121">
        <f t="shared" si="27"/>
        <v>28.8334710591473</v>
      </c>
      <c r="N74" s="38" t="str">
        <f t="shared" si="28"/>
        <v>IMPELCR*</v>
      </c>
      <c r="O74" s="38" t="str">
        <f t="shared" si="28"/>
        <v>Imp</v>
      </c>
      <c r="S74" s="38" t="str">
        <f t="shared" si="22"/>
        <v>ELCHIGG</v>
      </c>
      <c r="U74" s="123"/>
      <c r="V74" s="116">
        <f t="shared" si="25"/>
        <v>103.80049581293028</v>
      </c>
    </row>
    <row r="75" spans="3:22" x14ac:dyDescent="0.25">
      <c r="C75" s="38" t="str">
        <f t="shared" si="10"/>
        <v>WD</v>
      </c>
      <c r="E75" s="38" t="str">
        <f t="shared" si="26"/>
        <v>IRE_PRICE</v>
      </c>
      <c r="F75" s="38">
        <f t="shared" si="26"/>
        <v>2050</v>
      </c>
      <c r="I75" s="121">
        <f>I74</f>
        <v>28.8334710591473</v>
      </c>
      <c r="J75" s="121">
        <f t="shared" si="24"/>
        <v>28.8334710591473</v>
      </c>
      <c r="K75" s="121">
        <f t="shared" si="27"/>
        <v>28.8334710591473</v>
      </c>
      <c r="L75" s="121">
        <f t="shared" si="27"/>
        <v>28.8334710591473</v>
      </c>
      <c r="N75" s="38" t="str">
        <f t="shared" si="28"/>
        <v>IMPELCR*</v>
      </c>
      <c r="O75" s="38" t="str">
        <f t="shared" si="28"/>
        <v>Imp</v>
      </c>
      <c r="S75" s="38" t="str">
        <f t="shared" si="22"/>
        <v>ELCHIGG</v>
      </c>
      <c r="U75" s="123"/>
      <c r="V75" s="116">
        <f t="shared" si="25"/>
        <v>103.80049581293028</v>
      </c>
    </row>
    <row r="76" spans="3:22" x14ac:dyDescent="0.25">
      <c r="C76" s="38" t="str">
        <f t="shared" si="10"/>
        <v>WA</v>
      </c>
      <c r="E76" s="38" t="str">
        <f t="shared" si="26"/>
        <v>IRE_PRICE</v>
      </c>
      <c r="F76" s="38">
        <f t="shared" si="26"/>
        <v>2050</v>
      </c>
      <c r="I76" s="121">
        <f>I75</f>
        <v>28.8334710591473</v>
      </c>
      <c r="J76" s="121">
        <f t="shared" si="24"/>
        <v>28.8334710591473</v>
      </c>
      <c r="K76" s="121">
        <f t="shared" si="27"/>
        <v>28.8334710591473</v>
      </c>
      <c r="L76" s="121">
        <f t="shared" si="27"/>
        <v>28.8334710591473</v>
      </c>
      <c r="N76" s="38" t="str">
        <f t="shared" si="28"/>
        <v>IMPELCR*</v>
      </c>
      <c r="O76" s="38" t="str">
        <f t="shared" si="28"/>
        <v>Imp</v>
      </c>
      <c r="S76" s="38" t="str">
        <f t="shared" si="22"/>
        <v>ELCHIGG</v>
      </c>
      <c r="U76" s="123"/>
      <c r="V76" s="116">
        <f t="shared" si="25"/>
        <v>103.80049581293028</v>
      </c>
    </row>
    <row r="77" spans="3:22" x14ac:dyDescent="0.25">
      <c r="C77" s="11" t="str">
        <f t="shared" si="10"/>
        <v>WE</v>
      </c>
      <c r="D77" s="11"/>
      <c r="E77" s="11" t="str">
        <f t="shared" si="26"/>
        <v>IRE_PRICE</v>
      </c>
      <c r="F77" s="11">
        <f t="shared" si="26"/>
        <v>2050</v>
      </c>
      <c r="G77" s="11"/>
      <c r="H77" s="11"/>
      <c r="I77" s="122">
        <f>I76</f>
        <v>28.8334710591473</v>
      </c>
      <c r="J77" s="122">
        <f t="shared" si="24"/>
        <v>28.8334710591473</v>
      </c>
      <c r="K77" s="122">
        <f t="shared" si="27"/>
        <v>28.8334710591473</v>
      </c>
      <c r="L77" s="122">
        <f t="shared" si="27"/>
        <v>28.8334710591473</v>
      </c>
      <c r="M77" s="11"/>
      <c r="N77" s="11" t="str">
        <f t="shared" si="28"/>
        <v>IMPELCR*</v>
      </c>
      <c r="O77" s="11" t="str">
        <f t="shared" si="28"/>
        <v>Imp</v>
      </c>
      <c r="P77" s="11"/>
      <c r="Q77" s="11"/>
      <c r="R77" s="11"/>
      <c r="S77" s="11" t="str">
        <f t="shared" si="22"/>
        <v>ELCHIGG</v>
      </c>
      <c r="U77" s="123"/>
      <c r="V77" s="116">
        <f t="shared" si="25"/>
        <v>103.80049581293028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1"/>
  <sheetViews>
    <sheetView workbookViewId="0">
      <selection activeCell="D21" sqref="D21"/>
    </sheetView>
  </sheetViews>
  <sheetFormatPr defaultColWidth="9.109375" defaultRowHeight="14.4" x14ac:dyDescent="0.3"/>
  <cols>
    <col min="1" max="1" width="27.109375" style="8" bestFit="1" customWidth="1"/>
    <col min="2" max="4" width="9.109375" style="8"/>
    <col min="5" max="5" width="10.88671875" style="8" bestFit="1" customWidth="1"/>
    <col min="6" max="16384" width="9.109375" style="8"/>
  </cols>
  <sheetData>
    <row r="1" spans="1:6" x14ac:dyDescent="0.3">
      <c r="A1" s="6" t="s">
        <v>19</v>
      </c>
      <c r="B1" s="7"/>
      <c r="E1" s="2" t="s">
        <v>20</v>
      </c>
      <c r="F1" s="1">
        <v>2017</v>
      </c>
    </row>
    <row r="2" spans="1:6" ht="15.6" x14ac:dyDescent="0.3">
      <c r="A2" s="2" t="s">
        <v>21</v>
      </c>
      <c r="B2" s="3" t="s">
        <v>22</v>
      </c>
      <c r="E2" s="2" t="s">
        <v>23</v>
      </c>
      <c r="F2" s="8">
        <v>2050</v>
      </c>
    </row>
    <row r="3" spans="1:6" ht="15.6" x14ac:dyDescent="0.3">
      <c r="A3" s="2" t="s">
        <v>24</v>
      </c>
      <c r="B3" s="3" t="s">
        <v>99</v>
      </c>
    </row>
    <row r="4" spans="1:6" ht="15.6" x14ac:dyDescent="0.3">
      <c r="A4" s="2" t="s">
        <v>25</v>
      </c>
      <c r="B4" s="3" t="s">
        <v>26</v>
      </c>
    </row>
    <row r="5" spans="1:6" ht="15.6" x14ac:dyDescent="0.3">
      <c r="A5" s="2" t="s">
        <v>27</v>
      </c>
      <c r="B5" s="3" t="s">
        <v>28</v>
      </c>
      <c r="C5" s="4"/>
    </row>
    <row r="8" spans="1:6" x14ac:dyDescent="0.3">
      <c r="A8" s="9" t="s">
        <v>29</v>
      </c>
      <c r="B8" s="9"/>
    </row>
    <row r="10" spans="1:6" x14ac:dyDescent="0.3">
      <c r="A10" s="6" t="s">
        <v>3</v>
      </c>
      <c r="B10" s="6" t="s">
        <v>30</v>
      </c>
      <c r="C10" s="6" t="s">
        <v>31</v>
      </c>
      <c r="D10" s="6" t="s">
        <v>32</v>
      </c>
      <c r="E10" s="6" t="s">
        <v>33</v>
      </c>
    </row>
    <row r="11" spans="1:6" x14ac:dyDescent="0.3">
      <c r="A11" s="10" t="s">
        <v>34</v>
      </c>
      <c r="B11" s="2" t="s">
        <v>35</v>
      </c>
      <c r="C11" s="2" t="s">
        <v>36</v>
      </c>
      <c r="D11" s="5" t="s">
        <v>37</v>
      </c>
      <c r="E11" s="5"/>
    </row>
    <row r="12" spans="1:6" x14ac:dyDescent="0.3">
      <c r="A12" s="10" t="s">
        <v>38</v>
      </c>
      <c r="B12" s="2" t="s">
        <v>39</v>
      </c>
      <c r="C12" s="2" t="s">
        <v>40</v>
      </c>
      <c r="D12" s="5" t="s">
        <v>100</v>
      </c>
      <c r="E12" s="5" t="str">
        <f>B3&amp;"/"&amp;B2</f>
        <v>M$/PJ</v>
      </c>
    </row>
    <row r="13" spans="1:6" x14ac:dyDescent="0.3">
      <c r="A13" s="10" t="s">
        <v>9</v>
      </c>
      <c r="B13" s="2" t="s">
        <v>41</v>
      </c>
      <c r="C13" s="2" t="s">
        <v>36</v>
      </c>
      <c r="D13" s="5" t="str">
        <f>B2&amp;"/year"</f>
        <v>PJ/year</v>
      </c>
      <c r="E13" s="5"/>
    </row>
    <row r="14" spans="1:6" x14ac:dyDescent="0.3">
      <c r="A14" s="10" t="s">
        <v>42</v>
      </c>
      <c r="B14" s="2" t="s">
        <v>43</v>
      </c>
      <c r="C14" s="2" t="s">
        <v>36</v>
      </c>
      <c r="D14" s="5" t="s">
        <v>101</v>
      </c>
      <c r="E14" s="5" t="str">
        <f>B3&amp;"/"&amp;B2&amp;"/a"</f>
        <v>M$/PJ/a</v>
      </c>
    </row>
    <row r="15" spans="1:6" x14ac:dyDescent="0.3">
      <c r="A15" s="10" t="s">
        <v>44</v>
      </c>
      <c r="B15" s="2" t="s">
        <v>45</v>
      </c>
      <c r="C15" s="2" t="s">
        <v>36</v>
      </c>
      <c r="D15" s="5" t="s">
        <v>100</v>
      </c>
      <c r="E15" s="5" t="str">
        <f>B3&amp;"/"&amp;B2</f>
        <v>M$/PJ</v>
      </c>
    </row>
    <row r="16" spans="1:6" x14ac:dyDescent="0.3">
      <c r="A16" s="10" t="s">
        <v>18</v>
      </c>
      <c r="B16" s="2" t="s">
        <v>46</v>
      </c>
      <c r="C16" s="2" t="s">
        <v>36</v>
      </c>
      <c r="D16" s="5" t="s">
        <v>47</v>
      </c>
      <c r="E16" s="5" t="str">
        <f>B2&amp;"/"&amp;B5</f>
        <v>PJ/GW</v>
      </c>
    </row>
    <row r="17" spans="1:5" x14ac:dyDescent="0.3">
      <c r="A17" s="10" t="s">
        <v>34</v>
      </c>
      <c r="B17" s="2" t="s">
        <v>35</v>
      </c>
      <c r="C17" s="2" t="s">
        <v>36</v>
      </c>
      <c r="D17" s="5" t="s">
        <v>37</v>
      </c>
      <c r="E17" s="5"/>
    </row>
    <row r="18" spans="1:5" x14ac:dyDescent="0.3">
      <c r="A18" s="10" t="s">
        <v>48</v>
      </c>
      <c r="B18" s="2" t="s">
        <v>49</v>
      </c>
      <c r="C18" s="2" t="s">
        <v>50</v>
      </c>
      <c r="D18" s="5" t="s">
        <v>51</v>
      </c>
      <c r="E18" s="5"/>
    </row>
    <row r="19" spans="1:5" x14ac:dyDescent="0.3">
      <c r="A19" s="10" t="s">
        <v>18</v>
      </c>
      <c r="B19" s="2" t="s">
        <v>52</v>
      </c>
      <c r="C19" s="2"/>
      <c r="D19" s="5" t="str">
        <f>IF(B2="PJ","TJ/unit","GJ/unit")</f>
        <v>TJ/unit</v>
      </c>
      <c r="E19" s="5"/>
    </row>
    <row r="20" spans="1:5" x14ac:dyDescent="0.3">
      <c r="A20" s="10" t="s">
        <v>53</v>
      </c>
      <c r="B20" s="2" t="s">
        <v>54</v>
      </c>
      <c r="C20" s="2" t="s">
        <v>36</v>
      </c>
      <c r="D20" s="5" t="s">
        <v>55</v>
      </c>
      <c r="E20" s="5"/>
    </row>
    <row r="21" spans="1:5" x14ac:dyDescent="0.3">
      <c r="A21" s="10" t="s">
        <v>48</v>
      </c>
      <c r="B21" s="2" t="s">
        <v>49</v>
      </c>
      <c r="C21" s="2" t="s">
        <v>56</v>
      </c>
      <c r="D21" s="5" t="str">
        <f>B2&amp;"/year"</f>
        <v>PJ/year</v>
      </c>
      <c r="E2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C18-362E-4308-B921-56801D5B7F71}">
  <dimension ref="B2:M42"/>
  <sheetViews>
    <sheetView zoomScale="70" zoomScaleNormal="70" workbookViewId="0">
      <selection sqref="A1:XFD1048576"/>
    </sheetView>
  </sheetViews>
  <sheetFormatPr defaultRowHeight="14.4" x14ac:dyDescent="0.3"/>
  <cols>
    <col min="1" max="1" width="8.88671875" style="23"/>
    <col min="2" max="2" width="25.5546875" style="23" bestFit="1" customWidth="1"/>
    <col min="3" max="3" width="43.33203125" style="23" bestFit="1" customWidth="1"/>
    <col min="4" max="4" width="23.33203125" style="23" bestFit="1" customWidth="1"/>
    <col min="5" max="5" width="11.109375" style="23" bestFit="1" customWidth="1"/>
    <col min="6" max="6" width="18.88671875" style="23" bestFit="1" customWidth="1"/>
    <col min="7" max="7" width="21.44140625" style="23" bestFit="1" customWidth="1"/>
    <col min="8" max="11" width="6.88671875" style="23" bestFit="1" customWidth="1"/>
    <col min="12" max="12" width="45.88671875" style="23" bestFit="1" customWidth="1"/>
    <col min="13" max="16384" width="8.88671875" style="23"/>
  </cols>
  <sheetData>
    <row r="2" spans="2:13" x14ac:dyDescent="0.3">
      <c r="B2" s="38"/>
      <c r="C2" s="24" t="s">
        <v>243</v>
      </c>
      <c r="D2" s="38"/>
      <c r="E2" s="38"/>
      <c r="F2" s="38"/>
      <c r="G2" s="39"/>
      <c r="H2" s="40"/>
      <c r="I2" s="40"/>
      <c r="J2" s="40"/>
      <c r="K2" s="40"/>
      <c r="L2" s="38"/>
    </row>
    <row r="3" spans="2:13" x14ac:dyDescent="0.3">
      <c r="B3" s="38"/>
      <c r="C3" s="38"/>
      <c r="D3" s="38"/>
      <c r="E3" s="24" t="s">
        <v>146</v>
      </c>
      <c r="F3" s="38"/>
      <c r="G3" s="39"/>
      <c r="H3" s="38"/>
      <c r="I3" s="38"/>
      <c r="J3" s="38"/>
      <c r="K3" s="38"/>
      <c r="L3" s="38"/>
    </row>
    <row r="4" spans="2:13" x14ac:dyDescent="0.3">
      <c r="B4" s="27" t="s">
        <v>147</v>
      </c>
      <c r="C4" s="27" t="s">
        <v>5</v>
      </c>
      <c r="D4" s="27" t="s">
        <v>6</v>
      </c>
      <c r="E4" s="27" t="s">
        <v>4</v>
      </c>
      <c r="F4" s="27" t="s">
        <v>170</v>
      </c>
      <c r="G4" s="27" t="s">
        <v>150</v>
      </c>
      <c r="H4" s="27" t="s">
        <v>93</v>
      </c>
      <c r="I4" s="27" t="s">
        <v>239</v>
      </c>
      <c r="J4" s="27" t="s">
        <v>240</v>
      </c>
      <c r="K4" s="27" t="s">
        <v>241</v>
      </c>
      <c r="L4" s="27" t="s">
        <v>151</v>
      </c>
    </row>
    <row r="5" spans="2:13" x14ac:dyDescent="0.3">
      <c r="B5" s="30" t="s">
        <v>173</v>
      </c>
      <c r="C5" s="30" t="s">
        <v>172</v>
      </c>
      <c r="D5" s="30"/>
      <c r="E5" s="41">
        <f>BASE_YEAR+1</f>
        <v>2018</v>
      </c>
      <c r="F5" s="30">
        <v>1</v>
      </c>
      <c r="G5" s="42">
        <v>5</v>
      </c>
      <c r="H5" s="43">
        <v>3.69</v>
      </c>
      <c r="I5" s="43"/>
      <c r="J5" s="43"/>
      <c r="K5" s="43"/>
      <c r="L5" s="38" t="s">
        <v>171</v>
      </c>
    </row>
    <row r="6" spans="2:13" x14ac:dyDescent="0.3">
      <c r="B6" s="38"/>
      <c r="C6" s="38" t="str">
        <f>C5</f>
        <v>IND*AUT*</v>
      </c>
      <c r="D6" s="38"/>
      <c r="E6" s="24">
        <v>2020</v>
      </c>
      <c r="F6" s="38">
        <v>1</v>
      </c>
      <c r="G6" s="39"/>
      <c r="H6" s="43">
        <v>3.69</v>
      </c>
      <c r="I6" s="43"/>
      <c r="J6" s="43"/>
      <c r="K6" s="43"/>
      <c r="L6" s="38"/>
    </row>
    <row r="7" spans="2:13" x14ac:dyDescent="0.3">
      <c r="B7" s="38"/>
      <c r="C7" s="38" t="str">
        <f t="shared" ref="C7:C12" si="0">C6</f>
        <v>IND*AUT*</v>
      </c>
      <c r="D7" s="38"/>
      <c r="E7" s="24">
        <v>2025</v>
      </c>
      <c r="F7" s="38">
        <v>1</v>
      </c>
      <c r="G7" s="39"/>
      <c r="H7" s="43">
        <v>3.69</v>
      </c>
      <c r="I7" s="43"/>
      <c r="J7" s="43"/>
      <c r="K7" s="43"/>
      <c r="L7" s="38"/>
    </row>
    <row r="8" spans="2:13" x14ac:dyDescent="0.3">
      <c r="B8" s="38"/>
      <c r="C8" s="38" t="str">
        <f t="shared" si="0"/>
        <v>IND*AUT*</v>
      </c>
      <c r="D8" s="38"/>
      <c r="E8" s="24">
        <v>2030</v>
      </c>
      <c r="F8" s="38">
        <v>1</v>
      </c>
      <c r="G8" s="39"/>
      <c r="H8" s="43">
        <v>3.69</v>
      </c>
      <c r="I8" s="43"/>
      <c r="J8" s="43"/>
      <c r="K8" s="43"/>
      <c r="L8" s="38"/>
    </row>
    <row r="9" spans="2:13" x14ac:dyDescent="0.3">
      <c r="B9" s="38"/>
      <c r="C9" s="38" t="str">
        <f t="shared" si="0"/>
        <v>IND*AUT*</v>
      </c>
      <c r="D9" s="38"/>
      <c r="E9" s="24">
        <v>2035</v>
      </c>
      <c r="F9" s="38">
        <v>1</v>
      </c>
      <c r="G9" s="39"/>
      <c r="H9" s="43">
        <v>3.69</v>
      </c>
      <c r="I9" s="43"/>
      <c r="J9" s="43"/>
      <c r="K9" s="43"/>
      <c r="L9" s="38"/>
    </row>
    <row r="10" spans="2:13" x14ac:dyDescent="0.3">
      <c r="B10" s="38"/>
      <c r="C10" s="38" t="str">
        <f t="shared" si="0"/>
        <v>IND*AUT*</v>
      </c>
      <c r="D10" s="38"/>
      <c r="E10" s="24">
        <v>2040</v>
      </c>
      <c r="F10" s="38">
        <v>1</v>
      </c>
      <c r="G10" s="39"/>
      <c r="H10" s="43">
        <v>3.69</v>
      </c>
      <c r="I10" s="43"/>
      <c r="J10" s="43"/>
      <c r="K10" s="43"/>
      <c r="L10" s="38"/>
    </row>
    <row r="11" spans="2:13" x14ac:dyDescent="0.3">
      <c r="B11" s="38"/>
      <c r="C11" s="38" t="str">
        <f t="shared" si="0"/>
        <v>IND*AUT*</v>
      </c>
      <c r="D11" s="38"/>
      <c r="E11" s="24">
        <v>2045</v>
      </c>
      <c r="F11" s="38">
        <v>1</v>
      </c>
      <c r="G11" s="39"/>
      <c r="H11" s="43">
        <v>3.69</v>
      </c>
      <c r="I11" s="43"/>
      <c r="J11" s="43"/>
      <c r="K11" s="43"/>
      <c r="L11" s="38"/>
    </row>
    <row r="12" spans="2:13" x14ac:dyDescent="0.3">
      <c r="B12" s="38"/>
      <c r="C12" s="38" t="str">
        <f t="shared" si="0"/>
        <v>IND*AUT*</v>
      </c>
      <c r="D12" s="38"/>
      <c r="E12" s="24">
        <v>2050</v>
      </c>
      <c r="F12" s="38">
        <v>1</v>
      </c>
      <c r="G12" s="39"/>
      <c r="H12" s="44">
        <v>3.69</v>
      </c>
      <c r="I12" s="44"/>
      <c r="J12" s="44"/>
      <c r="K12" s="44"/>
      <c r="L12" s="38"/>
    </row>
    <row r="13" spans="2:13" x14ac:dyDescent="0.3">
      <c r="B13" s="30" t="s">
        <v>204</v>
      </c>
      <c r="C13" s="30" t="s">
        <v>206</v>
      </c>
      <c r="D13" s="30"/>
      <c r="E13" s="41">
        <f>BASE_YEAR+1</f>
        <v>2018</v>
      </c>
      <c r="F13" s="30">
        <v>1</v>
      </c>
      <c r="G13" s="42">
        <v>5</v>
      </c>
      <c r="H13" s="43">
        <v>1.28</v>
      </c>
      <c r="I13" s="43"/>
      <c r="J13" s="43"/>
      <c r="K13" s="43"/>
      <c r="L13" s="38" t="s">
        <v>205</v>
      </c>
    </row>
    <row r="14" spans="2:13" x14ac:dyDescent="0.3">
      <c r="B14" s="38"/>
      <c r="C14" s="38" t="s">
        <v>206</v>
      </c>
      <c r="D14" s="38"/>
      <c r="E14" s="24">
        <v>2020</v>
      </c>
      <c r="F14" s="38">
        <v>1</v>
      </c>
      <c r="G14" s="39"/>
      <c r="H14" s="43">
        <f>H13</f>
        <v>1.28</v>
      </c>
      <c r="I14" s="43"/>
      <c r="J14" s="43"/>
      <c r="K14" s="43"/>
      <c r="L14" s="38"/>
    </row>
    <row r="15" spans="2:13" x14ac:dyDescent="0.3">
      <c r="B15" s="38"/>
      <c r="C15" s="38" t="s">
        <v>206</v>
      </c>
      <c r="D15" s="38"/>
      <c r="E15" s="24">
        <v>2025</v>
      </c>
      <c r="F15" s="38">
        <v>1</v>
      </c>
      <c r="G15" s="39"/>
      <c r="H15" s="43">
        <f>H14+0.8</f>
        <v>2.08</v>
      </c>
      <c r="I15" s="43"/>
      <c r="J15" s="43"/>
      <c r="K15" s="43"/>
      <c r="L15" s="38"/>
      <c r="M15" s="23" t="s">
        <v>207</v>
      </c>
    </row>
    <row r="16" spans="2:13" x14ac:dyDescent="0.3">
      <c r="B16" s="38"/>
      <c r="C16" s="38" t="s">
        <v>206</v>
      </c>
      <c r="D16" s="38"/>
      <c r="E16" s="24">
        <v>2030</v>
      </c>
      <c r="F16" s="38">
        <v>1</v>
      </c>
      <c r="G16" s="39"/>
      <c r="H16" s="43">
        <f>H15</f>
        <v>2.08</v>
      </c>
      <c r="I16" s="43"/>
      <c r="J16" s="43"/>
      <c r="K16" s="43"/>
      <c r="L16" s="38"/>
    </row>
    <row r="17" spans="2:13" x14ac:dyDescent="0.3">
      <c r="B17" s="38"/>
      <c r="C17" s="38" t="s">
        <v>206</v>
      </c>
      <c r="D17" s="38"/>
      <c r="E17" s="24">
        <v>2035</v>
      </c>
      <c r="F17" s="38">
        <v>1</v>
      </c>
      <c r="G17" s="39"/>
      <c r="H17" s="43">
        <f t="shared" ref="H17:H18" si="1">H16</f>
        <v>2.08</v>
      </c>
      <c r="I17" s="43"/>
      <c r="J17" s="43"/>
      <c r="K17" s="43"/>
      <c r="L17" s="38"/>
    </row>
    <row r="18" spans="2:13" x14ac:dyDescent="0.3">
      <c r="B18" s="38"/>
      <c r="C18" s="38" t="s">
        <v>206</v>
      </c>
      <c r="D18" s="38"/>
      <c r="E18" s="24">
        <v>2040</v>
      </c>
      <c r="F18" s="38">
        <v>1</v>
      </c>
      <c r="G18" s="39"/>
      <c r="H18" s="43">
        <f t="shared" si="1"/>
        <v>2.08</v>
      </c>
      <c r="I18" s="43"/>
      <c r="J18" s="43"/>
      <c r="K18" s="43"/>
      <c r="L18" s="38"/>
    </row>
    <row r="19" spans="2:13" x14ac:dyDescent="0.3">
      <c r="B19" s="38"/>
      <c r="C19" s="38" t="s">
        <v>206</v>
      </c>
      <c r="D19" s="38"/>
      <c r="E19" s="24">
        <v>2045</v>
      </c>
      <c r="F19" s="38">
        <v>1</v>
      </c>
      <c r="G19" s="39"/>
      <c r="H19" s="43">
        <f>H15-H14</f>
        <v>0.8</v>
      </c>
      <c r="I19" s="43"/>
      <c r="J19" s="43"/>
      <c r="K19" s="43"/>
      <c r="L19" s="38"/>
    </row>
    <row r="20" spans="2:13" x14ac:dyDescent="0.3">
      <c r="B20" s="11"/>
      <c r="C20" s="11" t="s">
        <v>206</v>
      </c>
      <c r="D20" s="11"/>
      <c r="E20" s="45">
        <v>2050</v>
      </c>
      <c r="F20" s="11">
        <v>1</v>
      </c>
      <c r="G20" s="46"/>
      <c r="H20" s="44">
        <f>H19</f>
        <v>0.8</v>
      </c>
      <c r="I20" s="44"/>
      <c r="J20" s="44"/>
      <c r="K20" s="44"/>
      <c r="L20" s="38"/>
    </row>
    <row r="22" spans="2:13" x14ac:dyDescent="0.3">
      <c r="B22" s="38"/>
      <c r="C22" s="24" t="s">
        <v>243</v>
      </c>
      <c r="D22" s="38"/>
      <c r="E22" s="38"/>
      <c r="F22" s="38"/>
      <c r="G22" s="39"/>
      <c r="H22" s="40"/>
      <c r="I22" s="40"/>
      <c r="J22" s="40"/>
      <c r="K22" s="40"/>
      <c r="L22" s="38"/>
    </row>
    <row r="23" spans="2:13" x14ac:dyDescent="0.3">
      <c r="B23" s="38"/>
      <c r="C23" s="38"/>
      <c r="D23" s="38"/>
      <c r="E23" s="24" t="s">
        <v>216</v>
      </c>
      <c r="F23" s="38"/>
      <c r="G23" s="39"/>
      <c r="H23" s="38"/>
      <c r="I23" s="38"/>
      <c r="J23" s="38"/>
      <c r="K23" s="38"/>
      <c r="L23" s="38"/>
    </row>
    <row r="24" spans="2:13" x14ac:dyDescent="0.3">
      <c r="B24" s="27" t="s">
        <v>147</v>
      </c>
      <c r="C24" s="27" t="s">
        <v>5</v>
      </c>
      <c r="D24" s="27" t="s">
        <v>6</v>
      </c>
      <c r="E24" s="27" t="s">
        <v>4</v>
      </c>
      <c r="F24" s="27" t="s">
        <v>148</v>
      </c>
      <c r="G24" s="27" t="s">
        <v>219</v>
      </c>
      <c r="H24" s="27" t="s">
        <v>93</v>
      </c>
      <c r="I24" s="27" t="s">
        <v>239</v>
      </c>
      <c r="J24" s="27" t="s">
        <v>240</v>
      </c>
      <c r="K24" s="27" t="s">
        <v>241</v>
      </c>
      <c r="L24" s="27" t="s">
        <v>151</v>
      </c>
    </row>
    <row r="25" spans="2:13" x14ac:dyDescent="0.3">
      <c r="B25" s="38" t="s">
        <v>214</v>
      </c>
      <c r="C25" s="38" t="s">
        <v>215</v>
      </c>
      <c r="D25" s="38"/>
      <c r="E25" s="24">
        <f>BASE_YEAR+1</f>
        <v>2018</v>
      </c>
      <c r="F25" s="38">
        <v>1</v>
      </c>
      <c r="G25" s="39">
        <v>-1</v>
      </c>
      <c r="H25" s="43">
        <v>0</v>
      </c>
      <c r="I25" s="43"/>
      <c r="J25" s="43"/>
      <c r="K25" s="43"/>
      <c r="M25" s="23" t="s">
        <v>218</v>
      </c>
    </row>
    <row r="26" spans="2:13" x14ac:dyDescent="0.3">
      <c r="B26" s="38"/>
      <c r="C26" s="38" t="s">
        <v>215</v>
      </c>
      <c r="D26" s="38"/>
      <c r="E26" s="24">
        <v>2020</v>
      </c>
      <c r="F26" s="38">
        <v>1</v>
      </c>
      <c r="G26" s="39"/>
      <c r="H26" s="43">
        <v>2</v>
      </c>
      <c r="I26" s="43"/>
      <c r="J26" s="43"/>
      <c r="K26" s="43"/>
      <c r="M26" s="23" t="s">
        <v>218</v>
      </c>
    </row>
    <row r="27" spans="2:13" x14ac:dyDescent="0.3">
      <c r="B27" s="11"/>
      <c r="C27" s="11" t="s">
        <v>215</v>
      </c>
      <c r="D27" s="11"/>
      <c r="E27" s="45">
        <v>2025</v>
      </c>
      <c r="F27" s="11">
        <v>1</v>
      </c>
      <c r="G27" s="46"/>
      <c r="H27" s="44">
        <v>3</v>
      </c>
      <c r="I27" s="44"/>
      <c r="J27" s="44"/>
      <c r="K27" s="44"/>
      <c r="L27" s="13"/>
      <c r="M27" s="23" t="s">
        <v>217</v>
      </c>
    </row>
    <row r="28" spans="2:13" x14ac:dyDescent="0.3">
      <c r="B28" s="38" t="s">
        <v>220</v>
      </c>
      <c r="C28" s="38" t="s">
        <v>221</v>
      </c>
      <c r="D28" s="38"/>
      <c r="E28" s="24">
        <f>BASE_YEAR+1</f>
        <v>2018</v>
      </c>
      <c r="F28" s="38">
        <v>1</v>
      </c>
      <c r="G28" s="39">
        <v>5</v>
      </c>
      <c r="H28" s="43">
        <v>0</v>
      </c>
      <c r="I28" s="43"/>
      <c r="J28" s="43"/>
      <c r="K28" s="43"/>
      <c r="M28" s="23" t="s">
        <v>218</v>
      </c>
    </row>
    <row r="29" spans="2:13" x14ac:dyDescent="0.3">
      <c r="B29" s="38"/>
      <c r="C29" s="38" t="s">
        <v>221</v>
      </c>
      <c r="D29" s="38"/>
      <c r="E29" s="24">
        <v>2020</v>
      </c>
      <c r="F29" s="38">
        <v>1</v>
      </c>
      <c r="G29" s="39"/>
      <c r="H29" s="43">
        <v>1</v>
      </c>
      <c r="I29" s="43"/>
      <c r="J29" s="43"/>
      <c r="K29" s="43"/>
      <c r="M29" s="23" t="s">
        <v>218</v>
      </c>
    </row>
    <row r="30" spans="2:13" x14ac:dyDescent="0.3">
      <c r="B30" s="11"/>
      <c r="C30" s="11" t="s">
        <v>221</v>
      </c>
      <c r="D30" s="11"/>
      <c r="E30" s="45">
        <v>2025</v>
      </c>
      <c r="F30" s="11">
        <v>1</v>
      </c>
      <c r="G30" s="46"/>
      <c r="H30" s="44">
        <v>2</v>
      </c>
      <c r="I30" s="44"/>
      <c r="J30" s="44"/>
      <c r="K30" s="44"/>
      <c r="L30" s="13"/>
      <c r="M30" s="23" t="s">
        <v>217</v>
      </c>
    </row>
    <row r="31" spans="2:13" x14ac:dyDescent="0.3">
      <c r="B31" s="38" t="s">
        <v>233</v>
      </c>
      <c r="C31" s="38" t="s">
        <v>234</v>
      </c>
      <c r="D31" s="38"/>
      <c r="E31" s="24">
        <f>BASE_YEAR+1</f>
        <v>2018</v>
      </c>
      <c r="F31" s="38">
        <v>1</v>
      </c>
      <c r="G31" s="39">
        <v>5</v>
      </c>
      <c r="H31" s="43">
        <v>0</v>
      </c>
      <c r="I31" s="43"/>
      <c r="J31" s="43"/>
      <c r="K31" s="43"/>
    </row>
    <row r="32" spans="2:13" x14ac:dyDescent="0.3">
      <c r="B32" s="38"/>
      <c r="C32" s="38" t="s">
        <v>234</v>
      </c>
      <c r="D32" s="38"/>
      <c r="E32" s="24">
        <v>2020</v>
      </c>
      <c r="F32" s="38">
        <v>1</v>
      </c>
      <c r="G32" s="39"/>
      <c r="H32" s="43">
        <v>1</v>
      </c>
      <c r="I32" s="43"/>
      <c r="J32" s="43"/>
      <c r="K32" s="43"/>
    </row>
    <row r="33" spans="2:13" x14ac:dyDescent="0.3">
      <c r="B33" s="38"/>
      <c r="C33" s="38" t="s">
        <v>234</v>
      </c>
      <c r="D33" s="38"/>
      <c r="E33" s="24">
        <v>2025</v>
      </c>
      <c r="F33" s="38">
        <v>1</v>
      </c>
      <c r="G33" s="39"/>
      <c r="H33" s="43">
        <v>3</v>
      </c>
      <c r="I33" s="43"/>
      <c r="J33" s="43"/>
      <c r="K33" s="43"/>
      <c r="M33" s="23" t="s">
        <v>235</v>
      </c>
    </row>
    <row r="34" spans="2:13" x14ac:dyDescent="0.3">
      <c r="B34" s="38"/>
      <c r="C34" s="38" t="s">
        <v>234</v>
      </c>
      <c r="D34" s="38"/>
      <c r="E34" s="24">
        <v>2030</v>
      </c>
      <c r="F34" s="38">
        <v>1</v>
      </c>
      <c r="G34" s="39"/>
      <c r="H34" s="43">
        <v>5</v>
      </c>
      <c r="I34" s="43"/>
      <c r="J34" s="43"/>
      <c r="K34" s="43"/>
      <c r="M34" s="23" t="s">
        <v>235</v>
      </c>
    </row>
    <row r="35" spans="2:13" x14ac:dyDescent="0.3">
      <c r="B35" s="11"/>
      <c r="C35" s="11" t="s">
        <v>234</v>
      </c>
      <c r="D35" s="11"/>
      <c r="E35" s="45">
        <v>2050</v>
      </c>
      <c r="F35" s="11">
        <v>1</v>
      </c>
      <c r="G35" s="46"/>
      <c r="H35" s="44">
        <v>5</v>
      </c>
      <c r="I35" s="44"/>
      <c r="J35" s="44"/>
      <c r="K35" s="44"/>
      <c r="L35" s="13"/>
      <c r="M35" s="23" t="s">
        <v>235</v>
      </c>
    </row>
    <row r="36" spans="2:13" x14ac:dyDescent="0.3">
      <c r="B36" s="23" t="s">
        <v>351</v>
      </c>
      <c r="C36" s="23" t="s">
        <v>349</v>
      </c>
      <c r="F36" s="12">
        <v>1</v>
      </c>
      <c r="G36" s="23">
        <v>5</v>
      </c>
      <c r="H36" s="47">
        <v>2.5</v>
      </c>
      <c r="I36" s="47">
        <v>2.5</v>
      </c>
      <c r="J36" s="47">
        <v>2.5</v>
      </c>
      <c r="K36" s="47">
        <v>2.5</v>
      </c>
      <c r="M36" s="23" t="s">
        <v>350</v>
      </c>
    </row>
    <row r="37" spans="2:13" x14ac:dyDescent="0.3">
      <c r="B37" s="23" t="s">
        <v>354</v>
      </c>
      <c r="C37" s="23" t="s">
        <v>352</v>
      </c>
      <c r="F37" s="12">
        <v>1</v>
      </c>
      <c r="G37" s="23">
        <v>5</v>
      </c>
      <c r="H37" s="47">
        <v>2.5</v>
      </c>
      <c r="I37" s="47">
        <v>2.5</v>
      </c>
      <c r="J37" s="47">
        <v>2.5</v>
      </c>
      <c r="K37" s="47">
        <v>2.5</v>
      </c>
      <c r="M37" s="23" t="s">
        <v>350</v>
      </c>
    </row>
    <row r="38" spans="2:13" x14ac:dyDescent="0.3">
      <c r="B38" s="23" t="s">
        <v>356</v>
      </c>
      <c r="C38" s="23" t="s">
        <v>353</v>
      </c>
      <c r="F38" s="12">
        <v>1</v>
      </c>
      <c r="G38" s="23">
        <v>5</v>
      </c>
      <c r="H38" s="47">
        <v>3</v>
      </c>
      <c r="I38" s="47">
        <v>3</v>
      </c>
      <c r="J38" s="47">
        <v>3</v>
      </c>
      <c r="K38" s="47">
        <v>3</v>
      </c>
      <c r="M38" s="23" t="s">
        <v>350</v>
      </c>
    </row>
    <row r="39" spans="2:13" x14ac:dyDescent="0.3">
      <c r="B39" s="23" t="s">
        <v>355</v>
      </c>
      <c r="C39" s="23" t="s">
        <v>357</v>
      </c>
      <c r="F39" s="12">
        <v>1</v>
      </c>
      <c r="G39" s="23">
        <v>5</v>
      </c>
      <c r="H39" s="47">
        <v>3</v>
      </c>
      <c r="I39" s="47">
        <v>3</v>
      </c>
      <c r="J39" s="47">
        <v>3</v>
      </c>
      <c r="K39" s="47">
        <v>3</v>
      </c>
      <c r="M39" s="23" t="s">
        <v>350</v>
      </c>
    </row>
    <row r="40" spans="2:13" x14ac:dyDescent="0.3">
      <c r="B40" s="23" t="s">
        <v>359</v>
      </c>
      <c r="C40" s="23" t="s">
        <v>358</v>
      </c>
      <c r="F40" s="12">
        <v>1</v>
      </c>
      <c r="G40" s="23">
        <v>5</v>
      </c>
      <c r="H40" s="47">
        <v>4</v>
      </c>
      <c r="I40" s="47">
        <v>4</v>
      </c>
      <c r="J40" s="47">
        <v>4</v>
      </c>
      <c r="K40" s="47">
        <v>4</v>
      </c>
      <c r="M40" s="23" t="s">
        <v>350</v>
      </c>
    </row>
    <row r="41" spans="2:13" x14ac:dyDescent="0.3">
      <c r="B41" s="23" t="s">
        <v>361</v>
      </c>
      <c r="C41" s="23" t="s">
        <v>360</v>
      </c>
      <c r="F41" s="12">
        <v>1</v>
      </c>
      <c r="G41" s="23">
        <v>5</v>
      </c>
      <c r="H41" s="47">
        <v>0.5</v>
      </c>
      <c r="I41" s="47">
        <v>0.5</v>
      </c>
      <c r="J41" s="47">
        <v>0.5</v>
      </c>
      <c r="K41" s="47">
        <v>0.5</v>
      </c>
      <c r="M41" s="23" t="s">
        <v>350</v>
      </c>
    </row>
    <row r="42" spans="2:13" x14ac:dyDescent="0.3">
      <c r="B42" s="13" t="s">
        <v>363</v>
      </c>
      <c r="C42" s="13" t="s">
        <v>362</v>
      </c>
      <c r="D42" s="13"/>
      <c r="E42" s="13"/>
      <c r="F42" s="11">
        <v>1</v>
      </c>
      <c r="G42" s="13">
        <v>5</v>
      </c>
      <c r="H42" s="44">
        <v>4</v>
      </c>
      <c r="I42" s="44">
        <v>4</v>
      </c>
      <c r="J42" s="44">
        <v>4</v>
      </c>
      <c r="K42" s="44">
        <v>4</v>
      </c>
      <c r="L42" s="13"/>
      <c r="M42" s="23" t="s">
        <v>350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3865-D359-449A-A45B-08B39D94F22F}">
  <dimension ref="A3:R50"/>
  <sheetViews>
    <sheetView zoomScale="80" zoomScaleNormal="80" workbookViewId="0">
      <selection activeCell="N45" sqref="N45"/>
    </sheetView>
  </sheetViews>
  <sheetFormatPr defaultRowHeight="14.4" x14ac:dyDescent="0.3"/>
  <cols>
    <col min="1" max="1" width="8.88671875" style="23"/>
    <col min="2" max="2" width="13.6640625" style="49" customWidth="1"/>
    <col min="3" max="3" width="13.33203125" style="49" customWidth="1"/>
    <col min="4" max="4" width="19.109375" style="49" customWidth="1"/>
    <col min="5" max="5" width="23.6640625" style="49" bestFit="1" customWidth="1"/>
    <col min="6" max="6" width="15.88671875" style="49" customWidth="1"/>
    <col min="7" max="7" width="11.88671875" style="49" bestFit="1" customWidth="1"/>
    <col min="8" max="8" width="8.88671875" style="23"/>
    <col min="9" max="12" width="9.109375" style="23"/>
    <col min="13" max="13" width="30.33203125" style="23" bestFit="1" customWidth="1"/>
    <col min="14" max="15" width="9.109375" style="23"/>
    <col min="16" max="16" width="16" style="49" customWidth="1"/>
    <col min="17" max="18" width="14.33203125" style="49" customWidth="1"/>
    <col min="19" max="32" width="14.33203125" style="23" customWidth="1"/>
    <col min="33" max="16384" width="8.88671875" style="23"/>
  </cols>
  <sheetData>
    <row r="3" spans="2:18" x14ac:dyDescent="0.3">
      <c r="B3" s="50" t="s">
        <v>1</v>
      </c>
      <c r="M3" s="48" t="s">
        <v>91</v>
      </c>
    </row>
    <row r="4" spans="2:18" ht="15" thickBot="1" x14ac:dyDescent="0.35">
      <c r="B4" s="27" t="s">
        <v>3</v>
      </c>
      <c r="C4" s="27" t="s">
        <v>4</v>
      </c>
      <c r="D4" s="27" t="s">
        <v>86</v>
      </c>
      <c r="E4" s="27" t="s">
        <v>5</v>
      </c>
      <c r="F4" s="27" t="s">
        <v>6</v>
      </c>
      <c r="G4" s="27" t="s">
        <v>238</v>
      </c>
      <c r="H4" s="27" t="s">
        <v>93</v>
      </c>
      <c r="I4" s="27" t="s">
        <v>239</v>
      </c>
      <c r="J4" s="27" t="s">
        <v>240</v>
      </c>
      <c r="K4" s="27" t="s">
        <v>241</v>
      </c>
      <c r="M4" s="51">
        <v>0.9</v>
      </c>
      <c r="R4" s="52" t="s">
        <v>89</v>
      </c>
    </row>
    <row r="5" spans="2:18" ht="15" thickBot="1" x14ac:dyDescent="0.35">
      <c r="B5" s="49" t="s">
        <v>87</v>
      </c>
      <c r="C5" s="49">
        <f>BASE_YEAR</f>
        <v>2017</v>
      </c>
      <c r="D5" s="49" t="str">
        <f>P5</f>
        <v>INDCOASUB</v>
      </c>
      <c r="E5" s="49" t="s">
        <v>88</v>
      </c>
      <c r="F5" s="49" t="s">
        <v>92</v>
      </c>
      <c r="G5" s="49">
        <f>VLOOKUP(D5,$P$5:$R$21,3,0)*$M$4</f>
        <v>88.47</v>
      </c>
      <c r="P5" s="53" t="s">
        <v>94</v>
      </c>
      <c r="Q5" s="52" t="s">
        <v>37</v>
      </c>
      <c r="R5" s="39">
        <v>98.3</v>
      </c>
    </row>
    <row r="6" spans="2:18" ht="15" thickBot="1" x14ac:dyDescent="0.35">
      <c r="B6" s="49" t="s">
        <v>87</v>
      </c>
      <c r="C6" s="49">
        <f>C5</f>
        <v>2017</v>
      </c>
      <c r="D6" s="49" t="str">
        <f>P6</f>
        <v>INDCOABIC</v>
      </c>
      <c r="E6" s="49" t="str">
        <f>E5</f>
        <v>INDDEMCEM*,INDCEM*</v>
      </c>
      <c r="F6" s="49" t="str">
        <f>F5</f>
        <v>INDSSCO2N</v>
      </c>
      <c r="G6" s="49">
        <f t="shared" ref="G6:G18" si="0">VLOOKUP(D6,$P$5:$R$21,3,0)*$M$4</f>
        <v>85.14</v>
      </c>
      <c r="P6" s="53" t="s">
        <v>69</v>
      </c>
      <c r="Q6" s="52" t="s">
        <v>37</v>
      </c>
      <c r="R6" s="39">
        <v>94.6</v>
      </c>
    </row>
    <row r="7" spans="2:18" ht="15" thickBot="1" x14ac:dyDescent="0.35">
      <c r="B7" s="49" t="s">
        <v>87</v>
      </c>
      <c r="C7" s="49">
        <f t="shared" ref="C7:C11" si="1">C6</f>
        <v>2017</v>
      </c>
      <c r="D7" s="49" t="str">
        <f>P7</f>
        <v>INDCOABCO</v>
      </c>
      <c r="E7" s="49" t="str">
        <f t="shared" ref="E7:E11" si="2">E6</f>
        <v>INDDEMCEM*,INDCEM*</v>
      </c>
      <c r="F7" s="49" t="str">
        <f t="shared" ref="F7:F11" si="3">F6</f>
        <v>INDSSCO2N</v>
      </c>
      <c r="G7" s="49">
        <f t="shared" si="0"/>
        <v>90.9</v>
      </c>
      <c r="P7" s="53" t="s">
        <v>95</v>
      </c>
      <c r="Q7" s="52" t="s">
        <v>37</v>
      </c>
      <c r="R7" s="39">
        <v>101</v>
      </c>
    </row>
    <row r="8" spans="2:18" ht="15" thickBot="1" x14ac:dyDescent="0.35">
      <c r="B8" s="49" t="s">
        <v>87</v>
      </c>
      <c r="C8" s="49">
        <f>C7</f>
        <v>2017</v>
      </c>
      <c r="D8" s="49" t="str">
        <f t="shared" ref="D8:D15" si="4">P9</f>
        <v>INDCOABKB</v>
      </c>
      <c r="E8" s="49" t="str">
        <f>E7</f>
        <v>INDDEMCEM*,INDCEM*</v>
      </c>
      <c r="F8" s="49" t="str">
        <f>F7</f>
        <v>INDSSCO2N</v>
      </c>
      <c r="G8" s="49">
        <f t="shared" si="0"/>
        <v>87.75</v>
      </c>
      <c r="P8" s="53" t="s">
        <v>325</v>
      </c>
      <c r="Q8" s="52" t="s">
        <v>37</v>
      </c>
      <c r="R8" s="39">
        <v>94.6</v>
      </c>
    </row>
    <row r="9" spans="2:18" ht="15" thickBot="1" x14ac:dyDescent="0.35">
      <c r="B9" s="49" t="s">
        <v>87</v>
      </c>
      <c r="C9" s="49">
        <f t="shared" si="1"/>
        <v>2017</v>
      </c>
      <c r="D9" s="49" t="str">
        <f t="shared" si="4"/>
        <v>INDOILLPG</v>
      </c>
      <c r="E9" s="49" t="str">
        <f t="shared" si="2"/>
        <v>INDDEMCEM*,INDCEM*</v>
      </c>
      <c r="F9" s="49" t="str">
        <f t="shared" si="3"/>
        <v>INDSSCO2N</v>
      </c>
      <c r="G9" s="49">
        <f t="shared" si="0"/>
        <v>56.79</v>
      </c>
      <c r="P9" s="53" t="s">
        <v>68</v>
      </c>
      <c r="Q9" s="52" t="s">
        <v>37</v>
      </c>
      <c r="R9" s="39">
        <v>97.5</v>
      </c>
    </row>
    <row r="10" spans="2:18" ht="15" thickBot="1" x14ac:dyDescent="0.35">
      <c r="B10" s="49" t="s">
        <v>87</v>
      </c>
      <c r="C10" s="49">
        <f t="shared" si="1"/>
        <v>2017</v>
      </c>
      <c r="D10" s="49" t="str">
        <f t="shared" si="4"/>
        <v>INDOILGSL</v>
      </c>
      <c r="E10" s="49" t="str">
        <f t="shared" si="2"/>
        <v>INDDEMCEM*,INDCEM*</v>
      </c>
      <c r="F10" s="49" t="str">
        <f t="shared" si="3"/>
        <v>INDSSCO2N</v>
      </c>
      <c r="G10" s="49">
        <f t="shared" si="0"/>
        <v>62.37</v>
      </c>
      <c r="P10" s="53" t="s">
        <v>65</v>
      </c>
      <c r="Q10" s="52" t="s">
        <v>37</v>
      </c>
      <c r="R10" s="39">
        <v>63.1</v>
      </c>
    </row>
    <row r="11" spans="2:18" ht="15" thickBot="1" x14ac:dyDescent="0.35">
      <c r="B11" s="49" t="s">
        <v>87</v>
      </c>
      <c r="C11" s="49">
        <f t="shared" si="1"/>
        <v>2017</v>
      </c>
      <c r="D11" s="49" t="str">
        <f t="shared" si="4"/>
        <v>INDOILDSL</v>
      </c>
      <c r="E11" s="49" t="str">
        <f t="shared" si="2"/>
        <v>INDDEMCEM*,INDCEM*</v>
      </c>
      <c r="F11" s="49" t="str">
        <f t="shared" si="3"/>
        <v>INDSSCO2N</v>
      </c>
      <c r="G11" s="49">
        <f t="shared" si="0"/>
        <v>66.69</v>
      </c>
      <c r="P11" s="53" t="s">
        <v>66</v>
      </c>
      <c r="Q11" s="52" t="s">
        <v>37</v>
      </c>
      <c r="R11" s="39">
        <v>69.3</v>
      </c>
    </row>
    <row r="12" spans="2:18" ht="15" thickBot="1" x14ac:dyDescent="0.35">
      <c r="B12" s="49" t="s">
        <v>87</v>
      </c>
      <c r="C12" s="49">
        <f t="shared" ref="C12:C17" si="5">C11</f>
        <v>2017</v>
      </c>
      <c r="D12" s="49" t="str">
        <f t="shared" si="4"/>
        <v>INDOILHFO</v>
      </c>
      <c r="E12" s="49" t="str">
        <f t="shared" ref="E12:E17" si="6">E11</f>
        <v>INDDEMCEM*,INDCEM*</v>
      </c>
      <c r="F12" s="49" t="str">
        <f t="shared" ref="F12:F17" si="7">F11</f>
        <v>INDSSCO2N</v>
      </c>
      <c r="G12" s="49">
        <f t="shared" si="0"/>
        <v>69.660000000000011</v>
      </c>
      <c r="P12" s="53" t="s">
        <v>67</v>
      </c>
      <c r="Q12" s="52" t="s">
        <v>37</v>
      </c>
      <c r="R12" s="39">
        <v>74.099999999999994</v>
      </c>
    </row>
    <row r="13" spans="2:18" ht="15" thickBot="1" x14ac:dyDescent="0.35">
      <c r="B13" s="49" t="s">
        <v>87</v>
      </c>
      <c r="C13" s="49">
        <f t="shared" si="5"/>
        <v>2017</v>
      </c>
      <c r="D13" s="49" t="str">
        <f t="shared" si="4"/>
        <v>INDOILPCK</v>
      </c>
      <c r="E13" s="49" t="str">
        <f t="shared" si="6"/>
        <v>INDDEMCEM*,INDCEM*</v>
      </c>
      <c r="F13" s="49" t="str">
        <f t="shared" si="7"/>
        <v>INDSSCO2N</v>
      </c>
      <c r="G13" s="49">
        <f t="shared" si="0"/>
        <v>87.75</v>
      </c>
      <c r="P13" s="53" t="s">
        <v>90</v>
      </c>
      <c r="Q13" s="52" t="s">
        <v>37</v>
      </c>
      <c r="R13" s="39">
        <v>77.400000000000006</v>
      </c>
    </row>
    <row r="14" spans="2:18" ht="15" thickBot="1" x14ac:dyDescent="0.35">
      <c r="B14" s="49" t="s">
        <v>87</v>
      </c>
      <c r="C14" s="49">
        <f t="shared" si="5"/>
        <v>2017</v>
      </c>
      <c r="D14" s="49" t="str">
        <f t="shared" si="4"/>
        <v>INDOILOTH</v>
      </c>
      <c r="E14" s="49" t="str">
        <f t="shared" si="6"/>
        <v>INDDEMCEM*,INDCEM*</v>
      </c>
      <c r="F14" s="49" t="str">
        <f t="shared" si="7"/>
        <v>INDSSCO2N</v>
      </c>
      <c r="G14" s="49">
        <f t="shared" si="0"/>
        <v>65.97</v>
      </c>
      <c r="P14" s="53" t="s">
        <v>64</v>
      </c>
      <c r="Q14" s="52" t="s">
        <v>37</v>
      </c>
      <c r="R14" s="39">
        <v>97.5</v>
      </c>
    </row>
    <row r="15" spans="2:18" ht="15" thickBot="1" x14ac:dyDescent="0.35">
      <c r="B15" s="49" t="s">
        <v>87</v>
      </c>
      <c r="C15" s="49">
        <f t="shared" si="5"/>
        <v>2017</v>
      </c>
      <c r="D15" s="49" t="str">
        <f t="shared" si="4"/>
        <v>INDGASNAT</v>
      </c>
      <c r="E15" s="49" t="str">
        <f t="shared" si="6"/>
        <v>INDDEMCEM*,INDCEM*</v>
      </c>
      <c r="F15" s="49" t="str">
        <f t="shared" si="7"/>
        <v>INDSSCO2N</v>
      </c>
      <c r="G15" s="49">
        <f t="shared" si="0"/>
        <v>50.49</v>
      </c>
      <c r="P15" s="53" t="s">
        <v>63</v>
      </c>
      <c r="Q15" s="52" t="s">
        <v>37</v>
      </c>
      <c r="R15" s="39">
        <v>73.3</v>
      </c>
    </row>
    <row r="16" spans="2:18" ht="15" thickBot="1" x14ac:dyDescent="0.35">
      <c r="B16" s="49" t="s">
        <v>87</v>
      </c>
      <c r="C16" s="49">
        <f>C15</f>
        <v>2017</v>
      </c>
      <c r="D16" s="49" t="str">
        <f>P18</f>
        <v>INDBIOLOG</v>
      </c>
      <c r="E16" s="49" t="str">
        <f>E15</f>
        <v>INDDEMCEM*,INDCEM*</v>
      </c>
      <c r="F16" s="49" t="str">
        <f>F15</f>
        <v>INDSSCO2N</v>
      </c>
      <c r="G16" s="49">
        <f t="shared" si="0"/>
        <v>0</v>
      </c>
      <c r="P16" s="53" t="s">
        <v>62</v>
      </c>
      <c r="Q16" s="52" t="s">
        <v>37</v>
      </c>
      <c r="R16" s="39">
        <v>56.1</v>
      </c>
    </row>
    <row r="17" spans="1:18" ht="15" thickBot="1" x14ac:dyDescent="0.35">
      <c r="B17" s="49" t="s">
        <v>87</v>
      </c>
      <c r="C17" s="49">
        <f t="shared" si="5"/>
        <v>2017</v>
      </c>
      <c r="D17" s="49" t="str">
        <f>P19</f>
        <v>INDBIOBGS</v>
      </c>
      <c r="E17" s="49" t="str">
        <f t="shared" si="6"/>
        <v>INDDEMCEM*,INDCEM*</v>
      </c>
      <c r="F17" s="49" t="str">
        <f t="shared" si="7"/>
        <v>INDSSCO2N</v>
      </c>
      <c r="G17" s="49">
        <f t="shared" si="0"/>
        <v>49.14</v>
      </c>
      <c r="P17" s="53" t="s">
        <v>61</v>
      </c>
      <c r="Q17" s="52" t="s">
        <v>37</v>
      </c>
      <c r="R17" s="39">
        <v>260</v>
      </c>
    </row>
    <row r="18" spans="1:18" ht="15" thickBot="1" x14ac:dyDescent="0.35">
      <c r="A18" s="13"/>
      <c r="B18" s="49" t="s">
        <v>87</v>
      </c>
      <c r="C18" s="49">
        <f>C17</f>
        <v>2017</v>
      </c>
      <c r="D18" s="49" t="str">
        <f>P21</f>
        <v>INDBIOWID</v>
      </c>
      <c r="E18" s="49" t="str">
        <f>E17</f>
        <v>INDDEMCEM*,INDCEM*</v>
      </c>
      <c r="F18" s="49" t="str">
        <f>F17</f>
        <v>INDSSCO2N</v>
      </c>
      <c r="G18" s="49">
        <f t="shared" si="0"/>
        <v>128.70000000000002</v>
      </c>
      <c r="P18" s="53" t="s">
        <v>60</v>
      </c>
      <c r="Q18" s="52" t="s">
        <v>37</v>
      </c>
      <c r="R18" s="39">
        <v>0</v>
      </c>
    </row>
    <row r="19" spans="1:18" ht="15" thickBot="1" x14ac:dyDescent="0.35">
      <c r="B19" s="49" t="s">
        <v>87</v>
      </c>
      <c r="C19" s="49">
        <f t="shared" ref="C19:C33" si="8">C18</f>
        <v>2017</v>
      </c>
      <c r="D19" s="49" t="str">
        <f>D5</f>
        <v>INDCOASUB</v>
      </c>
      <c r="E19" s="49" t="s">
        <v>102</v>
      </c>
      <c r="F19" s="49" t="str">
        <f>F5</f>
        <v>INDSSCO2N</v>
      </c>
      <c r="G19" s="49">
        <f>G5</f>
        <v>88.47</v>
      </c>
      <c r="P19" s="53" t="s">
        <v>58</v>
      </c>
      <c r="Q19" s="52" t="s">
        <v>37</v>
      </c>
      <c r="R19" s="39">
        <v>54.6</v>
      </c>
    </row>
    <row r="20" spans="1:18" ht="15" thickBot="1" x14ac:dyDescent="0.35">
      <c r="B20" s="49" t="s">
        <v>87</v>
      </c>
      <c r="C20" s="49">
        <f t="shared" si="8"/>
        <v>2017</v>
      </c>
      <c r="D20" s="49" t="str">
        <f t="shared" ref="D20:D21" si="9">D6</f>
        <v>INDCOABIC</v>
      </c>
      <c r="E20" s="49" t="s">
        <v>102</v>
      </c>
      <c r="F20" s="49" t="str">
        <f t="shared" ref="F20:F22" si="10">F6</f>
        <v>INDSSCO2N</v>
      </c>
      <c r="G20" s="49">
        <f t="shared" ref="G20:G21" si="11">G6</f>
        <v>85.14</v>
      </c>
      <c r="P20" s="53" t="s">
        <v>57</v>
      </c>
      <c r="Q20" s="52" t="s">
        <v>37</v>
      </c>
      <c r="R20" s="39">
        <v>112</v>
      </c>
    </row>
    <row r="21" spans="1:18" ht="15" thickBot="1" x14ac:dyDescent="0.35">
      <c r="B21" s="49" t="s">
        <v>87</v>
      </c>
      <c r="C21" s="49">
        <f t="shared" si="8"/>
        <v>2017</v>
      </c>
      <c r="D21" s="49" t="str">
        <f t="shared" si="9"/>
        <v>INDCOABCO</v>
      </c>
      <c r="E21" s="49" t="s">
        <v>102</v>
      </c>
      <c r="F21" s="49" t="str">
        <f t="shared" si="10"/>
        <v>INDSSCO2N</v>
      </c>
      <c r="G21" s="49">
        <f t="shared" si="11"/>
        <v>90.9</v>
      </c>
      <c r="P21" s="53" t="s">
        <v>59</v>
      </c>
      <c r="Q21" s="52" t="s">
        <v>37</v>
      </c>
      <c r="R21" s="39">
        <v>143</v>
      </c>
    </row>
    <row r="22" spans="1:18" x14ac:dyDescent="0.3">
      <c r="B22" s="49" t="s">
        <v>87</v>
      </c>
      <c r="C22" s="49">
        <f t="shared" si="8"/>
        <v>2017</v>
      </c>
      <c r="D22" s="49" t="str">
        <f>P8</f>
        <v>INDCOACOC</v>
      </c>
      <c r="E22" s="49" t="s">
        <v>102</v>
      </c>
      <c r="F22" s="49" t="str">
        <f t="shared" si="10"/>
        <v>INDSSCO2N</v>
      </c>
      <c r="G22" s="49">
        <f t="shared" ref="G22" si="12">VLOOKUP(D22,$P$5:$R$21,3,0)*$M$4</f>
        <v>85.14</v>
      </c>
      <c r="P22" s="54"/>
      <c r="Q22" s="55"/>
      <c r="R22" s="39"/>
    </row>
    <row r="23" spans="1:18" x14ac:dyDescent="0.3">
      <c r="B23" s="49" t="s">
        <v>87</v>
      </c>
      <c r="C23" s="49">
        <f>C21</f>
        <v>2017</v>
      </c>
      <c r="D23" s="49" t="str">
        <f t="shared" ref="D23:D36" si="13">D8</f>
        <v>INDCOABKB</v>
      </c>
      <c r="E23" s="49" t="s">
        <v>102</v>
      </c>
      <c r="F23" s="49" t="str">
        <f t="shared" ref="F23:G34" si="14">F8</f>
        <v>INDSSCO2N</v>
      </c>
      <c r="G23" s="49">
        <f t="shared" si="14"/>
        <v>87.75</v>
      </c>
    </row>
    <row r="24" spans="1:18" x14ac:dyDescent="0.3">
      <c r="B24" s="49" t="s">
        <v>87</v>
      </c>
      <c r="C24" s="49">
        <f t="shared" si="8"/>
        <v>2017</v>
      </c>
      <c r="D24" s="49" t="str">
        <f t="shared" si="13"/>
        <v>INDOILLPG</v>
      </c>
      <c r="E24" s="49" t="s">
        <v>102</v>
      </c>
      <c r="F24" s="49" t="str">
        <f t="shared" si="14"/>
        <v>INDSSCO2N</v>
      </c>
      <c r="G24" s="49">
        <f t="shared" si="14"/>
        <v>56.79</v>
      </c>
    </row>
    <row r="25" spans="1:18" x14ac:dyDescent="0.3">
      <c r="B25" s="49" t="s">
        <v>87</v>
      </c>
      <c r="C25" s="49">
        <f t="shared" si="8"/>
        <v>2017</v>
      </c>
      <c r="D25" s="49" t="str">
        <f t="shared" si="13"/>
        <v>INDOILGSL</v>
      </c>
      <c r="E25" s="49" t="s">
        <v>102</v>
      </c>
      <c r="F25" s="49" t="str">
        <f t="shared" si="14"/>
        <v>INDSSCO2N</v>
      </c>
      <c r="G25" s="49">
        <f t="shared" si="14"/>
        <v>62.37</v>
      </c>
    </row>
    <row r="26" spans="1:18" x14ac:dyDescent="0.3">
      <c r="B26" s="49" t="s">
        <v>87</v>
      </c>
      <c r="C26" s="49">
        <f t="shared" si="8"/>
        <v>2017</v>
      </c>
      <c r="D26" s="49" t="str">
        <f t="shared" si="13"/>
        <v>INDOILDSL</v>
      </c>
      <c r="E26" s="49" t="s">
        <v>102</v>
      </c>
      <c r="F26" s="49" t="str">
        <f t="shared" si="14"/>
        <v>INDSSCO2N</v>
      </c>
      <c r="G26" s="49">
        <f t="shared" si="14"/>
        <v>66.69</v>
      </c>
    </row>
    <row r="27" spans="1:18" x14ac:dyDescent="0.3">
      <c r="B27" s="49" t="s">
        <v>87</v>
      </c>
      <c r="C27" s="49">
        <f t="shared" si="8"/>
        <v>2017</v>
      </c>
      <c r="D27" s="49" t="str">
        <f t="shared" si="13"/>
        <v>INDOILHFO</v>
      </c>
      <c r="E27" s="49" t="s">
        <v>102</v>
      </c>
      <c r="F27" s="49" t="str">
        <f t="shared" si="14"/>
        <v>INDSSCO2N</v>
      </c>
      <c r="G27" s="49">
        <f t="shared" si="14"/>
        <v>69.660000000000011</v>
      </c>
    </row>
    <row r="28" spans="1:18" x14ac:dyDescent="0.3">
      <c r="B28" s="49" t="s">
        <v>87</v>
      </c>
      <c r="C28" s="49">
        <f t="shared" si="8"/>
        <v>2017</v>
      </c>
      <c r="D28" s="49" t="str">
        <f t="shared" si="13"/>
        <v>INDOILPCK</v>
      </c>
      <c r="E28" s="49" t="s">
        <v>102</v>
      </c>
      <c r="F28" s="49" t="str">
        <f t="shared" si="14"/>
        <v>INDSSCO2N</v>
      </c>
      <c r="G28" s="49">
        <f t="shared" si="14"/>
        <v>87.75</v>
      </c>
    </row>
    <row r="29" spans="1:18" x14ac:dyDescent="0.3">
      <c r="B29" s="49" t="s">
        <v>87</v>
      </c>
      <c r="C29" s="49">
        <f t="shared" si="8"/>
        <v>2017</v>
      </c>
      <c r="D29" s="49" t="str">
        <f t="shared" si="13"/>
        <v>INDOILOTH</v>
      </c>
      <c r="E29" s="49" t="s">
        <v>102</v>
      </c>
      <c r="F29" s="49" t="str">
        <f t="shared" si="14"/>
        <v>INDSSCO2N</v>
      </c>
      <c r="G29" s="49">
        <f t="shared" si="14"/>
        <v>65.97</v>
      </c>
    </row>
    <row r="30" spans="1:18" x14ac:dyDescent="0.3">
      <c r="B30" s="49" t="s">
        <v>87</v>
      </c>
      <c r="C30" s="49">
        <f t="shared" si="8"/>
        <v>2017</v>
      </c>
      <c r="D30" s="49" t="str">
        <f t="shared" si="13"/>
        <v>INDGASNAT</v>
      </c>
      <c r="E30" s="49" t="s">
        <v>102</v>
      </c>
      <c r="F30" s="49" t="str">
        <f t="shared" si="14"/>
        <v>INDSSCO2N</v>
      </c>
      <c r="G30" s="49">
        <f t="shared" si="14"/>
        <v>50.49</v>
      </c>
    </row>
    <row r="31" spans="1:18" x14ac:dyDescent="0.3">
      <c r="B31" s="49" t="s">
        <v>87</v>
      </c>
      <c r="C31" s="49">
        <f t="shared" si="8"/>
        <v>2017</v>
      </c>
      <c r="D31" s="49" t="str">
        <f t="shared" si="13"/>
        <v>INDBIOLOG</v>
      </c>
      <c r="E31" s="49" t="s">
        <v>102</v>
      </c>
      <c r="F31" s="49" t="str">
        <f t="shared" si="14"/>
        <v>INDSSCO2N</v>
      </c>
      <c r="G31" s="49">
        <f t="shared" si="14"/>
        <v>0</v>
      </c>
    </row>
    <row r="32" spans="1:18" x14ac:dyDescent="0.3">
      <c r="B32" s="49" t="s">
        <v>87</v>
      </c>
      <c r="C32" s="49">
        <f t="shared" si="8"/>
        <v>2017</v>
      </c>
      <c r="D32" s="49" t="str">
        <f t="shared" si="13"/>
        <v>INDBIOBGS</v>
      </c>
      <c r="E32" s="49" t="s">
        <v>102</v>
      </c>
      <c r="F32" s="49" t="str">
        <f t="shared" si="14"/>
        <v>INDSSCO2N</v>
      </c>
      <c r="G32" s="49">
        <f t="shared" si="14"/>
        <v>49.14</v>
      </c>
    </row>
    <row r="33" spans="1:11" x14ac:dyDescent="0.3">
      <c r="A33" s="13"/>
      <c r="B33" s="49" t="s">
        <v>87</v>
      </c>
      <c r="C33" s="49">
        <f t="shared" si="8"/>
        <v>2017</v>
      </c>
      <c r="D33" s="49" t="str">
        <f t="shared" si="13"/>
        <v>INDBIOWID</v>
      </c>
      <c r="E33" s="49" t="s">
        <v>102</v>
      </c>
      <c r="F33" s="49" t="str">
        <f t="shared" si="14"/>
        <v>INDSSCO2N</v>
      </c>
      <c r="G33" s="49">
        <f t="shared" si="14"/>
        <v>128.70000000000002</v>
      </c>
    </row>
    <row r="34" spans="1:11" x14ac:dyDescent="0.3">
      <c r="B34" s="49" t="s">
        <v>87</v>
      </c>
      <c r="C34" s="49">
        <f t="shared" ref="C34:C47" si="15">C33</f>
        <v>2017</v>
      </c>
      <c r="D34" s="49" t="str">
        <f t="shared" si="13"/>
        <v>INDCOASUB</v>
      </c>
      <c r="E34" s="49" t="s">
        <v>103</v>
      </c>
      <c r="F34" s="49" t="str">
        <f t="shared" si="14"/>
        <v>INDSSCO2N</v>
      </c>
      <c r="G34" s="49">
        <f t="shared" si="14"/>
        <v>88.47</v>
      </c>
    </row>
    <row r="35" spans="1:11" x14ac:dyDescent="0.3">
      <c r="B35" s="49" t="s">
        <v>87</v>
      </c>
      <c r="C35" s="49">
        <f t="shared" si="15"/>
        <v>2017</v>
      </c>
      <c r="D35" s="49" t="str">
        <f t="shared" si="13"/>
        <v>INDCOABIC</v>
      </c>
      <c r="E35" s="49" t="s">
        <v>103</v>
      </c>
      <c r="F35" s="49" t="str">
        <f t="shared" ref="F35:G35" si="16">F20</f>
        <v>INDSSCO2N</v>
      </c>
      <c r="G35" s="49">
        <f t="shared" si="16"/>
        <v>85.14</v>
      </c>
    </row>
    <row r="36" spans="1:11" x14ac:dyDescent="0.3">
      <c r="B36" s="49" t="s">
        <v>87</v>
      </c>
      <c r="C36" s="49">
        <f t="shared" si="15"/>
        <v>2017</v>
      </c>
      <c r="D36" s="49" t="str">
        <f t="shared" si="13"/>
        <v>INDCOABCO</v>
      </c>
      <c r="E36" s="49" t="s">
        <v>103</v>
      </c>
      <c r="F36" s="49" t="str">
        <f t="shared" ref="F36:G36" si="17">F21</f>
        <v>INDSSCO2N</v>
      </c>
      <c r="G36" s="49">
        <f t="shared" si="17"/>
        <v>90.9</v>
      </c>
    </row>
    <row r="37" spans="1:11" x14ac:dyDescent="0.3">
      <c r="B37" s="49" t="s">
        <v>87</v>
      </c>
      <c r="C37" s="49">
        <f t="shared" si="15"/>
        <v>2017</v>
      </c>
      <c r="D37" s="49" t="str">
        <f t="shared" ref="D37:D47" si="18">D23</f>
        <v>INDCOABKB</v>
      </c>
      <c r="E37" s="49" t="s">
        <v>103</v>
      </c>
      <c r="F37" s="49" t="str">
        <f t="shared" ref="F37:G37" si="19">F23</f>
        <v>INDSSCO2N</v>
      </c>
      <c r="G37" s="49">
        <f t="shared" si="19"/>
        <v>87.75</v>
      </c>
    </row>
    <row r="38" spans="1:11" x14ac:dyDescent="0.3">
      <c r="B38" s="49" t="s">
        <v>87</v>
      </c>
      <c r="C38" s="49">
        <f t="shared" si="15"/>
        <v>2017</v>
      </c>
      <c r="D38" s="49" t="str">
        <f t="shared" si="18"/>
        <v>INDOILLPG</v>
      </c>
      <c r="E38" s="49" t="s">
        <v>103</v>
      </c>
      <c r="F38" s="49" t="str">
        <f t="shared" ref="F38:G38" si="20">F24</f>
        <v>INDSSCO2N</v>
      </c>
      <c r="G38" s="49">
        <f t="shared" si="20"/>
        <v>56.79</v>
      </c>
    </row>
    <row r="39" spans="1:11" x14ac:dyDescent="0.3">
      <c r="B39" s="49" t="s">
        <v>87</v>
      </c>
      <c r="C39" s="49">
        <f t="shared" si="15"/>
        <v>2017</v>
      </c>
      <c r="D39" s="49" t="str">
        <f t="shared" si="18"/>
        <v>INDOILGSL</v>
      </c>
      <c r="E39" s="49" t="s">
        <v>103</v>
      </c>
      <c r="F39" s="49" t="str">
        <f t="shared" ref="F39:G39" si="21">F25</f>
        <v>INDSSCO2N</v>
      </c>
      <c r="G39" s="49">
        <f t="shared" si="21"/>
        <v>62.37</v>
      </c>
    </row>
    <row r="40" spans="1:11" x14ac:dyDescent="0.3">
      <c r="B40" s="49" t="s">
        <v>87</v>
      </c>
      <c r="C40" s="49">
        <f t="shared" si="15"/>
        <v>2017</v>
      </c>
      <c r="D40" s="49" t="str">
        <f t="shared" si="18"/>
        <v>INDOILDSL</v>
      </c>
      <c r="E40" s="49" t="s">
        <v>103</v>
      </c>
      <c r="F40" s="49" t="str">
        <f t="shared" ref="F40:G40" si="22">F26</f>
        <v>INDSSCO2N</v>
      </c>
      <c r="G40" s="49">
        <f t="shared" si="22"/>
        <v>66.69</v>
      </c>
    </row>
    <row r="41" spans="1:11" x14ac:dyDescent="0.3">
      <c r="B41" s="49" t="s">
        <v>87</v>
      </c>
      <c r="C41" s="49">
        <f t="shared" si="15"/>
        <v>2017</v>
      </c>
      <c r="D41" s="49" t="str">
        <f t="shared" si="18"/>
        <v>INDOILHFO</v>
      </c>
      <c r="E41" s="49" t="s">
        <v>103</v>
      </c>
      <c r="F41" s="49" t="str">
        <f t="shared" ref="F41:G41" si="23">F27</f>
        <v>INDSSCO2N</v>
      </c>
      <c r="G41" s="49">
        <f t="shared" si="23"/>
        <v>69.660000000000011</v>
      </c>
    </row>
    <row r="42" spans="1:11" x14ac:dyDescent="0.3">
      <c r="B42" s="49" t="s">
        <v>87</v>
      </c>
      <c r="C42" s="49">
        <f t="shared" si="15"/>
        <v>2017</v>
      </c>
      <c r="D42" s="49" t="str">
        <f t="shared" si="18"/>
        <v>INDOILPCK</v>
      </c>
      <c r="E42" s="49" t="s">
        <v>103</v>
      </c>
      <c r="F42" s="49" t="str">
        <f t="shared" ref="F42:G42" si="24">F28</f>
        <v>INDSSCO2N</v>
      </c>
      <c r="G42" s="49">
        <f t="shared" si="24"/>
        <v>87.75</v>
      </c>
    </row>
    <row r="43" spans="1:11" x14ac:dyDescent="0.3">
      <c r="B43" s="49" t="s">
        <v>87</v>
      </c>
      <c r="C43" s="49">
        <f t="shared" si="15"/>
        <v>2017</v>
      </c>
      <c r="D43" s="49" t="str">
        <f t="shared" si="18"/>
        <v>INDOILOTH</v>
      </c>
      <c r="E43" s="49" t="s">
        <v>103</v>
      </c>
      <c r="F43" s="49" t="str">
        <f t="shared" ref="F43:G43" si="25">F29</f>
        <v>INDSSCO2N</v>
      </c>
      <c r="G43" s="49">
        <f t="shared" si="25"/>
        <v>65.97</v>
      </c>
    </row>
    <row r="44" spans="1:11" x14ac:dyDescent="0.3">
      <c r="B44" s="49" t="s">
        <v>87</v>
      </c>
      <c r="C44" s="49">
        <f t="shared" si="15"/>
        <v>2017</v>
      </c>
      <c r="D44" s="49" t="str">
        <f t="shared" si="18"/>
        <v>INDGASNAT</v>
      </c>
      <c r="E44" s="49" t="s">
        <v>103</v>
      </c>
      <c r="F44" s="49" t="str">
        <f t="shared" ref="F44:G44" si="26">F30</f>
        <v>INDSSCO2N</v>
      </c>
      <c r="G44" s="49">
        <f t="shared" si="26"/>
        <v>50.49</v>
      </c>
    </row>
    <row r="45" spans="1:11" x14ac:dyDescent="0.3">
      <c r="B45" s="49" t="s">
        <v>87</v>
      </c>
      <c r="C45" s="49">
        <f t="shared" si="15"/>
        <v>2017</v>
      </c>
      <c r="D45" s="49" t="str">
        <f t="shared" si="18"/>
        <v>INDBIOLOG</v>
      </c>
      <c r="E45" s="49" t="s">
        <v>103</v>
      </c>
      <c r="F45" s="49" t="str">
        <f t="shared" ref="F45:G45" si="27">F31</f>
        <v>INDSSCO2N</v>
      </c>
      <c r="G45" s="49">
        <f t="shared" si="27"/>
        <v>0</v>
      </c>
    </row>
    <row r="46" spans="1:11" x14ac:dyDescent="0.3">
      <c r="B46" s="49" t="s">
        <v>87</v>
      </c>
      <c r="C46" s="49">
        <f t="shared" si="15"/>
        <v>2017</v>
      </c>
      <c r="D46" s="49" t="str">
        <f t="shared" si="18"/>
        <v>INDBIOBGS</v>
      </c>
      <c r="E46" s="49" t="s">
        <v>103</v>
      </c>
      <c r="F46" s="49" t="str">
        <f t="shared" ref="F46:G47" si="28">F32</f>
        <v>INDSSCO2N</v>
      </c>
      <c r="G46" s="49">
        <f t="shared" si="28"/>
        <v>49.14</v>
      </c>
    </row>
    <row r="47" spans="1:11" x14ac:dyDescent="0.3">
      <c r="A47" s="13"/>
      <c r="B47" s="49" t="s">
        <v>87</v>
      </c>
      <c r="C47" s="49">
        <f t="shared" si="15"/>
        <v>2017</v>
      </c>
      <c r="D47" s="49" t="str">
        <f t="shared" si="18"/>
        <v>INDBIOWID</v>
      </c>
      <c r="E47" s="49" t="s">
        <v>103</v>
      </c>
      <c r="F47" s="49" t="str">
        <f t="shared" si="28"/>
        <v>INDSSCO2N</v>
      </c>
      <c r="G47" s="49">
        <f t="shared" si="28"/>
        <v>128.70000000000002</v>
      </c>
    </row>
    <row r="48" spans="1:11" x14ac:dyDescent="0.3">
      <c r="A48" s="56"/>
      <c r="B48" s="57" t="s">
        <v>208</v>
      </c>
      <c r="C48" s="57"/>
      <c r="D48" s="57"/>
      <c r="E48" s="57"/>
      <c r="F48" s="57" t="s">
        <v>209</v>
      </c>
      <c r="G48" s="57"/>
      <c r="H48" s="57">
        <f>(204+610)*1000/10</f>
        <v>81400</v>
      </c>
      <c r="I48" s="57">
        <f>H48/35</f>
        <v>2325.7142857142858</v>
      </c>
      <c r="J48" s="57">
        <v>0</v>
      </c>
      <c r="K48" s="57">
        <v>0</v>
      </c>
    </row>
    <row r="49" spans="2:14" x14ac:dyDescent="0.3">
      <c r="B49" s="49" t="s">
        <v>87</v>
      </c>
      <c r="C49" s="49">
        <f>C46</f>
        <v>2017</v>
      </c>
      <c r="D49" s="49" t="s">
        <v>340</v>
      </c>
      <c r="E49" s="58" t="s">
        <v>339</v>
      </c>
      <c r="F49" s="49" t="str">
        <f t="shared" ref="F49" si="29">F35</f>
        <v>INDSSCO2N</v>
      </c>
      <c r="G49" s="49">
        <v>55.8</v>
      </c>
    </row>
    <row r="50" spans="2:14" x14ac:dyDescent="0.3">
      <c r="E50" s="5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ECE3-900E-4040-89A8-51B3408A2140}">
  <dimension ref="B3:R48"/>
  <sheetViews>
    <sheetView zoomScale="80" zoomScaleNormal="80" workbookViewId="0">
      <selection activeCell="H7" sqref="H7"/>
    </sheetView>
  </sheetViews>
  <sheetFormatPr defaultColWidth="9.109375" defaultRowHeight="14.4" x14ac:dyDescent="0.3"/>
  <cols>
    <col min="1" max="1" width="9.109375" style="23"/>
    <col min="2" max="2" width="13.6640625" style="49" customWidth="1"/>
    <col min="3" max="3" width="13.33203125" style="49" customWidth="1"/>
    <col min="4" max="4" width="19.109375" style="49" customWidth="1"/>
    <col min="5" max="5" width="22.33203125" style="49" bestFit="1" customWidth="1"/>
    <col min="6" max="6" width="15.88671875" style="49" customWidth="1"/>
    <col min="7" max="7" width="11.88671875" style="49" bestFit="1" customWidth="1"/>
    <col min="8" max="12" width="9.109375" style="23"/>
    <col min="13" max="13" width="30.33203125" style="23" bestFit="1" customWidth="1"/>
    <col min="14" max="15" width="9.109375" style="23"/>
    <col min="16" max="16" width="16" style="49" customWidth="1"/>
    <col min="17" max="18" width="14.33203125" style="49" customWidth="1"/>
    <col min="19" max="32" width="14.33203125" style="23" customWidth="1"/>
    <col min="33" max="16384" width="9.109375" style="23"/>
  </cols>
  <sheetData>
    <row r="3" spans="2:18" s="23" customFormat="1" x14ac:dyDescent="0.3">
      <c r="B3" s="50" t="s">
        <v>1</v>
      </c>
      <c r="C3" s="49"/>
      <c r="D3" s="49"/>
      <c r="E3" s="49"/>
      <c r="F3" s="49"/>
      <c r="G3" s="49"/>
      <c r="M3" s="48" t="s">
        <v>91</v>
      </c>
      <c r="P3" s="49"/>
      <c r="Q3" s="49"/>
      <c r="R3" s="49"/>
    </row>
    <row r="4" spans="2:18" s="23" customFormat="1" ht="15" thickBot="1" x14ac:dyDescent="0.35">
      <c r="B4" s="27" t="s">
        <v>3</v>
      </c>
      <c r="C4" s="27" t="s">
        <v>4</v>
      </c>
      <c r="D4" s="27" t="s">
        <v>86</v>
      </c>
      <c r="E4" s="27" t="s">
        <v>5</v>
      </c>
      <c r="F4" s="27" t="s">
        <v>6</v>
      </c>
      <c r="G4" s="27" t="s">
        <v>238</v>
      </c>
      <c r="H4" s="27" t="s">
        <v>93</v>
      </c>
      <c r="I4" s="27" t="s">
        <v>239</v>
      </c>
      <c r="J4" s="27" t="s">
        <v>240</v>
      </c>
      <c r="K4" s="27" t="s">
        <v>241</v>
      </c>
      <c r="M4" s="51">
        <v>0.9</v>
      </c>
      <c r="P4" s="49"/>
      <c r="Q4" s="49"/>
      <c r="R4" s="52" t="s">
        <v>268</v>
      </c>
    </row>
    <row r="5" spans="2:18" s="23" customFormat="1" ht="15" thickBot="1" x14ac:dyDescent="0.35">
      <c r="B5" s="49" t="s">
        <v>87</v>
      </c>
      <c r="C5" s="49">
        <f>BASE_YEAR</f>
        <v>2017</v>
      </c>
      <c r="D5" s="49" t="str">
        <f>P5</f>
        <v>ELECOASUB</v>
      </c>
      <c r="E5" s="49" t="s">
        <v>98</v>
      </c>
      <c r="F5" s="49" t="s">
        <v>97</v>
      </c>
      <c r="G5" s="49">
        <f>VLOOKUP(D5,$P$5:$R$21,3,0)*$M$4</f>
        <v>88.47</v>
      </c>
      <c r="P5" s="53" t="s">
        <v>264</v>
      </c>
      <c r="Q5" s="52" t="s">
        <v>37</v>
      </c>
      <c r="R5" s="39">
        <v>98.3</v>
      </c>
    </row>
    <row r="6" spans="2:18" s="23" customFormat="1" ht="15" thickBot="1" x14ac:dyDescent="0.35">
      <c r="B6" s="59" t="s">
        <v>87</v>
      </c>
      <c r="C6" s="59">
        <f>C11</f>
        <v>2017</v>
      </c>
      <c r="D6" s="59" t="str">
        <f>P8</f>
        <v>ELEGASNAT</v>
      </c>
      <c r="E6" s="59" t="s">
        <v>96</v>
      </c>
      <c r="F6" s="59" t="str">
        <f>F11</f>
        <v>ELCSSCO2N</v>
      </c>
      <c r="G6" s="59">
        <f>VLOOKUP(D6,$P$5:$R$21,3,0)*$M$4</f>
        <v>50.49</v>
      </c>
      <c r="P6" s="53" t="s">
        <v>265</v>
      </c>
      <c r="Q6" s="52" t="s">
        <v>37</v>
      </c>
      <c r="R6" s="39">
        <v>94.6</v>
      </c>
    </row>
    <row r="7" spans="2:18" s="23" customFormat="1" ht="15" thickBot="1" x14ac:dyDescent="0.35">
      <c r="B7" s="57" t="s">
        <v>208</v>
      </c>
      <c r="C7" s="57"/>
      <c r="D7" s="57"/>
      <c r="E7" s="57"/>
      <c r="F7" s="57" t="s">
        <v>210</v>
      </c>
      <c r="G7" s="57"/>
      <c r="H7" s="57">
        <f>(204+610)*1000/2</f>
        <v>407000</v>
      </c>
      <c r="I7" s="57">
        <v>0</v>
      </c>
      <c r="J7" s="57">
        <v>0</v>
      </c>
      <c r="K7" s="57">
        <v>0</v>
      </c>
      <c r="P7" s="53" t="s">
        <v>266</v>
      </c>
      <c r="Q7" s="52" t="s">
        <v>37</v>
      </c>
      <c r="R7" s="39">
        <v>101</v>
      </c>
    </row>
    <row r="8" spans="2:18" s="23" customFormat="1" ht="15" thickBot="1" x14ac:dyDescent="0.35">
      <c r="B8" s="49"/>
      <c r="C8" s="49"/>
      <c r="D8" s="49"/>
      <c r="E8" s="49"/>
      <c r="F8" s="49"/>
      <c r="G8" s="49"/>
      <c r="P8" s="53" t="s">
        <v>267</v>
      </c>
      <c r="Q8" s="52" t="s">
        <v>37</v>
      </c>
      <c r="R8" s="39">
        <v>56.1</v>
      </c>
    </row>
    <row r="9" spans="2:18" s="23" customFormat="1" x14ac:dyDescent="0.3">
      <c r="B9" s="49"/>
      <c r="C9" s="49"/>
      <c r="D9" s="49"/>
      <c r="E9" s="49"/>
      <c r="F9" s="49"/>
      <c r="G9" s="49"/>
    </row>
    <row r="10" spans="2:18" s="23" customFormat="1" x14ac:dyDescent="0.3">
      <c r="B10" s="49" t="s">
        <v>87</v>
      </c>
      <c r="C10" s="49">
        <f>C5</f>
        <v>2017</v>
      </c>
      <c r="D10" s="49" t="str">
        <f>P6</f>
        <v>ELECOABIC</v>
      </c>
      <c r="E10" s="49"/>
      <c r="F10" s="49" t="str">
        <f>F5</f>
        <v>ELCSSCO2N</v>
      </c>
      <c r="G10" s="49">
        <f>VLOOKUP(D10,$P$5:$R$21,3,0)*$M$4</f>
        <v>85.14</v>
      </c>
    </row>
    <row r="11" spans="2:18" s="23" customFormat="1" x14ac:dyDescent="0.3">
      <c r="B11" s="49" t="s">
        <v>87</v>
      </c>
      <c r="C11" s="49">
        <f>C10</f>
        <v>2017</v>
      </c>
      <c r="D11" s="49" t="str">
        <f>P7</f>
        <v>ELECOABCO</v>
      </c>
      <c r="E11" s="49"/>
      <c r="F11" s="49" t="str">
        <f>F10</f>
        <v>ELCSSCO2N</v>
      </c>
      <c r="G11" s="49">
        <f>VLOOKUP(D11,$P$5:$R$21,3,0)*$M$4</f>
        <v>90.9</v>
      </c>
    </row>
    <row r="12" spans="2:18" s="23" customFormat="1" x14ac:dyDescent="0.3">
      <c r="B12" s="49"/>
      <c r="C12" s="49"/>
      <c r="D12" s="49"/>
      <c r="E12" s="49"/>
      <c r="F12" s="49"/>
      <c r="G12" s="49"/>
    </row>
    <row r="13" spans="2:18" s="23" customFormat="1" x14ac:dyDescent="0.3">
      <c r="B13" s="49"/>
      <c r="C13" s="49"/>
      <c r="D13" s="49"/>
      <c r="E13" s="49"/>
      <c r="F13" s="49"/>
      <c r="G13" s="49"/>
    </row>
    <row r="14" spans="2:18" s="23" customFormat="1" x14ac:dyDescent="0.3">
      <c r="B14" s="49"/>
      <c r="C14" s="49"/>
      <c r="D14" s="49"/>
      <c r="E14" s="49"/>
      <c r="F14" s="49"/>
      <c r="G14" s="49"/>
    </row>
    <row r="15" spans="2:18" s="23" customFormat="1" x14ac:dyDescent="0.3">
      <c r="B15" s="49"/>
      <c r="C15" s="49"/>
      <c r="D15" s="49"/>
      <c r="E15" s="49"/>
      <c r="F15" s="49"/>
      <c r="G15" s="49"/>
    </row>
    <row r="16" spans="2:18" s="23" customFormat="1" x14ac:dyDescent="0.3">
      <c r="B16" s="49"/>
      <c r="C16" s="49"/>
      <c r="D16" s="49"/>
      <c r="E16" s="49"/>
      <c r="F16" s="49"/>
      <c r="G16" s="49"/>
    </row>
    <row r="17" spans="2:18" s="23" customFormat="1" x14ac:dyDescent="0.3">
      <c r="B17" s="49"/>
      <c r="C17" s="49"/>
      <c r="D17" s="49"/>
      <c r="E17" s="49"/>
      <c r="F17" s="49"/>
      <c r="G17" s="49"/>
    </row>
    <row r="18" spans="2:18" s="23" customFormat="1" x14ac:dyDescent="0.3">
      <c r="B18" s="49"/>
      <c r="C18" s="49"/>
      <c r="D18" s="49"/>
      <c r="E18" s="49"/>
      <c r="F18" s="49"/>
      <c r="G18" s="49"/>
    </row>
    <row r="19" spans="2:18" s="23" customFormat="1" x14ac:dyDescent="0.3"/>
    <row r="20" spans="2:18" s="23" customFormat="1" x14ac:dyDescent="0.3"/>
    <row r="21" spans="2:18" s="23" customFormat="1" x14ac:dyDescent="0.3"/>
    <row r="22" spans="2:18" s="23" customFormat="1" x14ac:dyDescent="0.3"/>
    <row r="23" spans="2:18" s="23" customFormat="1" x14ac:dyDescent="0.3"/>
    <row r="24" spans="2:18" s="23" customFormat="1" x14ac:dyDescent="0.3"/>
    <row r="25" spans="2:18" s="23" customFormat="1" x14ac:dyDescent="0.3"/>
    <row r="26" spans="2:18" s="23" customFormat="1" x14ac:dyDescent="0.3">
      <c r="P26" s="49"/>
      <c r="Q26" s="49"/>
      <c r="R26" s="49"/>
    </row>
    <row r="27" spans="2:18" s="23" customFormat="1" x14ac:dyDescent="0.3">
      <c r="P27" s="49"/>
      <c r="Q27" s="49"/>
      <c r="R27" s="49"/>
    </row>
    <row r="28" spans="2:18" s="23" customFormat="1" x14ac:dyDescent="0.3">
      <c r="P28" s="49"/>
      <c r="Q28" s="49"/>
      <c r="R28" s="49"/>
    </row>
    <row r="29" spans="2:18" s="23" customFormat="1" x14ac:dyDescent="0.3">
      <c r="P29" s="49"/>
      <c r="Q29" s="49"/>
      <c r="R29" s="49"/>
    </row>
    <row r="30" spans="2:18" s="23" customFormat="1" x14ac:dyDescent="0.3">
      <c r="P30" s="49"/>
      <c r="Q30" s="49"/>
      <c r="R30" s="49"/>
    </row>
    <row r="31" spans="2:18" s="23" customFormat="1" x14ac:dyDescent="0.3">
      <c r="P31" s="49"/>
      <c r="Q31" s="49"/>
      <c r="R31" s="49"/>
    </row>
    <row r="32" spans="2:18" s="23" customFormat="1" x14ac:dyDescent="0.3">
      <c r="P32" s="49"/>
      <c r="Q32" s="49"/>
      <c r="R32" s="49"/>
    </row>
    <row r="33" spans="16:18" s="23" customFormat="1" x14ac:dyDescent="0.3">
      <c r="P33" s="49"/>
      <c r="Q33" s="49"/>
      <c r="R33" s="49"/>
    </row>
    <row r="34" spans="16:18" s="23" customFormat="1" x14ac:dyDescent="0.3">
      <c r="P34" s="49"/>
      <c r="Q34" s="49"/>
      <c r="R34" s="49"/>
    </row>
    <row r="35" spans="16:18" s="23" customFormat="1" x14ac:dyDescent="0.3">
      <c r="P35" s="49"/>
      <c r="Q35" s="49"/>
      <c r="R35" s="49"/>
    </row>
    <row r="36" spans="16:18" s="23" customFormat="1" x14ac:dyDescent="0.3">
      <c r="P36" s="49"/>
      <c r="Q36" s="49"/>
      <c r="R36" s="49"/>
    </row>
    <row r="37" spans="16:18" s="23" customFormat="1" x14ac:dyDescent="0.3">
      <c r="P37" s="49"/>
      <c r="Q37" s="49"/>
      <c r="R37" s="49"/>
    </row>
    <row r="38" spans="16:18" s="23" customFormat="1" x14ac:dyDescent="0.3">
      <c r="P38" s="49"/>
      <c r="Q38" s="49"/>
      <c r="R38" s="49"/>
    </row>
    <row r="39" spans="16:18" s="23" customFormat="1" x14ac:dyDescent="0.3">
      <c r="P39" s="49"/>
      <c r="Q39" s="49"/>
      <c r="R39" s="49"/>
    </row>
    <row r="40" spans="16:18" s="23" customFormat="1" x14ac:dyDescent="0.3">
      <c r="P40" s="49"/>
      <c r="Q40" s="49"/>
      <c r="R40" s="49"/>
    </row>
    <row r="41" spans="16:18" s="23" customFormat="1" x14ac:dyDescent="0.3">
      <c r="P41" s="49"/>
      <c r="Q41" s="49"/>
      <c r="R41" s="49"/>
    </row>
    <row r="42" spans="16:18" s="23" customFormat="1" x14ac:dyDescent="0.3">
      <c r="P42" s="49"/>
      <c r="Q42" s="49"/>
      <c r="R42" s="49"/>
    </row>
    <row r="43" spans="16:18" s="23" customFormat="1" x14ac:dyDescent="0.3">
      <c r="P43" s="49"/>
      <c r="Q43" s="49"/>
      <c r="R43" s="49"/>
    </row>
    <row r="44" spans="16:18" s="23" customFormat="1" x14ac:dyDescent="0.3">
      <c r="P44" s="49"/>
      <c r="Q44" s="49"/>
      <c r="R44" s="49"/>
    </row>
    <row r="45" spans="16:18" s="23" customFormat="1" x14ac:dyDescent="0.3">
      <c r="P45" s="49"/>
      <c r="Q45" s="49"/>
      <c r="R45" s="49"/>
    </row>
    <row r="46" spans="16:18" s="23" customFormat="1" x14ac:dyDescent="0.3">
      <c r="P46" s="49"/>
      <c r="Q46" s="49"/>
      <c r="R46" s="49"/>
    </row>
    <row r="47" spans="16:18" s="23" customFormat="1" x14ac:dyDescent="0.3">
      <c r="P47" s="49"/>
      <c r="Q47" s="49"/>
      <c r="R47" s="49"/>
    </row>
    <row r="48" spans="16:18" s="23" customFormat="1" x14ac:dyDescent="0.3">
      <c r="P48" s="49"/>
      <c r="Q48" s="49"/>
      <c r="R48" s="4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343B-E36E-4577-AA17-0589004E3725}">
  <dimension ref="A1:Q15"/>
  <sheetViews>
    <sheetView workbookViewId="0">
      <selection sqref="A1:XFD1048576"/>
    </sheetView>
  </sheetViews>
  <sheetFormatPr defaultRowHeight="14.4" x14ac:dyDescent="0.3"/>
  <cols>
    <col min="1" max="1" width="8.88671875" style="23"/>
    <col min="2" max="2" width="10.109375" style="23" bestFit="1" customWidth="1"/>
    <col min="3" max="3" width="5.6640625" style="23" bestFit="1" customWidth="1"/>
    <col min="4" max="4" width="16.109375" style="23" bestFit="1" customWidth="1"/>
    <col min="5" max="5" width="20.44140625" style="23" bestFit="1" customWidth="1"/>
    <col min="6" max="6" width="10" style="23" bestFit="1" customWidth="1"/>
    <col min="7" max="7" width="11.88671875" style="23" bestFit="1" customWidth="1"/>
    <col min="8" max="16384" width="8.88671875" style="23"/>
  </cols>
  <sheetData>
    <row r="1" spans="1:17" x14ac:dyDescent="0.3">
      <c r="B1" s="50" t="s">
        <v>237</v>
      </c>
      <c r="D1" s="23" t="s">
        <v>236</v>
      </c>
    </row>
    <row r="2" spans="1:17" x14ac:dyDescent="0.3">
      <c r="C2" s="49"/>
      <c r="D2" s="49"/>
      <c r="E2" s="49"/>
      <c r="F2" s="49"/>
      <c r="G2" s="49"/>
    </row>
    <row r="3" spans="1:17" x14ac:dyDescent="0.3">
      <c r="B3" s="27" t="s">
        <v>3</v>
      </c>
      <c r="C3" s="27" t="s">
        <v>4</v>
      </c>
      <c r="D3" s="27" t="s">
        <v>86</v>
      </c>
      <c r="E3" s="27" t="s">
        <v>5</v>
      </c>
      <c r="F3" s="27" t="s">
        <v>6</v>
      </c>
      <c r="G3" s="27" t="s">
        <v>238</v>
      </c>
    </row>
    <row r="4" spans="1:17" x14ac:dyDescent="0.3">
      <c r="B4" s="49"/>
      <c r="C4" s="49"/>
      <c r="D4" s="49"/>
      <c r="E4" s="58"/>
      <c r="F4" s="49"/>
      <c r="G4" s="60"/>
      <c r="N4" s="21"/>
    </row>
    <row r="5" spans="1:17" x14ac:dyDescent="0.3">
      <c r="B5" s="49"/>
      <c r="C5" s="49"/>
      <c r="D5" s="49"/>
      <c r="E5" s="58"/>
      <c r="F5" s="49"/>
      <c r="G5" s="60"/>
      <c r="N5" s="21"/>
    </row>
    <row r="6" spans="1:17" x14ac:dyDescent="0.3">
      <c r="B6" s="49"/>
      <c r="C6" s="49"/>
      <c r="D6" s="49"/>
      <c r="E6" s="58"/>
      <c r="F6" s="49"/>
      <c r="G6" s="60"/>
      <c r="I6" s="61"/>
      <c r="N6" s="21"/>
    </row>
    <row r="7" spans="1:17" x14ac:dyDescent="0.3">
      <c r="A7" s="13"/>
      <c r="B7" s="59"/>
      <c r="C7" s="59"/>
      <c r="D7" s="59"/>
      <c r="E7" s="62"/>
      <c r="F7" s="59"/>
      <c r="G7" s="63"/>
      <c r="H7" s="13"/>
      <c r="I7" s="64"/>
      <c r="J7" s="13"/>
      <c r="K7" s="13"/>
      <c r="L7" s="13"/>
      <c r="M7" s="13"/>
      <c r="N7" s="13"/>
      <c r="O7" s="13"/>
      <c r="P7" s="13"/>
      <c r="Q7" s="13"/>
    </row>
    <row r="8" spans="1:17" x14ac:dyDescent="0.3">
      <c r="B8" s="49" t="s">
        <v>162</v>
      </c>
      <c r="C8" s="65">
        <v>0</v>
      </c>
      <c r="E8" s="23" t="s">
        <v>165</v>
      </c>
      <c r="F8" s="65" t="s">
        <v>89</v>
      </c>
      <c r="G8" s="23">
        <f>0.2*1000</f>
        <v>200</v>
      </c>
      <c r="I8" s="23" t="s">
        <v>168</v>
      </c>
    </row>
    <row r="9" spans="1:17" x14ac:dyDescent="0.3">
      <c r="B9" s="49" t="s">
        <v>162</v>
      </c>
      <c r="C9" s="65">
        <v>0</v>
      </c>
      <c r="E9" s="23" t="s">
        <v>166</v>
      </c>
      <c r="F9" s="65" t="s">
        <v>89</v>
      </c>
      <c r="G9" s="23">
        <f>1.3*1000</f>
        <v>1300</v>
      </c>
      <c r="I9" s="23" t="s">
        <v>168</v>
      </c>
    </row>
    <row r="10" spans="1:17" x14ac:dyDescent="0.3">
      <c r="B10" s="49" t="s">
        <v>162</v>
      </c>
      <c r="C10" s="65">
        <v>0</v>
      </c>
      <c r="E10" s="23" t="s">
        <v>167</v>
      </c>
      <c r="F10" s="65" t="s">
        <v>89</v>
      </c>
      <c r="G10" s="23">
        <f>1.5*1000</f>
        <v>1500</v>
      </c>
      <c r="I10" s="23" t="s">
        <v>168</v>
      </c>
    </row>
    <row r="11" spans="1:17" x14ac:dyDescent="0.3">
      <c r="B11" s="49"/>
      <c r="C11" s="65"/>
    </row>
    <row r="12" spans="1:17" x14ac:dyDescent="0.3">
      <c r="B12" s="49"/>
      <c r="C12" s="65"/>
    </row>
    <row r="13" spans="1:17" x14ac:dyDescent="0.3">
      <c r="B13" s="49"/>
      <c r="C13" s="65"/>
    </row>
    <row r="14" spans="1:17" x14ac:dyDescent="0.3">
      <c r="B14" s="49"/>
      <c r="C14" s="65"/>
    </row>
    <row r="15" spans="1:17" x14ac:dyDescent="0.3">
      <c r="B15" s="49"/>
      <c r="C15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ACBC-A6B3-4B8C-9820-87E1FBFC07B8}">
  <dimension ref="A1:P75"/>
  <sheetViews>
    <sheetView topLeftCell="C1" zoomScale="70" zoomScaleNormal="70" workbookViewId="0">
      <selection activeCell="C1" sqref="A1:XFD1048576"/>
    </sheetView>
  </sheetViews>
  <sheetFormatPr defaultColWidth="9.109375" defaultRowHeight="14.4" x14ac:dyDescent="0.3"/>
  <cols>
    <col min="1" max="1" width="9.109375" style="23"/>
    <col min="2" max="2" width="27.33203125" style="23" customWidth="1"/>
    <col min="3" max="3" width="30" style="23" customWidth="1"/>
    <col min="4" max="4" width="23" style="23" customWidth="1"/>
    <col min="5" max="5" width="45.44140625" style="23" customWidth="1"/>
    <col min="6" max="6" width="25" style="23" customWidth="1"/>
    <col min="7" max="10" width="32" style="23" customWidth="1"/>
    <col min="11" max="11" width="30.5546875" style="23" bestFit="1" customWidth="1"/>
    <col min="12" max="12" width="29.5546875" style="23" bestFit="1" customWidth="1"/>
    <col min="13" max="13" width="13.88671875" style="23" bestFit="1" customWidth="1"/>
    <col min="14" max="16384" width="9.109375" style="23"/>
  </cols>
  <sheetData>
    <row r="1" spans="1:16" ht="17.399999999999999" x14ac:dyDescent="0.3">
      <c r="A1" s="22" t="s">
        <v>106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x14ac:dyDescent="0.3">
      <c r="K2" s="66" t="s">
        <v>107</v>
      </c>
    </row>
    <row r="3" spans="1:16" x14ac:dyDescent="0.3">
      <c r="B3" s="66" t="s">
        <v>108</v>
      </c>
      <c r="E3" s="23" t="s">
        <v>93</v>
      </c>
      <c r="F3" s="23" t="s">
        <v>239</v>
      </c>
      <c r="G3" s="23" t="s">
        <v>240</v>
      </c>
      <c r="H3" s="23" t="s">
        <v>241</v>
      </c>
    </row>
    <row r="4" spans="1:16" x14ac:dyDescent="0.3">
      <c r="B4" s="27" t="s">
        <v>109</v>
      </c>
      <c r="C4" s="27"/>
      <c r="D4" s="27" t="s">
        <v>4</v>
      </c>
      <c r="E4" s="68" t="str">
        <f>"Increase of the Space heating demand per dwelling w.r.t. BY"</f>
        <v>Increase of the Space heating demand per dwelling w.r.t. BY</v>
      </c>
      <c r="F4" s="68" t="str">
        <f>"Increase of the Space heating demand per dwelling w.r.t. BY"</f>
        <v>Increase of the Space heating demand per dwelling w.r.t. BY</v>
      </c>
      <c r="G4" s="68" t="str">
        <f>"Increase of the Space heating demand per dwelling w.r.t. BY"</f>
        <v>Increase of the Space heating demand per dwelling w.r.t. BY</v>
      </c>
      <c r="H4" s="68" t="str">
        <f>"Increase of the Space heating demand per dwelling w.r.t. BY"</f>
        <v>Increase of the Space heating demand per dwelling w.r.t. BY</v>
      </c>
      <c r="K4" s="69" t="s">
        <v>81</v>
      </c>
      <c r="L4" s="58"/>
      <c r="M4" s="58"/>
      <c r="N4" s="58"/>
    </row>
    <row r="5" spans="1:16" x14ac:dyDescent="0.3">
      <c r="B5" s="58" t="s">
        <v>110</v>
      </c>
      <c r="C5" s="70" t="s">
        <v>111</v>
      </c>
      <c r="D5" s="49">
        <v>2030</v>
      </c>
      <c r="E5" s="71">
        <v>0</v>
      </c>
      <c r="F5" s="71">
        <v>0</v>
      </c>
      <c r="G5" s="71">
        <v>0</v>
      </c>
      <c r="H5" s="71">
        <v>0</v>
      </c>
      <c r="K5" s="72" t="s">
        <v>3</v>
      </c>
      <c r="L5" s="72" t="s">
        <v>112</v>
      </c>
      <c r="M5" s="72" t="s">
        <v>238</v>
      </c>
    </row>
    <row r="6" spans="1:16" ht="17.25" customHeight="1" x14ac:dyDescent="0.3">
      <c r="B6" s="58" t="s">
        <v>113</v>
      </c>
      <c r="C6" s="70" t="s">
        <v>114</v>
      </c>
      <c r="D6" s="49">
        <f>D5</f>
        <v>2030</v>
      </c>
      <c r="E6" s="73">
        <f>E5</f>
        <v>0</v>
      </c>
      <c r="F6" s="73">
        <f>F5</f>
        <v>0</v>
      </c>
      <c r="G6" s="73">
        <f>G5</f>
        <v>0</v>
      </c>
      <c r="H6" s="73">
        <f>H5</f>
        <v>0</v>
      </c>
      <c r="K6" s="74" t="s">
        <v>82</v>
      </c>
      <c r="L6" s="70" t="s">
        <v>115</v>
      </c>
      <c r="M6" s="75">
        <v>2020</v>
      </c>
    </row>
    <row r="7" spans="1:16" x14ac:dyDescent="0.3">
      <c r="B7" s="58" t="s">
        <v>116</v>
      </c>
      <c r="C7" s="70" t="s">
        <v>117</v>
      </c>
      <c r="D7" s="49">
        <f t="shared" ref="D7:E12" si="0">D6</f>
        <v>2030</v>
      </c>
      <c r="E7" s="73">
        <f t="shared" si="0"/>
        <v>0</v>
      </c>
      <c r="F7" s="73">
        <f t="shared" ref="F7:H7" si="1">F6</f>
        <v>0</v>
      </c>
      <c r="G7" s="73">
        <f t="shared" si="1"/>
        <v>0</v>
      </c>
      <c r="H7" s="73">
        <f t="shared" si="1"/>
        <v>0</v>
      </c>
      <c r="K7" s="74" t="s">
        <v>82</v>
      </c>
      <c r="L7" s="70" t="s">
        <v>163</v>
      </c>
      <c r="M7" s="75">
        <v>2020</v>
      </c>
    </row>
    <row r="8" spans="1:16" x14ac:dyDescent="0.3">
      <c r="B8" s="58" t="s">
        <v>118</v>
      </c>
      <c r="C8" s="23" t="s">
        <v>119</v>
      </c>
      <c r="D8" s="49">
        <f t="shared" si="0"/>
        <v>2030</v>
      </c>
      <c r="E8" s="73">
        <f t="shared" si="0"/>
        <v>0</v>
      </c>
      <c r="F8" s="73">
        <f t="shared" ref="F8:H8" si="2">F7</f>
        <v>0</v>
      </c>
      <c r="G8" s="73">
        <f t="shared" si="2"/>
        <v>0</v>
      </c>
      <c r="H8" s="73">
        <f t="shared" si="2"/>
        <v>0</v>
      </c>
    </row>
    <row r="9" spans="1:16" x14ac:dyDescent="0.3">
      <c r="B9" s="58" t="s">
        <v>120</v>
      </c>
      <c r="C9" s="23" t="s">
        <v>121</v>
      </c>
      <c r="D9" s="49">
        <f t="shared" si="0"/>
        <v>2030</v>
      </c>
      <c r="E9" s="73">
        <f t="shared" si="0"/>
        <v>0</v>
      </c>
      <c r="F9" s="73">
        <f t="shared" ref="F9:H9" si="3">F8</f>
        <v>0</v>
      </c>
      <c r="G9" s="73">
        <f t="shared" si="3"/>
        <v>0</v>
      </c>
      <c r="H9" s="73">
        <f t="shared" si="3"/>
        <v>0</v>
      </c>
    </row>
    <row r="10" spans="1:16" x14ac:dyDescent="0.3">
      <c r="B10" s="58" t="s">
        <v>122</v>
      </c>
      <c r="C10" s="23" t="s">
        <v>123</v>
      </c>
      <c r="D10" s="49">
        <f t="shared" si="0"/>
        <v>2030</v>
      </c>
      <c r="E10" s="73">
        <f t="shared" si="0"/>
        <v>0</v>
      </c>
      <c r="F10" s="73">
        <f t="shared" ref="F10:H10" si="4">F9</f>
        <v>0</v>
      </c>
      <c r="G10" s="73">
        <f t="shared" si="4"/>
        <v>0</v>
      </c>
      <c r="H10" s="73">
        <f t="shared" si="4"/>
        <v>0</v>
      </c>
    </row>
    <row r="11" spans="1:16" x14ac:dyDescent="0.3">
      <c r="B11" s="58" t="s">
        <v>124</v>
      </c>
      <c r="C11" s="23" t="s">
        <v>125</v>
      </c>
      <c r="D11" s="49">
        <f t="shared" si="0"/>
        <v>2030</v>
      </c>
      <c r="E11" s="73">
        <f t="shared" si="0"/>
        <v>0</v>
      </c>
      <c r="F11" s="73">
        <f t="shared" ref="F11:H11" si="5">F10</f>
        <v>0</v>
      </c>
      <c r="G11" s="73">
        <f t="shared" si="5"/>
        <v>0</v>
      </c>
      <c r="H11" s="73">
        <f t="shared" si="5"/>
        <v>0</v>
      </c>
    </row>
    <row r="12" spans="1:16" x14ac:dyDescent="0.3">
      <c r="B12" s="62" t="s">
        <v>126</v>
      </c>
      <c r="C12" s="13" t="s">
        <v>127</v>
      </c>
      <c r="D12" s="59">
        <f t="shared" si="0"/>
        <v>2030</v>
      </c>
      <c r="E12" s="76">
        <f t="shared" si="0"/>
        <v>0</v>
      </c>
      <c r="F12" s="76">
        <f t="shared" ref="F12:H12" si="6">F11</f>
        <v>0</v>
      </c>
      <c r="G12" s="76">
        <f t="shared" si="6"/>
        <v>0</v>
      </c>
      <c r="H12" s="76">
        <f t="shared" si="6"/>
        <v>0</v>
      </c>
    </row>
    <row r="13" spans="1:16" x14ac:dyDescent="0.3">
      <c r="B13" s="58" t="s">
        <v>110</v>
      </c>
      <c r="C13" s="70" t="s">
        <v>111</v>
      </c>
      <c r="D13" s="49">
        <v>2040</v>
      </c>
      <c r="E13" s="71">
        <v>0</v>
      </c>
      <c r="F13" s="71">
        <v>0</v>
      </c>
      <c r="G13" s="71">
        <v>0</v>
      </c>
      <c r="H13" s="71">
        <v>0</v>
      </c>
    </row>
    <row r="14" spans="1:16" x14ac:dyDescent="0.3">
      <c r="B14" s="58" t="s">
        <v>113</v>
      </c>
      <c r="C14" s="70" t="s">
        <v>114</v>
      </c>
      <c r="D14" s="49">
        <f>D13</f>
        <v>2040</v>
      </c>
      <c r="E14" s="73">
        <f>E13</f>
        <v>0</v>
      </c>
      <c r="F14" s="73">
        <f>F13</f>
        <v>0</v>
      </c>
      <c r="G14" s="73">
        <f>G13</f>
        <v>0</v>
      </c>
      <c r="H14" s="73">
        <f>H13</f>
        <v>0</v>
      </c>
    </row>
    <row r="15" spans="1:16" x14ac:dyDescent="0.3">
      <c r="B15" s="58" t="s">
        <v>116</v>
      </c>
      <c r="C15" s="70" t="s">
        <v>117</v>
      </c>
      <c r="D15" s="49">
        <f t="shared" ref="D15:E20" si="7">D14</f>
        <v>2040</v>
      </c>
      <c r="E15" s="73">
        <f t="shared" si="7"/>
        <v>0</v>
      </c>
      <c r="F15" s="73">
        <f t="shared" ref="F15:H15" si="8">F14</f>
        <v>0</v>
      </c>
      <c r="G15" s="73">
        <f t="shared" si="8"/>
        <v>0</v>
      </c>
      <c r="H15" s="73">
        <f t="shared" si="8"/>
        <v>0</v>
      </c>
    </row>
    <row r="16" spans="1:16" x14ac:dyDescent="0.3">
      <c r="B16" s="58" t="s">
        <v>118</v>
      </c>
      <c r="C16" s="23" t="s">
        <v>119</v>
      </c>
      <c r="D16" s="49">
        <f t="shared" si="7"/>
        <v>2040</v>
      </c>
      <c r="E16" s="73">
        <f t="shared" si="7"/>
        <v>0</v>
      </c>
      <c r="F16" s="73">
        <f t="shared" ref="F16:H16" si="9">F15</f>
        <v>0</v>
      </c>
      <c r="G16" s="73">
        <f t="shared" si="9"/>
        <v>0</v>
      </c>
      <c r="H16" s="73">
        <f t="shared" si="9"/>
        <v>0</v>
      </c>
    </row>
    <row r="17" spans="2:8" x14ac:dyDescent="0.3">
      <c r="B17" s="58" t="s">
        <v>120</v>
      </c>
      <c r="C17" s="23" t="s">
        <v>121</v>
      </c>
      <c r="D17" s="49">
        <f t="shared" si="7"/>
        <v>2040</v>
      </c>
      <c r="E17" s="73">
        <f t="shared" si="7"/>
        <v>0</v>
      </c>
      <c r="F17" s="73">
        <f t="shared" ref="F17:H17" si="10">F16</f>
        <v>0</v>
      </c>
      <c r="G17" s="73">
        <f t="shared" si="10"/>
        <v>0</v>
      </c>
      <c r="H17" s="73">
        <f t="shared" si="10"/>
        <v>0</v>
      </c>
    </row>
    <row r="18" spans="2:8" x14ac:dyDescent="0.3">
      <c r="B18" s="58" t="s">
        <v>122</v>
      </c>
      <c r="C18" s="23" t="s">
        <v>123</v>
      </c>
      <c r="D18" s="49">
        <f t="shared" si="7"/>
        <v>2040</v>
      </c>
      <c r="E18" s="73">
        <f t="shared" si="7"/>
        <v>0</v>
      </c>
      <c r="F18" s="73">
        <f t="shared" ref="F18:H18" si="11">F17</f>
        <v>0</v>
      </c>
      <c r="G18" s="73">
        <f t="shared" si="11"/>
        <v>0</v>
      </c>
      <c r="H18" s="73">
        <f t="shared" si="11"/>
        <v>0</v>
      </c>
    </row>
    <row r="19" spans="2:8" x14ac:dyDescent="0.3">
      <c r="B19" s="58" t="s">
        <v>124</v>
      </c>
      <c r="C19" s="23" t="s">
        <v>125</v>
      </c>
      <c r="D19" s="49">
        <f t="shared" si="7"/>
        <v>2040</v>
      </c>
      <c r="E19" s="73">
        <f t="shared" si="7"/>
        <v>0</v>
      </c>
      <c r="F19" s="73">
        <f t="shared" ref="F19:H19" si="12">F18</f>
        <v>0</v>
      </c>
      <c r="G19" s="73">
        <f t="shared" si="12"/>
        <v>0</v>
      </c>
      <c r="H19" s="73">
        <f t="shared" si="12"/>
        <v>0</v>
      </c>
    </row>
    <row r="20" spans="2:8" x14ac:dyDescent="0.3">
      <c r="B20" s="62" t="s">
        <v>126</v>
      </c>
      <c r="C20" s="13" t="s">
        <v>127</v>
      </c>
      <c r="D20" s="59">
        <f t="shared" si="7"/>
        <v>2040</v>
      </c>
      <c r="E20" s="76">
        <f t="shared" si="7"/>
        <v>0</v>
      </c>
      <c r="F20" s="76">
        <f t="shared" ref="F20:H20" si="13">F19</f>
        <v>0</v>
      </c>
      <c r="G20" s="76">
        <f t="shared" si="13"/>
        <v>0</v>
      </c>
      <c r="H20" s="76">
        <f t="shared" si="13"/>
        <v>0</v>
      </c>
    </row>
    <row r="21" spans="2:8" x14ac:dyDescent="0.3">
      <c r="B21" s="58" t="s">
        <v>110</v>
      </c>
      <c r="C21" s="70" t="s">
        <v>111</v>
      </c>
      <c r="D21" s="49">
        <v>2050</v>
      </c>
      <c r="E21" s="71">
        <v>0</v>
      </c>
      <c r="F21" s="71">
        <v>0</v>
      </c>
      <c r="G21" s="71">
        <v>0</v>
      </c>
      <c r="H21" s="71">
        <v>0</v>
      </c>
    </row>
    <row r="22" spans="2:8" x14ac:dyDescent="0.3">
      <c r="B22" s="58" t="s">
        <v>113</v>
      </c>
      <c r="C22" s="70" t="s">
        <v>114</v>
      </c>
      <c r="D22" s="49">
        <f>D21</f>
        <v>2050</v>
      </c>
      <c r="E22" s="73">
        <f>E21</f>
        <v>0</v>
      </c>
      <c r="F22" s="73">
        <f>F21</f>
        <v>0</v>
      </c>
      <c r="G22" s="73">
        <f>G21</f>
        <v>0</v>
      </c>
      <c r="H22" s="73">
        <f>H21</f>
        <v>0</v>
      </c>
    </row>
    <row r="23" spans="2:8" x14ac:dyDescent="0.3">
      <c r="B23" s="58" t="s">
        <v>116</v>
      </c>
      <c r="C23" s="70" t="s">
        <v>117</v>
      </c>
      <c r="D23" s="49">
        <f t="shared" ref="D23:E28" si="14">D22</f>
        <v>2050</v>
      </c>
      <c r="E23" s="73">
        <f t="shared" si="14"/>
        <v>0</v>
      </c>
      <c r="F23" s="73">
        <f t="shared" ref="F23:H23" si="15">F22</f>
        <v>0</v>
      </c>
      <c r="G23" s="73">
        <f t="shared" si="15"/>
        <v>0</v>
      </c>
      <c r="H23" s="73">
        <f t="shared" si="15"/>
        <v>0</v>
      </c>
    </row>
    <row r="24" spans="2:8" x14ac:dyDescent="0.3">
      <c r="B24" s="58" t="s">
        <v>118</v>
      </c>
      <c r="C24" s="23" t="s">
        <v>119</v>
      </c>
      <c r="D24" s="49">
        <f t="shared" si="14"/>
        <v>2050</v>
      </c>
      <c r="E24" s="73">
        <f t="shared" si="14"/>
        <v>0</v>
      </c>
      <c r="F24" s="73">
        <f t="shared" ref="F24:H24" si="16">F23</f>
        <v>0</v>
      </c>
      <c r="G24" s="73">
        <f t="shared" si="16"/>
        <v>0</v>
      </c>
      <c r="H24" s="73">
        <f t="shared" si="16"/>
        <v>0</v>
      </c>
    </row>
    <row r="25" spans="2:8" x14ac:dyDescent="0.3">
      <c r="B25" s="58" t="s">
        <v>120</v>
      </c>
      <c r="C25" s="23" t="s">
        <v>121</v>
      </c>
      <c r="D25" s="49">
        <f t="shared" si="14"/>
        <v>2050</v>
      </c>
      <c r="E25" s="73">
        <f t="shared" si="14"/>
        <v>0</v>
      </c>
      <c r="F25" s="73">
        <f t="shared" ref="F25:H25" si="17">F24</f>
        <v>0</v>
      </c>
      <c r="G25" s="73">
        <f t="shared" si="17"/>
        <v>0</v>
      </c>
      <c r="H25" s="73">
        <f t="shared" si="17"/>
        <v>0</v>
      </c>
    </row>
    <row r="26" spans="2:8" x14ac:dyDescent="0.3">
      <c r="B26" s="58" t="s">
        <v>122</v>
      </c>
      <c r="C26" s="23" t="s">
        <v>123</v>
      </c>
      <c r="D26" s="49">
        <f t="shared" si="14"/>
        <v>2050</v>
      </c>
      <c r="E26" s="73">
        <f t="shared" si="14"/>
        <v>0</v>
      </c>
      <c r="F26" s="73">
        <f t="shared" ref="F26:H26" si="18">F25</f>
        <v>0</v>
      </c>
      <c r="G26" s="73">
        <f t="shared" si="18"/>
        <v>0</v>
      </c>
      <c r="H26" s="73">
        <f t="shared" si="18"/>
        <v>0</v>
      </c>
    </row>
    <row r="27" spans="2:8" x14ac:dyDescent="0.3">
      <c r="B27" s="58" t="s">
        <v>124</v>
      </c>
      <c r="C27" s="23" t="s">
        <v>125</v>
      </c>
      <c r="D27" s="49">
        <f t="shared" si="14"/>
        <v>2050</v>
      </c>
      <c r="E27" s="73">
        <f t="shared" si="14"/>
        <v>0</v>
      </c>
      <c r="F27" s="73">
        <f t="shared" ref="F27:H27" si="19">F26</f>
        <v>0</v>
      </c>
      <c r="G27" s="73">
        <f t="shared" si="19"/>
        <v>0</v>
      </c>
      <c r="H27" s="73">
        <f t="shared" si="19"/>
        <v>0</v>
      </c>
    </row>
    <row r="28" spans="2:8" x14ac:dyDescent="0.3">
      <c r="B28" s="62" t="s">
        <v>126</v>
      </c>
      <c r="C28" s="13" t="s">
        <v>127</v>
      </c>
      <c r="D28" s="59">
        <f t="shared" si="14"/>
        <v>2050</v>
      </c>
      <c r="E28" s="76">
        <f t="shared" si="14"/>
        <v>0</v>
      </c>
      <c r="F28" s="76">
        <f t="shared" ref="F28:H28" si="20">F27</f>
        <v>0</v>
      </c>
      <c r="G28" s="76">
        <f t="shared" si="20"/>
        <v>0</v>
      </c>
      <c r="H28" s="76">
        <f t="shared" si="20"/>
        <v>0</v>
      </c>
    </row>
    <row r="29" spans="2:8" x14ac:dyDescent="0.3">
      <c r="B29" s="58"/>
    </row>
    <row r="30" spans="2:8" x14ac:dyDescent="0.3">
      <c r="B30" s="58"/>
    </row>
    <row r="32" spans="2:8" x14ac:dyDescent="0.3">
      <c r="B32" s="69" t="s">
        <v>1</v>
      </c>
      <c r="C32" s="58"/>
      <c r="D32" s="58"/>
      <c r="E32" s="58"/>
      <c r="F32" s="58"/>
    </row>
    <row r="33" spans="2:9" x14ac:dyDescent="0.3">
      <c r="B33" s="72" t="s">
        <v>0</v>
      </c>
      <c r="C33" s="72" t="s">
        <v>3</v>
      </c>
      <c r="D33" s="72" t="s">
        <v>112</v>
      </c>
      <c r="E33" s="72" t="s">
        <v>4</v>
      </c>
      <c r="F33" s="72" t="s">
        <v>93</v>
      </c>
      <c r="G33" s="72" t="s">
        <v>239</v>
      </c>
      <c r="H33" s="72" t="s">
        <v>240</v>
      </c>
      <c r="I33" s="72" t="s">
        <v>241</v>
      </c>
    </row>
    <row r="34" spans="2:9" ht="15" thickBot="1" x14ac:dyDescent="0.35">
      <c r="B34" s="77" t="s">
        <v>128</v>
      </c>
      <c r="C34" s="77"/>
      <c r="D34" s="78" t="s">
        <v>129</v>
      </c>
      <c r="E34" s="77"/>
      <c r="F34" s="77"/>
      <c r="G34" s="77"/>
      <c r="H34" s="77"/>
      <c r="I34" s="77"/>
    </row>
    <row r="35" spans="2:9" ht="15" thickBot="1" x14ac:dyDescent="0.35">
      <c r="B35" s="79" t="s">
        <v>130</v>
      </c>
      <c r="C35" s="80"/>
      <c r="D35" s="80"/>
      <c r="E35" s="80"/>
      <c r="F35" s="80" t="s">
        <v>22</v>
      </c>
      <c r="G35" s="80" t="s">
        <v>22</v>
      </c>
      <c r="H35" s="80" t="s">
        <v>22</v>
      </c>
      <c r="I35" s="80" t="s">
        <v>22</v>
      </c>
    </row>
    <row r="36" spans="2:9" x14ac:dyDescent="0.3">
      <c r="B36" s="74" t="s">
        <v>8</v>
      </c>
      <c r="C36" s="74" t="s">
        <v>131</v>
      </c>
      <c r="D36" s="70" t="s">
        <v>132</v>
      </c>
      <c r="E36" s="49">
        <f>D5</f>
        <v>2030</v>
      </c>
      <c r="F36" s="21">
        <f t="shared" ref="F36:I43" si="21">H68*(1-E5)</f>
        <v>4.3798605043285699</v>
      </c>
      <c r="G36" s="21">
        <f t="shared" si="21"/>
        <v>4.2110744593140002</v>
      </c>
      <c r="H36" s="21">
        <f t="shared" si="21"/>
        <v>0</v>
      </c>
      <c r="I36" s="21">
        <f t="shared" si="21"/>
        <v>26.266715889134399</v>
      </c>
    </row>
    <row r="37" spans="2:9" ht="14.25" customHeight="1" x14ac:dyDescent="0.3">
      <c r="B37" s="74" t="s">
        <v>8</v>
      </c>
      <c r="C37" s="74" t="s">
        <v>131</v>
      </c>
      <c r="D37" s="70" t="s">
        <v>133</v>
      </c>
      <c r="E37" s="49">
        <f>E36</f>
        <v>2030</v>
      </c>
      <c r="F37" s="21">
        <f t="shared" si="21"/>
        <v>2.8800340972472802</v>
      </c>
      <c r="G37" s="21">
        <f t="shared" si="21"/>
        <v>2.1516981336360002</v>
      </c>
      <c r="H37" s="21">
        <f t="shared" si="21"/>
        <v>0</v>
      </c>
      <c r="I37" s="21">
        <f t="shared" si="21"/>
        <v>11.034692155965599</v>
      </c>
    </row>
    <row r="38" spans="2:9" x14ac:dyDescent="0.3">
      <c r="B38" s="74" t="s">
        <v>8</v>
      </c>
      <c r="C38" s="74" t="s">
        <v>131</v>
      </c>
      <c r="D38" s="70" t="s">
        <v>134</v>
      </c>
      <c r="E38" s="49">
        <f t="shared" ref="E38:E43" si="22">E37</f>
        <v>2030</v>
      </c>
      <c r="F38" s="21">
        <f t="shared" si="21"/>
        <v>5.2335099604595996</v>
      </c>
      <c r="G38" s="21">
        <f t="shared" si="21"/>
        <v>0</v>
      </c>
      <c r="H38" s="21">
        <f t="shared" si="21"/>
        <v>0</v>
      </c>
      <c r="I38" s="21">
        <f t="shared" si="21"/>
        <v>0</v>
      </c>
    </row>
    <row r="39" spans="2:9" x14ac:dyDescent="0.3">
      <c r="B39" s="74" t="s">
        <v>8</v>
      </c>
      <c r="C39" s="74" t="s">
        <v>131</v>
      </c>
      <c r="D39" s="23" t="s">
        <v>135</v>
      </c>
      <c r="E39" s="49">
        <f t="shared" si="22"/>
        <v>2030</v>
      </c>
      <c r="F39" s="21">
        <f t="shared" si="21"/>
        <v>1.7532710048923199</v>
      </c>
      <c r="G39" s="21">
        <f t="shared" si="21"/>
        <v>0</v>
      </c>
      <c r="H39" s="21">
        <f t="shared" si="21"/>
        <v>0</v>
      </c>
      <c r="I39" s="21">
        <f t="shared" si="21"/>
        <v>0</v>
      </c>
    </row>
    <row r="40" spans="2:9" x14ac:dyDescent="0.3">
      <c r="B40" s="74" t="s">
        <v>8</v>
      </c>
      <c r="C40" s="74" t="s">
        <v>131</v>
      </c>
      <c r="D40" s="23" t="s">
        <v>136</v>
      </c>
      <c r="E40" s="49">
        <f t="shared" si="22"/>
        <v>2030</v>
      </c>
      <c r="F40" s="21">
        <f t="shared" si="21"/>
        <v>0.121961519817657</v>
      </c>
      <c r="G40" s="21">
        <f t="shared" si="21"/>
        <v>0</v>
      </c>
      <c r="H40" s="21">
        <f t="shared" si="21"/>
        <v>0</v>
      </c>
      <c r="I40" s="21">
        <f t="shared" si="21"/>
        <v>0</v>
      </c>
    </row>
    <row r="41" spans="2:9" x14ac:dyDescent="0.3">
      <c r="B41" s="74" t="s">
        <v>8</v>
      </c>
      <c r="C41" s="74" t="s">
        <v>131</v>
      </c>
      <c r="D41" s="23" t="s">
        <v>137</v>
      </c>
      <c r="E41" s="49">
        <f t="shared" si="22"/>
        <v>2030</v>
      </c>
      <c r="F41" s="21">
        <f t="shared" si="21"/>
        <v>0.274141910919035</v>
      </c>
      <c r="G41" s="21">
        <f t="shared" si="21"/>
        <v>0</v>
      </c>
      <c r="H41" s="21">
        <f t="shared" si="21"/>
        <v>0</v>
      </c>
      <c r="I41" s="21">
        <f t="shared" si="21"/>
        <v>0</v>
      </c>
    </row>
    <row r="42" spans="2:9" x14ac:dyDescent="0.3">
      <c r="B42" s="74" t="s">
        <v>8</v>
      </c>
      <c r="C42" s="74" t="s">
        <v>131</v>
      </c>
      <c r="D42" s="23" t="s">
        <v>138</v>
      </c>
      <c r="E42" s="49">
        <f t="shared" si="22"/>
        <v>2030</v>
      </c>
      <c r="F42" s="21">
        <f t="shared" si="21"/>
        <v>3.23077153518989</v>
      </c>
      <c r="G42" s="21">
        <f t="shared" si="21"/>
        <v>0</v>
      </c>
      <c r="H42" s="21">
        <f t="shared" si="21"/>
        <v>0</v>
      </c>
      <c r="I42" s="21">
        <f t="shared" si="21"/>
        <v>0</v>
      </c>
    </row>
    <row r="43" spans="2:9" x14ac:dyDescent="0.3">
      <c r="B43" s="81" t="s">
        <v>8</v>
      </c>
      <c r="C43" s="81" t="s">
        <v>131</v>
      </c>
      <c r="D43" s="13" t="s">
        <v>139</v>
      </c>
      <c r="E43" s="59">
        <f t="shared" si="22"/>
        <v>2030</v>
      </c>
      <c r="F43" s="82">
        <f t="shared" si="21"/>
        <v>3.9132670005650801E-2</v>
      </c>
      <c r="G43" s="82">
        <f t="shared" si="21"/>
        <v>0</v>
      </c>
      <c r="H43" s="82">
        <f t="shared" si="21"/>
        <v>0</v>
      </c>
      <c r="I43" s="82">
        <f t="shared" si="21"/>
        <v>0</v>
      </c>
    </row>
    <row r="44" spans="2:9" x14ac:dyDescent="0.3">
      <c r="B44" s="74" t="s">
        <v>8</v>
      </c>
      <c r="C44" s="74" t="s">
        <v>131</v>
      </c>
      <c r="D44" s="70" t="s">
        <v>132</v>
      </c>
      <c r="E44" s="49">
        <f>D13</f>
        <v>2040</v>
      </c>
      <c r="F44" s="83">
        <f t="shared" ref="F44:I51" si="23">H68*(1-E13)</f>
        <v>4.3798605043285699</v>
      </c>
      <c r="G44" s="83">
        <f t="shared" si="23"/>
        <v>4.2110744593140002</v>
      </c>
      <c r="H44" s="83">
        <f t="shared" si="23"/>
        <v>0</v>
      </c>
      <c r="I44" s="83">
        <f t="shared" si="23"/>
        <v>26.266715889134399</v>
      </c>
    </row>
    <row r="45" spans="2:9" x14ac:dyDescent="0.3">
      <c r="B45" s="74" t="s">
        <v>8</v>
      </c>
      <c r="C45" s="74" t="s">
        <v>131</v>
      </c>
      <c r="D45" s="70" t="s">
        <v>133</v>
      </c>
      <c r="E45" s="49">
        <f>E44</f>
        <v>2040</v>
      </c>
      <c r="F45" s="21">
        <f t="shared" si="23"/>
        <v>2.8800340972472802</v>
      </c>
      <c r="G45" s="21">
        <f t="shared" si="23"/>
        <v>2.1516981336360002</v>
      </c>
      <c r="H45" s="21">
        <f t="shared" si="23"/>
        <v>0</v>
      </c>
      <c r="I45" s="21">
        <f t="shared" si="23"/>
        <v>11.034692155965599</v>
      </c>
    </row>
    <row r="46" spans="2:9" x14ac:dyDescent="0.3">
      <c r="B46" s="74" t="s">
        <v>8</v>
      </c>
      <c r="C46" s="74" t="s">
        <v>131</v>
      </c>
      <c r="D46" s="70" t="s">
        <v>134</v>
      </c>
      <c r="E46" s="49">
        <f t="shared" ref="E46:E51" si="24">E45</f>
        <v>2040</v>
      </c>
      <c r="F46" s="21">
        <f t="shared" si="23"/>
        <v>5.2335099604595996</v>
      </c>
      <c r="G46" s="21">
        <f t="shared" si="23"/>
        <v>0</v>
      </c>
      <c r="H46" s="21">
        <f t="shared" si="23"/>
        <v>0</v>
      </c>
      <c r="I46" s="21">
        <f t="shared" si="23"/>
        <v>0</v>
      </c>
    </row>
    <row r="47" spans="2:9" x14ac:dyDescent="0.3">
      <c r="B47" s="74" t="s">
        <v>8</v>
      </c>
      <c r="C47" s="74" t="s">
        <v>131</v>
      </c>
      <c r="D47" s="23" t="s">
        <v>135</v>
      </c>
      <c r="E47" s="49">
        <f t="shared" si="24"/>
        <v>2040</v>
      </c>
      <c r="F47" s="21">
        <f t="shared" si="23"/>
        <v>1.7532710048923199</v>
      </c>
      <c r="G47" s="21">
        <f t="shared" si="23"/>
        <v>0</v>
      </c>
      <c r="H47" s="21">
        <f t="shared" si="23"/>
        <v>0</v>
      </c>
      <c r="I47" s="21">
        <f t="shared" si="23"/>
        <v>0</v>
      </c>
    </row>
    <row r="48" spans="2:9" x14ac:dyDescent="0.3">
      <c r="B48" s="74" t="s">
        <v>8</v>
      </c>
      <c r="C48" s="74" t="s">
        <v>131</v>
      </c>
      <c r="D48" s="23" t="s">
        <v>136</v>
      </c>
      <c r="E48" s="49">
        <f t="shared" si="24"/>
        <v>2040</v>
      </c>
      <c r="F48" s="21">
        <f t="shared" si="23"/>
        <v>0.121961519817657</v>
      </c>
      <c r="G48" s="21">
        <f t="shared" si="23"/>
        <v>0</v>
      </c>
      <c r="H48" s="21">
        <f t="shared" si="23"/>
        <v>0</v>
      </c>
      <c r="I48" s="21">
        <f t="shared" si="23"/>
        <v>0</v>
      </c>
    </row>
    <row r="49" spans="2:9" x14ac:dyDescent="0.3">
      <c r="B49" s="74" t="s">
        <v>8</v>
      </c>
      <c r="C49" s="74" t="s">
        <v>131</v>
      </c>
      <c r="D49" s="23" t="s">
        <v>137</v>
      </c>
      <c r="E49" s="49">
        <f t="shared" si="24"/>
        <v>2040</v>
      </c>
      <c r="F49" s="21">
        <f t="shared" si="23"/>
        <v>0.274141910919035</v>
      </c>
      <c r="G49" s="21">
        <f t="shared" si="23"/>
        <v>0</v>
      </c>
      <c r="H49" s="21">
        <f t="shared" si="23"/>
        <v>0</v>
      </c>
      <c r="I49" s="21">
        <f t="shared" si="23"/>
        <v>0</v>
      </c>
    </row>
    <row r="50" spans="2:9" x14ac:dyDescent="0.3">
      <c r="B50" s="74" t="s">
        <v>8</v>
      </c>
      <c r="C50" s="74" t="s">
        <v>131</v>
      </c>
      <c r="D50" s="23" t="s">
        <v>138</v>
      </c>
      <c r="E50" s="49">
        <f t="shared" si="24"/>
        <v>2040</v>
      </c>
      <c r="F50" s="21">
        <f t="shared" si="23"/>
        <v>3.23077153518989</v>
      </c>
      <c r="G50" s="21">
        <f t="shared" si="23"/>
        <v>0</v>
      </c>
      <c r="H50" s="21">
        <f t="shared" si="23"/>
        <v>0</v>
      </c>
      <c r="I50" s="21">
        <f t="shared" si="23"/>
        <v>0</v>
      </c>
    </row>
    <row r="51" spans="2:9" x14ac:dyDescent="0.3">
      <c r="B51" s="81" t="s">
        <v>8</v>
      </c>
      <c r="C51" s="81" t="s">
        <v>131</v>
      </c>
      <c r="D51" s="13" t="s">
        <v>139</v>
      </c>
      <c r="E51" s="59">
        <f t="shared" si="24"/>
        <v>2040</v>
      </c>
      <c r="F51" s="82">
        <f t="shared" si="23"/>
        <v>3.9132670005650801E-2</v>
      </c>
      <c r="G51" s="82">
        <f t="shared" si="23"/>
        <v>0</v>
      </c>
      <c r="H51" s="82">
        <f t="shared" si="23"/>
        <v>0</v>
      </c>
      <c r="I51" s="82">
        <f t="shared" si="23"/>
        <v>0</v>
      </c>
    </row>
    <row r="52" spans="2:9" x14ac:dyDescent="0.3">
      <c r="B52" s="74" t="s">
        <v>8</v>
      </c>
      <c r="C52" s="74" t="s">
        <v>131</v>
      </c>
      <c r="D52" s="70" t="s">
        <v>132</v>
      </c>
      <c r="E52" s="49">
        <f>D21</f>
        <v>2050</v>
      </c>
      <c r="F52" s="83">
        <f t="shared" ref="F52:I59" si="25">H68*(1-E21)</f>
        <v>4.3798605043285699</v>
      </c>
      <c r="G52" s="83">
        <f t="shared" si="25"/>
        <v>4.2110744593140002</v>
      </c>
      <c r="H52" s="83">
        <f t="shared" si="25"/>
        <v>0</v>
      </c>
      <c r="I52" s="83">
        <f t="shared" si="25"/>
        <v>26.266715889134399</v>
      </c>
    </row>
    <row r="53" spans="2:9" x14ac:dyDescent="0.3">
      <c r="B53" s="74" t="s">
        <v>8</v>
      </c>
      <c r="C53" s="74" t="s">
        <v>131</v>
      </c>
      <c r="D53" s="70" t="s">
        <v>133</v>
      </c>
      <c r="E53" s="49">
        <f>E52</f>
        <v>2050</v>
      </c>
      <c r="F53" s="21">
        <f t="shared" si="25"/>
        <v>2.8800340972472802</v>
      </c>
      <c r="G53" s="21">
        <f t="shared" si="25"/>
        <v>2.1516981336360002</v>
      </c>
      <c r="H53" s="21">
        <f t="shared" si="25"/>
        <v>0</v>
      </c>
      <c r="I53" s="21">
        <f t="shared" si="25"/>
        <v>11.034692155965599</v>
      </c>
    </row>
    <row r="54" spans="2:9" x14ac:dyDescent="0.3">
      <c r="B54" s="74" t="s">
        <v>8</v>
      </c>
      <c r="C54" s="74" t="s">
        <v>131</v>
      </c>
      <c r="D54" s="70" t="s">
        <v>134</v>
      </c>
      <c r="E54" s="49">
        <f t="shared" ref="E54:E59" si="26">E53</f>
        <v>2050</v>
      </c>
      <c r="F54" s="21">
        <f t="shared" si="25"/>
        <v>5.2335099604595996</v>
      </c>
      <c r="G54" s="21">
        <f t="shared" si="25"/>
        <v>0</v>
      </c>
      <c r="H54" s="21">
        <f t="shared" si="25"/>
        <v>0</v>
      </c>
      <c r="I54" s="21">
        <f t="shared" si="25"/>
        <v>0</v>
      </c>
    </row>
    <row r="55" spans="2:9" x14ac:dyDescent="0.3">
      <c r="B55" s="74" t="s">
        <v>8</v>
      </c>
      <c r="C55" s="74" t="s">
        <v>131</v>
      </c>
      <c r="D55" s="23" t="s">
        <v>135</v>
      </c>
      <c r="E55" s="49">
        <f t="shared" si="26"/>
        <v>2050</v>
      </c>
      <c r="F55" s="21">
        <f t="shared" si="25"/>
        <v>1.7532710048923199</v>
      </c>
      <c r="G55" s="21">
        <f t="shared" si="25"/>
        <v>0</v>
      </c>
      <c r="H55" s="21">
        <f t="shared" si="25"/>
        <v>0</v>
      </c>
      <c r="I55" s="21">
        <f t="shared" si="25"/>
        <v>0</v>
      </c>
    </row>
    <row r="56" spans="2:9" x14ac:dyDescent="0.3">
      <c r="B56" s="74" t="s">
        <v>8</v>
      </c>
      <c r="C56" s="74" t="s">
        <v>131</v>
      </c>
      <c r="D56" s="23" t="s">
        <v>136</v>
      </c>
      <c r="E56" s="49">
        <f t="shared" si="26"/>
        <v>2050</v>
      </c>
      <c r="F56" s="21">
        <f t="shared" si="25"/>
        <v>0.121961519817657</v>
      </c>
      <c r="G56" s="21">
        <f t="shared" si="25"/>
        <v>0</v>
      </c>
      <c r="H56" s="21">
        <f t="shared" si="25"/>
        <v>0</v>
      </c>
      <c r="I56" s="21">
        <f t="shared" si="25"/>
        <v>0</v>
      </c>
    </row>
    <row r="57" spans="2:9" x14ac:dyDescent="0.3">
      <c r="B57" s="74" t="s">
        <v>8</v>
      </c>
      <c r="C57" s="74" t="s">
        <v>131</v>
      </c>
      <c r="D57" s="23" t="s">
        <v>137</v>
      </c>
      <c r="E57" s="49">
        <f t="shared" si="26"/>
        <v>2050</v>
      </c>
      <c r="F57" s="21">
        <f t="shared" si="25"/>
        <v>0.274141910919035</v>
      </c>
      <c r="G57" s="21">
        <f t="shared" si="25"/>
        <v>0</v>
      </c>
      <c r="H57" s="21">
        <f t="shared" si="25"/>
        <v>0</v>
      </c>
      <c r="I57" s="21">
        <f t="shared" si="25"/>
        <v>0</v>
      </c>
    </row>
    <row r="58" spans="2:9" x14ac:dyDescent="0.3">
      <c r="B58" s="74" t="s">
        <v>8</v>
      </c>
      <c r="C58" s="74" t="s">
        <v>131</v>
      </c>
      <c r="D58" s="23" t="s">
        <v>138</v>
      </c>
      <c r="E58" s="49">
        <f t="shared" si="26"/>
        <v>2050</v>
      </c>
      <c r="F58" s="21">
        <f t="shared" si="25"/>
        <v>3.23077153518989</v>
      </c>
      <c r="G58" s="21">
        <f t="shared" si="25"/>
        <v>0</v>
      </c>
      <c r="H58" s="21">
        <f t="shared" si="25"/>
        <v>0</v>
      </c>
      <c r="I58" s="21">
        <f t="shared" si="25"/>
        <v>0</v>
      </c>
    </row>
    <row r="59" spans="2:9" x14ac:dyDescent="0.3">
      <c r="B59" s="81" t="s">
        <v>8</v>
      </c>
      <c r="C59" s="81" t="s">
        <v>131</v>
      </c>
      <c r="D59" s="13" t="s">
        <v>139</v>
      </c>
      <c r="E59" s="59">
        <f t="shared" si="26"/>
        <v>2050</v>
      </c>
      <c r="F59" s="82">
        <f t="shared" si="25"/>
        <v>3.9132670005650801E-2</v>
      </c>
      <c r="G59" s="82">
        <f t="shared" si="25"/>
        <v>0</v>
      </c>
      <c r="H59" s="82">
        <f t="shared" si="25"/>
        <v>0</v>
      </c>
      <c r="I59" s="82">
        <f t="shared" si="25"/>
        <v>0</v>
      </c>
    </row>
    <row r="60" spans="2:9" x14ac:dyDescent="0.3">
      <c r="B60" s="74"/>
      <c r="C60" s="74"/>
      <c r="E60" s="49"/>
      <c r="F60" s="21"/>
    </row>
    <row r="61" spans="2:9" x14ac:dyDescent="0.3">
      <c r="B61" s="74"/>
      <c r="C61" s="74"/>
      <c r="E61" s="49"/>
      <c r="F61" s="21"/>
    </row>
    <row r="62" spans="2:9" x14ac:dyDescent="0.3">
      <c r="B62" s="74"/>
      <c r="C62" s="74"/>
      <c r="E62" s="49"/>
      <c r="F62" s="21"/>
    </row>
    <row r="66" spans="2:11" x14ac:dyDescent="0.3">
      <c r="B66" s="69" t="s">
        <v>140</v>
      </c>
    </row>
    <row r="67" spans="2:11" x14ac:dyDescent="0.3">
      <c r="B67" s="27" t="s">
        <v>141</v>
      </c>
      <c r="C67" s="27" t="s">
        <v>142</v>
      </c>
      <c r="D67" s="27" t="s">
        <v>4</v>
      </c>
      <c r="E67" s="27" t="s">
        <v>3</v>
      </c>
      <c r="F67" s="27" t="s">
        <v>0</v>
      </c>
      <c r="G67" s="27" t="s">
        <v>5</v>
      </c>
      <c r="H67" s="27" t="s">
        <v>93</v>
      </c>
      <c r="I67" s="27" t="s">
        <v>239</v>
      </c>
      <c r="J67" s="27" t="s">
        <v>240</v>
      </c>
      <c r="K67" s="27" t="s">
        <v>241</v>
      </c>
    </row>
    <row r="68" spans="2:11" x14ac:dyDescent="0.3">
      <c r="B68" s="84" t="s">
        <v>143</v>
      </c>
      <c r="C68" s="66" t="s">
        <v>144</v>
      </c>
      <c r="D68" s="84">
        <v>2017</v>
      </c>
      <c r="E68" s="84" t="s">
        <v>9</v>
      </c>
      <c r="F68" s="84" t="s">
        <v>8</v>
      </c>
      <c r="G68" s="84" t="s">
        <v>132</v>
      </c>
      <c r="H68" s="67">
        <v>4.3798605043285699</v>
      </c>
      <c r="I68" s="67">
        <v>4.2110744593140002</v>
      </c>
      <c r="J68" s="67">
        <v>0</v>
      </c>
      <c r="K68" s="67">
        <v>26.266715889134399</v>
      </c>
    </row>
    <row r="69" spans="2:11" x14ac:dyDescent="0.3">
      <c r="B69" s="84" t="s">
        <v>143</v>
      </c>
      <c r="C69" s="66" t="s">
        <v>144</v>
      </c>
      <c r="D69" s="84">
        <f>D68</f>
        <v>2017</v>
      </c>
      <c r="E69" s="84" t="str">
        <f t="shared" ref="E69:F70" si="27">E68</f>
        <v>ACT_BND</v>
      </c>
      <c r="F69" s="84" t="str">
        <f t="shared" si="27"/>
        <v>UP</v>
      </c>
      <c r="G69" s="84" t="s">
        <v>133</v>
      </c>
      <c r="H69" s="67">
        <v>2.8800340972472802</v>
      </c>
      <c r="I69" s="67">
        <v>2.1516981336360002</v>
      </c>
      <c r="J69" s="67">
        <v>0</v>
      </c>
      <c r="K69" s="67">
        <v>11.034692155965599</v>
      </c>
    </row>
    <row r="70" spans="2:11" x14ac:dyDescent="0.3">
      <c r="B70" s="84" t="s">
        <v>143</v>
      </c>
      <c r="C70" s="66" t="s">
        <v>144</v>
      </c>
      <c r="D70" s="84">
        <f t="shared" ref="D70:F75" si="28">D69</f>
        <v>2017</v>
      </c>
      <c r="E70" s="84" t="str">
        <f t="shared" si="28"/>
        <v>ACT_BND</v>
      </c>
      <c r="F70" s="84" t="str">
        <f t="shared" si="27"/>
        <v>UP</v>
      </c>
      <c r="G70" s="84" t="s">
        <v>134</v>
      </c>
      <c r="H70" s="67">
        <v>5.2335099604595996</v>
      </c>
      <c r="I70" s="67"/>
      <c r="J70" s="67"/>
      <c r="K70" s="67"/>
    </row>
    <row r="71" spans="2:11" x14ac:dyDescent="0.3">
      <c r="B71" s="84" t="s">
        <v>143</v>
      </c>
      <c r="C71" s="66" t="s">
        <v>144</v>
      </c>
      <c r="D71" s="84">
        <f t="shared" si="28"/>
        <v>2017</v>
      </c>
      <c r="E71" s="84" t="str">
        <f t="shared" si="28"/>
        <v>ACT_BND</v>
      </c>
      <c r="F71" s="84" t="s">
        <v>8</v>
      </c>
      <c r="G71" s="84" t="s">
        <v>135</v>
      </c>
      <c r="H71" s="67">
        <v>1.7532710048923199</v>
      </c>
      <c r="I71" s="67"/>
      <c r="J71" s="67"/>
      <c r="K71" s="67"/>
    </row>
    <row r="72" spans="2:11" x14ac:dyDescent="0.3">
      <c r="B72" s="84" t="s">
        <v>143</v>
      </c>
      <c r="C72" s="66" t="s">
        <v>144</v>
      </c>
      <c r="D72" s="84">
        <f t="shared" si="28"/>
        <v>2017</v>
      </c>
      <c r="E72" s="84" t="str">
        <f t="shared" si="28"/>
        <v>ACT_BND</v>
      </c>
      <c r="F72" s="84" t="str">
        <f t="shared" si="28"/>
        <v>UP</v>
      </c>
      <c r="G72" s="84" t="s">
        <v>136</v>
      </c>
      <c r="H72" s="67">
        <v>0.121961519817657</v>
      </c>
      <c r="I72" s="67"/>
      <c r="J72" s="67"/>
      <c r="K72" s="67"/>
    </row>
    <row r="73" spans="2:11" x14ac:dyDescent="0.3">
      <c r="B73" s="84" t="s">
        <v>143</v>
      </c>
      <c r="C73" s="66" t="s">
        <v>144</v>
      </c>
      <c r="D73" s="84">
        <f t="shared" si="28"/>
        <v>2017</v>
      </c>
      <c r="E73" s="84" t="str">
        <f t="shared" si="28"/>
        <v>ACT_BND</v>
      </c>
      <c r="F73" s="84" t="str">
        <f t="shared" si="28"/>
        <v>UP</v>
      </c>
      <c r="G73" s="84" t="s">
        <v>137</v>
      </c>
      <c r="H73" s="67">
        <v>0.274141910919035</v>
      </c>
      <c r="I73" s="67"/>
      <c r="J73" s="67"/>
      <c r="K73" s="67"/>
    </row>
    <row r="74" spans="2:11" x14ac:dyDescent="0.3">
      <c r="B74" s="84" t="s">
        <v>143</v>
      </c>
      <c r="C74" s="66" t="s">
        <v>144</v>
      </c>
      <c r="D74" s="84">
        <f t="shared" si="28"/>
        <v>2017</v>
      </c>
      <c r="E74" s="84" t="str">
        <f t="shared" si="28"/>
        <v>ACT_BND</v>
      </c>
      <c r="F74" s="84" t="str">
        <f t="shared" si="28"/>
        <v>UP</v>
      </c>
      <c r="G74" s="84" t="s">
        <v>138</v>
      </c>
      <c r="H74" s="67">
        <v>3.23077153518989</v>
      </c>
      <c r="I74" s="67"/>
      <c r="J74" s="67"/>
      <c r="K74" s="67"/>
    </row>
    <row r="75" spans="2:11" x14ac:dyDescent="0.3">
      <c r="B75" s="84" t="s">
        <v>143</v>
      </c>
      <c r="C75" s="66" t="s">
        <v>144</v>
      </c>
      <c r="D75" s="84">
        <f t="shared" si="28"/>
        <v>2017</v>
      </c>
      <c r="E75" s="84" t="str">
        <f t="shared" si="28"/>
        <v>ACT_BND</v>
      </c>
      <c r="F75" s="84" t="str">
        <f t="shared" si="28"/>
        <v>UP</v>
      </c>
      <c r="G75" s="84" t="s">
        <v>139</v>
      </c>
      <c r="H75" s="67">
        <v>3.9132670005650801E-2</v>
      </c>
      <c r="I75" s="67"/>
      <c r="J75" s="67"/>
      <c r="K75" s="67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8DB8-4DC1-414B-8349-1A60192BCD90}">
  <dimension ref="B2:D19"/>
  <sheetViews>
    <sheetView workbookViewId="0">
      <selection activeCell="F3" sqref="F3:F24"/>
    </sheetView>
  </sheetViews>
  <sheetFormatPr defaultRowHeight="14.4" x14ac:dyDescent="0.3"/>
  <cols>
    <col min="1" max="1" width="8.88671875" style="23"/>
    <col min="2" max="2" width="12.5546875" style="23" bestFit="1" customWidth="1"/>
    <col min="3" max="3" width="21.88671875" style="23" bestFit="1" customWidth="1"/>
    <col min="4" max="4" width="11.88671875" style="23" bestFit="1" customWidth="1"/>
    <col min="5" max="16384" width="8.88671875" style="23"/>
  </cols>
  <sheetData>
    <row r="2" spans="2:4" x14ac:dyDescent="0.3">
      <c r="B2" s="69" t="s">
        <v>81</v>
      </c>
      <c r="C2" s="58"/>
      <c r="D2" s="58"/>
    </row>
    <row r="3" spans="2:4" x14ac:dyDescent="0.3">
      <c r="B3" s="72" t="s">
        <v>3</v>
      </c>
      <c r="C3" s="72" t="s">
        <v>112</v>
      </c>
      <c r="D3" s="72" t="s">
        <v>238</v>
      </c>
    </row>
    <row r="4" spans="2:4" x14ac:dyDescent="0.3">
      <c r="B4" s="74" t="s">
        <v>180</v>
      </c>
      <c r="C4" s="70" t="s">
        <v>174</v>
      </c>
      <c r="D4" s="75" t="s">
        <v>222</v>
      </c>
    </row>
    <row r="5" spans="2:4" x14ac:dyDescent="0.3">
      <c r="B5" s="74" t="s">
        <v>180</v>
      </c>
      <c r="C5" s="23" t="s">
        <v>175</v>
      </c>
      <c r="D5" s="75" t="str">
        <f t="shared" ref="D5:D10" si="0">D4</f>
        <v>*2.5</v>
      </c>
    </row>
    <row r="6" spans="2:4" x14ac:dyDescent="0.3">
      <c r="B6" s="74" t="s">
        <v>180</v>
      </c>
      <c r="C6" s="23" t="s">
        <v>176</v>
      </c>
      <c r="D6" s="75" t="str">
        <f t="shared" si="0"/>
        <v>*2.5</v>
      </c>
    </row>
    <row r="7" spans="2:4" x14ac:dyDescent="0.3">
      <c r="B7" s="74" t="s">
        <v>180</v>
      </c>
      <c r="C7" s="23" t="s">
        <v>177</v>
      </c>
      <c r="D7" s="75" t="str">
        <f t="shared" si="0"/>
        <v>*2.5</v>
      </c>
    </row>
    <row r="8" spans="2:4" x14ac:dyDescent="0.3">
      <c r="B8" s="74" t="s">
        <v>180</v>
      </c>
      <c r="C8" s="23" t="s">
        <v>178</v>
      </c>
      <c r="D8" s="75" t="str">
        <f t="shared" si="0"/>
        <v>*2.5</v>
      </c>
    </row>
    <row r="9" spans="2:4" x14ac:dyDescent="0.3">
      <c r="B9" s="74" t="s">
        <v>180</v>
      </c>
      <c r="C9" s="23" t="s">
        <v>179</v>
      </c>
      <c r="D9" s="75" t="str">
        <f t="shared" si="0"/>
        <v>*2.5</v>
      </c>
    </row>
    <row r="10" spans="2:4" x14ac:dyDescent="0.3">
      <c r="B10" s="74" t="s">
        <v>180</v>
      </c>
      <c r="C10" s="23" t="s">
        <v>181</v>
      </c>
      <c r="D10" s="75" t="str">
        <f t="shared" si="0"/>
        <v>*2.5</v>
      </c>
    </row>
    <row r="11" spans="2:4" x14ac:dyDescent="0.3">
      <c r="B11" s="74" t="s">
        <v>180</v>
      </c>
      <c r="C11" s="70" t="s">
        <v>182</v>
      </c>
      <c r="D11" s="75" t="s">
        <v>222</v>
      </c>
    </row>
    <row r="12" spans="2:4" x14ac:dyDescent="0.3">
      <c r="B12" s="74" t="s">
        <v>180</v>
      </c>
      <c r="C12" s="23" t="s">
        <v>183</v>
      </c>
      <c r="D12" s="75" t="str">
        <f t="shared" ref="D12:D17" si="1">D11</f>
        <v>*2.5</v>
      </c>
    </row>
    <row r="13" spans="2:4" x14ac:dyDescent="0.3">
      <c r="B13" s="74" t="s">
        <v>180</v>
      </c>
      <c r="C13" s="23" t="s">
        <v>184</v>
      </c>
      <c r="D13" s="75" t="str">
        <f t="shared" si="1"/>
        <v>*2.5</v>
      </c>
    </row>
    <row r="14" spans="2:4" x14ac:dyDescent="0.3">
      <c r="B14" s="74" t="s">
        <v>180</v>
      </c>
      <c r="C14" s="23" t="s">
        <v>185</v>
      </c>
      <c r="D14" s="75" t="str">
        <f t="shared" si="1"/>
        <v>*2.5</v>
      </c>
    </row>
    <row r="15" spans="2:4" x14ac:dyDescent="0.3">
      <c r="B15" s="74" t="s">
        <v>180</v>
      </c>
      <c r="C15" s="23" t="s">
        <v>186</v>
      </c>
      <c r="D15" s="75" t="str">
        <f t="shared" si="1"/>
        <v>*2.5</v>
      </c>
    </row>
    <row r="16" spans="2:4" x14ac:dyDescent="0.3">
      <c r="B16" s="74" t="s">
        <v>180</v>
      </c>
      <c r="C16" s="23" t="s">
        <v>187</v>
      </c>
      <c r="D16" s="75" t="str">
        <f t="shared" si="1"/>
        <v>*2.5</v>
      </c>
    </row>
    <row r="17" spans="2:4" x14ac:dyDescent="0.3">
      <c r="B17" s="74" t="s">
        <v>180</v>
      </c>
      <c r="C17" s="23" t="s">
        <v>188</v>
      </c>
      <c r="D17" s="75" t="str">
        <f t="shared" si="1"/>
        <v>*2.5</v>
      </c>
    </row>
    <row r="18" spans="2:4" x14ac:dyDescent="0.3">
      <c r="B18" s="74" t="s">
        <v>180</v>
      </c>
      <c r="C18" s="23" t="s">
        <v>229</v>
      </c>
      <c r="D18" s="75" t="s">
        <v>230</v>
      </c>
    </row>
    <row r="19" spans="2:4" x14ac:dyDescent="0.3">
      <c r="B19" s="74" t="s">
        <v>180</v>
      </c>
      <c r="C19" s="23" t="s">
        <v>231</v>
      </c>
      <c r="D19" s="75" t="s">
        <v>230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FB87-6B63-45B7-94E4-4F9D6E8DB0AD}">
  <dimension ref="A1:K25"/>
  <sheetViews>
    <sheetView zoomScale="80" zoomScaleNormal="80" workbookViewId="0">
      <selection sqref="A1:XFD1048576"/>
    </sheetView>
  </sheetViews>
  <sheetFormatPr defaultColWidth="9.109375" defaultRowHeight="13.2" x14ac:dyDescent="0.25"/>
  <cols>
    <col min="1" max="1" width="15.6640625" style="86" customWidth="1"/>
    <col min="2" max="2" width="28.109375" style="86" customWidth="1"/>
    <col min="3" max="3" width="67.88671875" style="86" bestFit="1" customWidth="1"/>
    <col min="4" max="4" width="20.5546875" style="86" customWidth="1"/>
    <col min="5" max="5" width="67.88671875" style="86" bestFit="1" customWidth="1"/>
    <col min="6" max="6" width="22.109375" style="86" customWidth="1"/>
    <col min="7" max="7" width="23.33203125" style="86" customWidth="1"/>
    <col min="8" max="8" width="39.109375" style="86" bestFit="1" customWidth="1"/>
    <col min="9" max="9" width="20.44140625" style="86" customWidth="1"/>
    <col min="10" max="10" width="31.6640625" style="86" bestFit="1" customWidth="1"/>
    <col min="11" max="16384" width="9.109375" style="86"/>
  </cols>
  <sheetData>
    <row r="1" spans="1:11" ht="17.399999999999999" x14ac:dyDescent="0.3">
      <c r="A1" s="85" t="str">
        <f>"GT capacity needed for each MW of RES installed (New Capacity GTGAS =&gt;"&amp;F2&amp;"* NewCapacity (RES))"</f>
        <v>GT capacity needed for each MW of RES installed (New Capacity GTGAS =&gt;0.25* NewCapacity (RES))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4.4" x14ac:dyDescent="0.3">
      <c r="D2" s="86" t="s">
        <v>93</v>
      </c>
      <c r="E2" s="87" t="s">
        <v>145</v>
      </c>
      <c r="F2" s="88">
        <v>0.25</v>
      </c>
    </row>
    <row r="3" spans="1:11" ht="14.4" x14ac:dyDescent="0.3">
      <c r="D3" s="86" t="s">
        <v>341</v>
      </c>
      <c r="E3" s="87" t="s">
        <v>145</v>
      </c>
      <c r="F3" s="88">
        <v>0.25</v>
      </c>
    </row>
    <row r="4" spans="1:11" x14ac:dyDescent="0.25">
      <c r="A4" s="89"/>
      <c r="B4" s="89"/>
      <c r="C4" s="89"/>
      <c r="D4" s="89"/>
      <c r="E4" s="89"/>
      <c r="F4" s="89"/>
      <c r="G4" s="89"/>
      <c r="H4" s="89"/>
      <c r="I4" s="89"/>
    </row>
    <row r="5" spans="1:11" ht="14.4" x14ac:dyDescent="0.3">
      <c r="A5" s="89"/>
      <c r="B5" s="90" t="s">
        <v>196</v>
      </c>
      <c r="C5" s="89"/>
      <c r="D5" s="91"/>
      <c r="E5" s="89"/>
      <c r="F5" s="89"/>
      <c r="G5" s="89"/>
      <c r="H5" s="89"/>
      <c r="I5" s="89"/>
    </row>
    <row r="6" spans="1:11" x14ac:dyDescent="0.25">
      <c r="A6" s="89"/>
      <c r="B6" s="89"/>
      <c r="C6" s="89"/>
      <c r="D6" s="90" t="s">
        <v>146</v>
      </c>
      <c r="E6" s="89"/>
      <c r="F6" s="89"/>
      <c r="G6" s="89"/>
      <c r="H6" s="89"/>
      <c r="I6" s="89"/>
    </row>
    <row r="7" spans="1:11" ht="13.8" x14ac:dyDescent="0.25">
      <c r="A7" s="89"/>
      <c r="B7" s="92" t="s">
        <v>147</v>
      </c>
      <c r="C7" s="92" t="s">
        <v>5</v>
      </c>
      <c r="D7" s="92" t="s">
        <v>4</v>
      </c>
      <c r="E7" s="92" t="s">
        <v>148</v>
      </c>
      <c r="F7" s="92" t="s">
        <v>149</v>
      </c>
      <c r="G7" s="92" t="s">
        <v>150</v>
      </c>
      <c r="H7" s="92" t="s">
        <v>151</v>
      </c>
      <c r="I7" s="89"/>
    </row>
    <row r="8" spans="1:11" ht="13.8" x14ac:dyDescent="0.25">
      <c r="A8" s="89"/>
      <c r="B8" s="93" t="s">
        <v>152</v>
      </c>
      <c r="C8" s="94" t="s">
        <v>342</v>
      </c>
      <c r="D8" s="95" t="s">
        <v>198</v>
      </c>
      <c r="E8" s="93">
        <v>1</v>
      </c>
      <c r="F8" s="93">
        <v>0</v>
      </c>
      <c r="G8" s="93">
        <v>15</v>
      </c>
      <c r="H8" s="96" t="s">
        <v>161</v>
      </c>
      <c r="I8" s="89"/>
    </row>
    <row r="9" spans="1:11" ht="13.8" x14ac:dyDescent="0.25">
      <c r="A9" s="89"/>
      <c r="B9" s="93"/>
      <c r="C9" s="96" t="s">
        <v>197</v>
      </c>
      <c r="D9" s="93" t="str">
        <f>D8</f>
        <v>2020,2050</v>
      </c>
      <c r="E9" s="93">
        <f>-F2</f>
        <v>-0.25</v>
      </c>
      <c r="F9" s="93"/>
      <c r="G9" s="93"/>
      <c r="H9" s="93"/>
      <c r="I9" s="89"/>
    </row>
    <row r="13" spans="1:11" x14ac:dyDescent="0.25">
      <c r="B13" s="89"/>
      <c r="C13" s="89"/>
      <c r="D13" s="89"/>
      <c r="E13" s="89"/>
      <c r="F13" s="89"/>
      <c r="G13" s="89"/>
      <c r="H13" s="89"/>
      <c r="I13" s="89"/>
    </row>
    <row r="14" spans="1:11" ht="14.4" x14ac:dyDescent="0.3">
      <c r="B14" s="90" t="s">
        <v>242</v>
      </c>
      <c r="C14" s="89"/>
      <c r="D14" s="91"/>
      <c r="E14" s="89"/>
      <c r="F14" s="89"/>
      <c r="G14" s="89"/>
      <c r="H14" s="89"/>
      <c r="I14" s="89"/>
    </row>
    <row r="15" spans="1:11" x14ac:dyDescent="0.25">
      <c r="B15" s="89"/>
      <c r="C15" s="89"/>
      <c r="D15" s="90" t="s">
        <v>146</v>
      </c>
      <c r="E15" s="89"/>
      <c r="F15" s="89"/>
      <c r="G15" s="89"/>
      <c r="H15" s="89"/>
      <c r="I15" s="89"/>
    </row>
    <row r="16" spans="1:11" ht="13.8" x14ac:dyDescent="0.25">
      <c r="B16" s="92" t="s">
        <v>147</v>
      </c>
      <c r="C16" s="92" t="s">
        <v>5</v>
      </c>
      <c r="D16" s="92" t="s">
        <v>4</v>
      </c>
      <c r="E16" s="92" t="s">
        <v>148</v>
      </c>
      <c r="F16" s="92" t="s">
        <v>149</v>
      </c>
      <c r="G16" s="92" t="s">
        <v>150</v>
      </c>
      <c r="H16" s="92" t="s">
        <v>151</v>
      </c>
      <c r="I16" s="89"/>
    </row>
    <row r="17" spans="2:9" ht="13.8" x14ac:dyDescent="0.25">
      <c r="B17" s="93" t="s">
        <v>152</v>
      </c>
      <c r="C17" s="94" t="s">
        <v>342</v>
      </c>
      <c r="D17" s="95" t="s">
        <v>198</v>
      </c>
      <c r="E17" s="93">
        <f>E8</f>
        <v>1</v>
      </c>
      <c r="F17" s="93">
        <v>0</v>
      </c>
      <c r="G17" s="93">
        <v>15</v>
      </c>
      <c r="H17" s="96" t="s">
        <v>161</v>
      </c>
      <c r="I17" s="89"/>
    </row>
    <row r="18" spans="2:9" ht="13.8" x14ac:dyDescent="0.25">
      <c r="B18" s="93"/>
      <c r="C18" s="96" t="s">
        <v>197</v>
      </c>
      <c r="D18" s="93" t="str">
        <f>D17</f>
        <v>2020,2050</v>
      </c>
      <c r="E18" s="93">
        <f>-F3</f>
        <v>-0.25</v>
      </c>
      <c r="F18" s="93"/>
      <c r="G18" s="93"/>
      <c r="H18" s="93"/>
      <c r="I18" s="89"/>
    </row>
    <row r="22" spans="2:9" ht="13.8" thickBot="1" x14ac:dyDescent="0.3">
      <c r="B22" s="90" t="s">
        <v>1</v>
      </c>
      <c r="C22" s="97"/>
      <c r="D22" s="98"/>
      <c r="E22" s="97"/>
      <c r="F22" s="97"/>
    </row>
    <row r="23" spans="2:9" ht="13.8" x14ac:dyDescent="0.25">
      <c r="B23" s="92" t="s">
        <v>0</v>
      </c>
      <c r="C23" s="92" t="s">
        <v>3</v>
      </c>
      <c r="D23" s="92" t="s">
        <v>4</v>
      </c>
      <c r="E23" s="92" t="s">
        <v>153</v>
      </c>
      <c r="F23" s="92" t="s">
        <v>238</v>
      </c>
      <c r="G23" s="99"/>
      <c r="H23" s="100" t="s">
        <v>156</v>
      </c>
    </row>
    <row r="24" spans="2:9" ht="13.8" thickBot="1" x14ac:dyDescent="0.3">
      <c r="B24" s="101" t="s">
        <v>154</v>
      </c>
      <c r="C24" s="99" t="s">
        <v>155</v>
      </c>
      <c r="D24" s="102"/>
      <c r="E24" s="99" t="s">
        <v>342</v>
      </c>
      <c r="F24" s="103">
        <f>H24/8760</f>
        <v>0.2</v>
      </c>
      <c r="G24" s="99"/>
      <c r="H24" s="104">
        <f>8760*0.2</f>
        <v>1752</v>
      </c>
    </row>
    <row r="25" spans="2:9" x14ac:dyDescent="0.25">
      <c r="B25" s="97" t="s">
        <v>154</v>
      </c>
      <c r="C25" s="86" t="s">
        <v>155</v>
      </c>
      <c r="D25" s="98"/>
      <c r="E25" s="97" t="s">
        <v>195</v>
      </c>
      <c r="F25" s="105">
        <v>0.1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4307-2659-4CBA-878A-BA888E2953F7}">
  <dimension ref="A1:X112"/>
  <sheetViews>
    <sheetView topLeftCell="A73" zoomScale="70" zoomScaleNormal="70" workbookViewId="0">
      <selection sqref="A1:XFD1048576"/>
    </sheetView>
  </sheetViews>
  <sheetFormatPr defaultColWidth="9.109375" defaultRowHeight="14.4" x14ac:dyDescent="0.3"/>
  <cols>
    <col min="1" max="1" width="9.109375" style="23"/>
    <col min="2" max="2" width="37.33203125" style="23" bestFit="1" customWidth="1"/>
    <col min="3" max="3" width="9.5546875" style="23" bestFit="1" customWidth="1"/>
    <col min="4" max="4" width="13.44140625" style="23" customWidth="1"/>
    <col min="5" max="5" width="28.33203125" style="23" bestFit="1" customWidth="1"/>
    <col min="6" max="6" width="47.88671875" style="23" bestFit="1" customWidth="1"/>
    <col min="7" max="7" width="22.88671875" style="23" bestFit="1" customWidth="1"/>
    <col min="8" max="11" width="8.33203125" style="23" customWidth="1"/>
    <col min="12" max="12" width="9.109375" style="23"/>
    <col min="13" max="13" width="30.5546875" style="23" bestFit="1" customWidth="1"/>
    <col min="14" max="16384" width="9.109375" style="23"/>
  </cols>
  <sheetData>
    <row r="1" spans="1:15" ht="17.399999999999999" x14ac:dyDescent="0.3">
      <c r="A1" s="22" t="s">
        <v>157</v>
      </c>
      <c r="B1" s="22"/>
      <c r="C1" s="22"/>
      <c r="D1" s="22"/>
      <c r="E1" s="108"/>
      <c r="F1" s="22"/>
      <c r="G1" s="22"/>
      <c r="H1" s="22"/>
      <c r="I1" s="22"/>
      <c r="J1" s="22"/>
      <c r="K1" s="22"/>
    </row>
    <row r="2" spans="1:15" ht="17.399999999999999" x14ac:dyDescent="0.3">
      <c r="B2" s="22"/>
      <c r="C2" s="22"/>
      <c r="D2" s="22"/>
      <c r="E2" s="108"/>
      <c r="F2" s="22"/>
      <c r="G2" s="22"/>
      <c r="H2" s="22"/>
      <c r="I2" s="22"/>
      <c r="J2" s="22"/>
      <c r="K2" s="22"/>
    </row>
    <row r="3" spans="1:15" x14ac:dyDescent="0.3">
      <c r="B3" s="24" t="s">
        <v>1</v>
      </c>
      <c r="E3" s="49"/>
    </row>
    <row r="4" spans="1:15" x14ac:dyDescent="0.3">
      <c r="B4" s="25" t="s">
        <v>2</v>
      </c>
      <c r="C4" s="25" t="s">
        <v>0</v>
      </c>
      <c r="D4" s="25" t="s">
        <v>3</v>
      </c>
      <c r="E4" s="27" t="s">
        <v>4</v>
      </c>
      <c r="F4" s="25" t="s">
        <v>5</v>
      </c>
      <c r="G4" s="25" t="s">
        <v>6</v>
      </c>
      <c r="H4" s="27" t="s">
        <v>93</v>
      </c>
      <c r="I4" s="27" t="s">
        <v>239</v>
      </c>
      <c r="J4" s="27" t="s">
        <v>240</v>
      </c>
      <c r="K4" s="27" t="s">
        <v>241</v>
      </c>
    </row>
    <row r="5" spans="1:15" x14ac:dyDescent="0.3">
      <c r="C5" s="23" t="s">
        <v>8</v>
      </c>
      <c r="D5" s="12" t="s">
        <v>9</v>
      </c>
      <c r="E5" s="23">
        <v>2030</v>
      </c>
      <c r="F5" s="23" t="s">
        <v>199</v>
      </c>
      <c r="H5" s="21">
        <f>N5*3%</f>
        <v>0.12</v>
      </c>
      <c r="I5" s="21">
        <f>H5/1.5</f>
        <v>0.08</v>
      </c>
      <c r="J5" s="21">
        <f>H5/3</f>
        <v>0.04</v>
      </c>
      <c r="K5" s="21">
        <f>H5*2</f>
        <v>0.24</v>
      </c>
      <c r="M5" s="23" t="s">
        <v>201</v>
      </c>
      <c r="N5" s="23">
        <v>4</v>
      </c>
      <c r="O5" s="23" t="s">
        <v>200</v>
      </c>
    </row>
    <row r="6" spans="1:15" x14ac:dyDescent="0.3">
      <c r="C6" s="23" t="s">
        <v>8</v>
      </c>
      <c r="D6" s="12" t="s">
        <v>9</v>
      </c>
      <c r="E6" s="23">
        <v>2050</v>
      </c>
      <c r="F6" s="23" t="s">
        <v>199</v>
      </c>
      <c r="H6" s="21">
        <f>N5*50%</f>
        <v>2</v>
      </c>
      <c r="I6" s="21">
        <f>H6/1.5</f>
        <v>1.3333333333333333</v>
      </c>
      <c r="J6" s="21">
        <f>H6/3</f>
        <v>0.66666666666666663</v>
      </c>
      <c r="K6" s="21">
        <f>H6*2</f>
        <v>4</v>
      </c>
      <c r="M6" s="23" t="s">
        <v>201</v>
      </c>
    </row>
    <row r="7" spans="1:15" x14ac:dyDescent="0.3">
      <c r="B7" s="13"/>
      <c r="C7" s="13" t="s">
        <v>8</v>
      </c>
      <c r="D7" s="11" t="s">
        <v>9</v>
      </c>
      <c r="E7" s="13">
        <v>0</v>
      </c>
      <c r="F7" s="13" t="s">
        <v>199</v>
      </c>
      <c r="G7" s="13"/>
      <c r="H7" s="11">
        <v>5</v>
      </c>
      <c r="I7" s="11">
        <v>5</v>
      </c>
      <c r="J7" s="11">
        <v>5</v>
      </c>
      <c r="K7" s="11">
        <v>5</v>
      </c>
    </row>
    <row r="8" spans="1:15" x14ac:dyDescent="0.3">
      <c r="C8" s="23" t="s">
        <v>8</v>
      </c>
      <c r="D8" s="12" t="s">
        <v>9</v>
      </c>
      <c r="E8" s="23">
        <v>2030</v>
      </c>
      <c r="F8" s="23" t="s">
        <v>202</v>
      </c>
      <c r="H8" s="21">
        <f>N8*3%</f>
        <v>7.4999999999999997E-3</v>
      </c>
      <c r="I8" s="21">
        <f>H8/1.5</f>
        <v>5.0000000000000001E-3</v>
      </c>
      <c r="J8" s="21">
        <f>H8/3</f>
        <v>2.5000000000000001E-3</v>
      </c>
      <c r="K8" s="21">
        <f>H8*2</f>
        <v>1.4999999999999999E-2</v>
      </c>
      <c r="M8" s="23" t="s">
        <v>203</v>
      </c>
      <c r="N8" s="23">
        <v>0.25</v>
      </c>
      <c r="O8" s="23" t="s">
        <v>200</v>
      </c>
    </row>
    <row r="9" spans="1:15" x14ac:dyDescent="0.3">
      <c r="C9" s="23" t="s">
        <v>8</v>
      </c>
      <c r="D9" s="12" t="s">
        <v>9</v>
      </c>
      <c r="E9" s="23">
        <v>2050</v>
      </c>
      <c r="F9" s="23" t="s">
        <v>202</v>
      </c>
      <c r="H9" s="21">
        <f>N8*50%</f>
        <v>0.125</v>
      </c>
      <c r="I9" s="21">
        <f>H9/1.5</f>
        <v>8.3333333333333329E-2</v>
      </c>
      <c r="J9" s="21">
        <f>H9/3</f>
        <v>4.1666666666666664E-2</v>
      </c>
      <c r="K9" s="21">
        <f>H9*2</f>
        <v>0.25</v>
      </c>
      <c r="M9" s="23" t="s">
        <v>203</v>
      </c>
    </row>
    <row r="10" spans="1:15" x14ac:dyDescent="0.3">
      <c r="B10" s="13"/>
      <c r="C10" s="13" t="s">
        <v>8</v>
      </c>
      <c r="D10" s="11" t="s">
        <v>9</v>
      </c>
      <c r="E10" s="13">
        <v>0</v>
      </c>
      <c r="F10" s="13" t="s">
        <v>202</v>
      </c>
      <c r="G10" s="13"/>
      <c r="H10" s="11">
        <v>5</v>
      </c>
      <c r="I10" s="11">
        <v>5</v>
      </c>
      <c r="J10" s="11">
        <v>5</v>
      </c>
      <c r="K10" s="11">
        <v>5</v>
      </c>
    </row>
    <row r="11" spans="1:15" x14ac:dyDescent="0.3">
      <c r="C11" s="23" t="s">
        <v>8</v>
      </c>
      <c r="D11" s="12" t="s">
        <v>9</v>
      </c>
      <c r="E11" s="23">
        <v>2030</v>
      </c>
      <c r="F11" s="23" t="s">
        <v>211</v>
      </c>
      <c r="H11" s="21">
        <f>N11*3%</f>
        <v>0</v>
      </c>
      <c r="I11" s="21">
        <f>O11*3%</f>
        <v>0</v>
      </c>
      <c r="J11" s="21">
        <f>P11*3%</f>
        <v>0</v>
      </c>
      <c r="K11" s="21">
        <f>Q11*3%</f>
        <v>0</v>
      </c>
    </row>
    <row r="12" spans="1:15" x14ac:dyDescent="0.3">
      <c r="C12" s="23" t="s">
        <v>8</v>
      </c>
      <c r="D12" s="12" t="s">
        <v>9</v>
      </c>
      <c r="E12" s="23">
        <v>2050</v>
      </c>
      <c r="F12" s="23" t="str">
        <f>F11</f>
        <v>IMPBIODSL01</v>
      </c>
      <c r="H12" s="21">
        <v>5</v>
      </c>
      <c r="I12" s="21">
        <v>0</v>
      </c>
      <c r="J12" s="21">
        <v>0</v>
      </c>
      <c r="K12" s="21">
        <v>0</v>
      </c>
      <c r="M12" s="23" t="s">
        <v>213</v>
      </c>
    </row>
    <row r="13" spans="1:15" x14ac:dyDescent="0.3">
      <c r="B13" s="13"/>
      <c r="C13" s="13" t="s">
        <v>8</v>
      </c>
      <c r="D13" s="11" t="s">
        <v>9</v>
      </c>
      <c r="E13" s="13">
        <v>0</v>
      </c>
      <c r="F13" s="13" t="str">
        <f>F12</f>
        <v>IMPBIODSL01</v>
      </c>
      <c r="G13" s="13"/>
      <c r="H13" s="11">
        <v>5</v>
      </c>
      <c r="I13" s="11">
        <v>5</v>
      </c>
      <c r="J13" s="11">
        <v>5</v>
      </c>
      <c r="K13" s="11">
        <v>5</v>
      </c>
    </row>
    <row r="14" spans="1:15" x14ac:dyDescent="0.3">
      <c r="C14" s="23" t="s">
        <v>8</v>
      </c>
      <c r="D14" s="12" t="s">
        <v>9</v>
      </c>
      <c r="E14" s="23">
        <v>2030</v>
      </c>
      <c r="F14" s="23" t="s">
        <v>212</v>
      </c>
      <c r="H14" s="21">
        <f>N14*3%</f>
        <v>0</v>
      </c>
      <c r="I14" s="21">
        <f>O14*3%</f>
        <v>0</v>
      </c>
      <c r="J14" s="21">
        <f>P14*3%</f>
        <v>0</v>
      </c>
      <c r="K14" s="21">
        <f>Q14*3%</f>
        <v>0</v>
      </c>
    </row>
    <row r="15" spans="1:15" x14ac:dyDescent="0.3">
      <c r="C15" s="23" t="s">
        <v>8</v>
      </c>
      <c r="D15" s="12" t="s">
        <v>9</v>
      </c>
      <c r="E15" s="23">
        <v>2050</v>
      </c>
      <c r="F15" s="23" t="str">
        <f>F14</f>
        <v>IMPBIOETH01</v>
      </c>
      <c r="H15" s="21">
        <v>5</v>
      </c>
      <c r="I15" s="21">
        <v>0</v>
      </c>
      <c r="J15" s="21">
        <v>0</v>
      </c>
      <c r="K15" s="21">
        <v>0</v>
      </c>
      <c r="M15" s="23" t="s">
        <v>213</v>
      </c>
    </row>
    <row r="16" spans="1:15" x14ac:dyDescent="0.3">
      <c r="B16" s="106"/>
      <c r="C16" s="13" t="s">
        <v>8</v>
      </c>
      <c r="D16" s="11" t="s">
        <v>9</v>
      </c>
      <c r="E16" s="13">
        <v>0</v>
      </c>
      <c r="F16" s="13" t="str">
        <f>F15</f>
        <v>IMPBIOETH01</v>
      </c>
      <c r="G16" s="13"/>
      <c r="H16" s="11">
        <v>5</v>
      </c>
      <c r="I16" s="11">
        <v>5</v>
      </c>
      <c r="J16" s="11">
        <v>5</v>
      </c>
      <c r="K16" s="11">
        <v>5</v>
      </c>
    </row>
    <row r="17" spans="2:23" x14ac:dyDescent="0.3">
      <c r="C17" s="23" t="s">
        <v>8</v>
      </c>
      <c r="D17" s="38" t="s">
        <v>225</v>
      </c>
      <c r="E17" s="23">
        <v>2020</v>
      </c>
      <c r="F17" s="23" t="s">
        <v>226</v>
      </c>
      <c r="H17" s="21">
        <v>0.8</v>
      </c>
      <c r="I17" s="21">
        <v>0</v>
      </c>
      <c r="J17" s="21">
        <v>0</v>
      </c>
      <c r="K17" s="21">
        <v>0</v>
      </c>
    </row>
    <row r="18" spans="2:23" x14ac:dyDescent="0.3">
      <c r="C18" s="23" t="s">
        <v>8</v>
      </c>
      <c r="D18" s="38" t="s">
        <v>225</v>
      </c>
      <c r="E18" s="23">
        <v>2050</v>
      </c>
      <c r="F18" s="23" t="str">
        <f>F17</f>
        <v>PUGASNAT101</v>
      </c>
      <c r="H18" s="21">
        <v>0.8</v>
      </c>
      <c r="I18" s="21">
        <v>0</v>
      </c>
      <c r="J18" s="21">
        <v>0</v>
      </c>
      <c r="K18" s="21">
        <v>0</v>
      </c>
      <c r="M18" s="23" t="s">
        <v>281</v>
      </c>
    </row>
    <row r="19" spans="2:23" x14ac:dyDescent="0.3">
      <c r="B19" s="106"/>
      <c r="C19" s="13" t="s">
        <v>8</v>
      </c>
      <c r="D19" s="11" t="s">
        <v>225</v>
      </c>
      <c r="E19" s="13">
        <v>0</v>
      </c>
      <c r="F19" s="13" t="str">
        <f>F18</f>
        <v>PUGASNAT101</v>
      </c>
      <c r="G19" s="13"/>
      <c r="H19" s="11">
        <v>5</v>
      </c>
      <c r="I19" s="13">
        <v>5</v>
      </c>
      <c r="J19" s="13">
        <v>5</v>
      </c>
      <c r="K19" s="13">
        <v>5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2:23" x14ac:dyDescent="0.3">
      <c r="C20" s="23" t="s">
        <v>154</v>
      </c>
      <c r="D20" s="38" t="s">
        <v>225</v>
      </c>
      <c r="E20" s="23">
        <v>2020</v>
      </c>
      <c r="F20" s="23" t="s">
        <v>343</v>
      </c>
      <c r="H20" s="21"/>
      <c r="I20" s="21">
        <f>I21/2</f>
        <v>44.90343</v>
      </c>
      <c r="J20" s="21"/>
      <c r="K20" s="21"/>
      <c r="M20" s="23" t="s">
        <v>248</v>
      </c>
      <c r="N20" s="23">
        <f>3300/1000*41.868</f>
        <v>138.1644</v>
      </c>
      <c r="O20" s="23" t="s">
        <v>244</v>
      </c>
    </row>
    <row r="21" spans="2:23" x14ac:dyDescent="0.3">
      <c r="C21" s="23" t="s">
        <v>154</v>
      </c>
      <c r="D21" s="38" t="s">
        <v>225</v>
      </c>
      <c r="E21" s="23">
        <v>2030</v>
      </c>
      <c r="F21" s="23" t="s">
        <v>343</v>
      </c>
      <c r="H21" s="21"/>
      <c r="I21" s="21">
        <f>N20*0.65</f>
        <v>89.80686</v>
      </c>
      <c r="J21" s="21"/>
      <c r="K21" s="21"/>
      <c r="M21" s="23" t="s">
        <v>248</v>
      </c>
    </row>
    <row r="22" spans="2:23" x14ac:dyDescent="0.3">
      <c r="C22" s="23" t="s">
        <v>154</v>
      </c>
      <c r="D22" s="38" t="s">
        <v>225</v>
      </c>
      <c r="E22" s="23">
        <v>2050</v>
      </c>
      <c r="F22" s="23" t="s">
        <v>343</v>
      </c>
      <c r="H22" s="21"/>
      <c r="I22" s="21">
        <f>I21</f>
        <v>89.80686</v>
      </c>
      <c r="J22" s="21"/>
      <c r="K22" s="21"/>
      <c r="M22" s="23" t="s">
        <v>248</v>
      </c>
      <c r="N22" s="23">
        <f>18%</f>
        <v>0.18</v>
      </c>
      <c r="S22" s="23">
        <f>N23*0.45</f>
        <v>11.1913164</v>
      </c>
      <c r="T22" s="23" t="s">
        <v>246</v>
      </c>
    </row>
    <row r="23" spans="2:23" x14ac:dyDescent="0.3">
      <c r="B23" s="106"/>
      <c r="C23" s="13" t="s">
        <v>154</v>
      </c>
      <c r="D23" s="11" t="s">
        <v>225</v>
      </c>
      <c r="E23" s="13">
        <v>0</v>
      </c>
      <c r="F23" s="13" t="s">
        <v>343</v>
      </c>
      <c r="G23" s="13"/>
      <c r="H23" s="11"/>
      <c r="I23" s="11">
        <v>5</v>
      </c>
      <c r="J23" s="11"/>
      <c r="K23" s="11"/>
      <c r="L23" s="13"/>
      <c r="M23" s="13" t="s">
        <v>248</v>
      </c>
      <c r="N23" s="13">
        <f>N20*N22</f>
        <v>24.869592000000001</v>
      </c>
      <c r="O23" s="13" t="s">
        <v>245</v>
      </c>
      <c r="P23" s="13"/>
      <c r="Q23" s="13"/>
      <c r="R23" s="13"/>
      <c r="S23" s="13"/>
      <c r="T23" s="13">
        <f>N23-S22</f>
        <v>13.678275600000001</v>
      </c>
      <c r="U23" s="13" t="s">
        <v>247</v>
      </c>
      <c r="V23" s="13"/>
    </row>
    <row r="24" spans="2:23" x14ac:dyDescent="0.3">
      <c r="B24" s="109"/>
      <c r="C24" s="23" t="s">
        <v>8</v>
      </c>
      <c r="D24" s="38" t="s">
        <v>225</v>
      </c>
      <c r="E24" s="23">
        <v>2020</v>
      </c>
      <c r="F24" s="23" t="s">
        <v>343</v>
      </c>
      <c r="G24" s="20"/>
      <c r="H24" s="12"/>
      <c r="I24" s="16">
        <v>50</v>
      </c>
      <c r="J24" s="12"/>
      <c r="K24" s="12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2:23" x14ac:dyDescent="0.3">
      <c r="B25" s="109"/>
      <c r="C25" s="23" t="s">
        <v>8</v>
      </c>
      <c r="D25" s="38" t="s">
        <v>225</v>
      </c>
      <c r="E25" s="23">
        <v>2030</v>
      </c>
      <c r="F25" s="23" t="s">
        <v>343</v>
      </c>
      <c r="G25" s="20"/>
      <c r="H25" s="12"/>
      <c r="I25" s="16">
        <v>100</v>
      </c>
      <c r="J25" s="12"/>
      <c r="K25" s="12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2:23" x14ac:dyDescent="0.3">
      <c r="B26" s="109"/>
      <c r="C26" s="23" t="s">
        <v>8</v>
      </c>
      <c r="D26" s="38" t="s">
        <v>225</v>
      </c>
      <c r="E26" s="23">
        <v>2050</v>
      </c>
      <c r="F26" s="23" t="s">
        <v>343</v>
      </c>
      <c r="G26" s="20"/>
      <c r="H26" s="12"/>
      <c r="I26" s="16">
        <v>100</v>
      </c>
      <c r="J26" s="12"/>
      <c r="K26" s="12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2:23" x14ac:dyDescent="0.3">
      <c r="B27" s="106"/>
      <c r="C27" s="13" t="s">
        <v>8</v>
      </c>
      <c r="D27" s="11" t="s">
        <v>225</v>
      </c>
      <c r="E27" s="13">
        <v>0</v>
      </c>
      <c r="F27" s="13" t="s">
        <v>343</v>
      </c>
      <c r="G27" s="13"/>
      <c r="H27" s="11"/>
      <c r="I27" s="19">
        <v>5</v>
      </c>
      <c r="J27" s="11"/>
      <c r="K27" s="11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2:23" x14ac:dyDescent="0.3">
      <c r="D28" s="12" t="s">
        <v>261</v>
      </c>
      <c r="E28" s="20">
        <v>2018</v>
      </c>
      <c r="F28" s="23" t="s">
        <v>254</v>
      </c>
      <c r="G28" s="23" t="s">
        <v>256</v>
      </c>
      <c r="I28" s="110">
        <f>S28</f>
        <v>8.1666666666666661</v>
      </c>
      <c r="M28" s="23" t="s">
        <v>248</v>
      </c>
      <c r="N28" s="23" t="s">
        <v>249</v>
      </c>
      <c r="P28" s="23">
        <f>2.94/100</f>
        <v>2.9399999999999999E-2</v>
      </c>
      <c r="Q28" s="23" t="s">
        <v>252</v>
      </c>
      <c r="S28" s="110">
        <f>P28*1000/3.6</f>
        <v>8.1666666666666661</v>
      </c>
    </row>
    <row r="29" spans="2:23" x14ac:dyDescent="0.3">
      <c r="D29" s="12" t="s">
        <v>261</v>
      </c>
      <c r="E29" s="20">
        <v>2018</v>
      </c>
      <c r="F29" s="23" t="s">
        <v>253</v>
      </c>
      <c r="G29" s="23" t="s">
        <v>256</v>
      </c>
      <c r="I29" s="110">
        <f>S29</f>
        <v>8.9722222222222232</v>
      </c>
      <c r="M29" s="23" t="s">
        <v>248</v>
      </c>
      <c r="N29" s="23" t="s">
        <v>250</v>
      </c>
      <c r="P29" s="23">
        <f>3.23/100</f>
        <v>3.2300000000000002E-2</v>
      </c>
      <c r="Q29" s="23" t="s">
        <v>252</v>
      </c>
      <c r="S29" s="110">
        <f t="shared" ref="S29:S30" si="0">P29*1000/3.6</f>
        <v>8.9722222222222232</v>
      </c>
    </row>
    <row r="30" spans="2:23" x14ac:dyDescent="0.3">
      <c r="B30" s="13"/>
      <c r="C30" s="13"/>
      <c r="D30" s="11" t="s">
        <v>261</v>
      </c>
      <c r="E30" s="13">
        <v>2018</v>
      </c>
      <c r="F30" s="13" t="s">
        <v>255</v>
      </c>
      <c r="G30" s="13" t="s">
        <v>256</v>
      </c>
      <c r="H30" s="13"/>
      <c r="I30" s="111">
        <f>S30</f>
        <v>9.3055555555555554</v>
      </c>
      <c r="J30" s="13"/>
      <c r="K30" s="13"/>
      <c r="L30" s="13"/>
      <c r="M30" s="13" t="s">
        <v>248</v>
      </c>
      <c r="N30" s="13" t="s">
        <v>251</v>
      </c>
      <c r="O30" s="13"/>
      <c r="P30" s="13">
        <f>3.35/100</f>
        <v>3.3500000000000002E-2</v>
      </c>
      <c r="Q30" s="13" t="s">
        <v>252</v>
      </c>
      <c r="R30" s="13"/>
      <c r="S30" s="111">
        <f t="shared" si="0"/>
        <v>9.3055555555555554</v>
      </c>
      <c r="T30" s="13"/>
      <c r="U30" s="13"/>
      <c r="V30" s="13"/>
      <c r="W30" s="13"/>
    </row>
    <row r="31" spans="2:23" x14ac:dyDescent="0.3">
      <c r="D31" s="12" t="s">
        <v>261</v>
      </c>
      <c r="E31" s="20">
        <v>2030</v>
      </c>
      <c r="F31" s="23" t="str">
        <f>F28</f>
        <v>EUHYDSR101</v>
      </c>
      <c r="G31" s="23" t="s">
        <v>256</v>
      </c>
      <c r="I31" s="110">
        <v>0</v>
      </c>
      <c r="M31" s="20" t="s">
        <v>375</v>
      </c>
      <c r="N31" s="20"/>
      <c r="O31" s="20"/>
      <c r="P31" s="20"/>
      <c r="Q31" s="20"/>
      <c r="R31" s="20"/>
      <c r="S31" s="112"/>
      <c r="T31" s="20"/>
      <c r="U31" s="20"/>
      <c r="V31" s="20"/>
      <c r="W31" s="20"/>
    </row>
    <row r="32" spans="2:23" x14ac:dyDescent="0.3">
      <c r="D32" s="12" t="s">
        <v>261</v>
      </c>
      <c r="E32" s="20">
        <v>2030</v>
      </c>
      <c r="F32" s="23" t="str">
        <f>F29</f>
        <v>EUWINP*</v>
      </c>
      <c r="G32" s="23" t="s">
        <v>256</v>
      </c>
      <c r="I32" s="110">
        <v>0</v>
      </c>
      <c r="M32" s="20" t="s">
        <v>375</v>
      </c>
      <c r="N32" s="20"/>
      <c r="O32" s="20"/>
      <c r="P32" s="20"/>
      <c r="Q32" s="20"/>
      <c r="R32" s="20"/>
      <c r="S32" s="112"/>
      <c r="T32" s="20"/>
      <c r="U32" s="20"/>
      <c r="V32" s="20"/>
      <c r="W32" s="20"/>
    </row>
    <row r="33" spans="2:23" x14ac:dyDescent="0.3">
      <c r="B33" s="13"/>
      <c r="C33" s="13"/>
      <c r="D33" s="11" t="s">
        <v>261</v>
      </c>
      <c r="E33" s="13">
        <v>2030</v>
      </c>
      <c r="F33" s="13" t="str">
        <f>F30</f>
        <v>EUPVPAR*</v>
      </c>
      <c r="G33" s="13" t="s">
        <v>256</v>
      </c>
      <c r="H33" s="13"/>
      <c r="I33" s="111">
        <v>0</v>
      </c>
      <c r="J33" s="13"/>
      <c r="K33" s="13"/>
      <c r="L33" s="13"/>
      <c r="M33" s="13" t="s">
        <v>375</v>
      </c>
      <c r="N33" s="13"/>
      <c r="O33" s="13"/>
      <c r="P33" s="13"/>
      <c r="Q33" s="13"/>
      <c r="R33" s="13"/>
      <c r="S33" s="111"/>
      <c r="T33" s="13"/>
      <c r="U33" s="13"/>
      <c r="V33" s="13"/>
      <c r="W33" s="13"/>
    </row>
    <row r="34" spans="2:23" x14ac:dyDescent="0.3">
      <c r="C34" s="23" t="s">
        <v>8</v>
      </c>
      <c r="D34" s="38" t="s">
        <v>259</v>
      </c>
      <c r="E34" s="23">
        <v>2018</v>
      </c>
      <c r="F34" s="23" t="s">
        <v>343</v>
      </c>
      <c r="H34" s="110">
        <f>R34/30</f>
        <v>26.986666666666668</v>
      </c>
      <c r="I34" s="110">
        <f>I21*1.1</f>
        <v>98.787546000000006</v>
      </c>
      <c r="J34" s="110">
        <f>T34/30</f>
        <v>17.333333333333332</v>
      </c>
      <c r="K34" s="110">
        <f>U34/30</f>
        <v>40.666666666666664</v>
      </c>
      <c r="M34" s="23" t="s">
        <v>258</v>
      </c>
      <c r="R34" s="15">
        <f>1012/1.25</f>
        <v>809.6</v>
      </c>
      <c r="S34" s="15">
        <f>478/1.25</f>
        <v>382.4</v>
      </c>
      <c r="T34" s="15">
        <f>650/1.25</f>
        <v>520</v>
      </c>
      <c r="U34" s="15">
        <f>1525/1.25</f>
        <v>1220</v>
      </c>
      <c r="V34" s="15"/>
      <c r="W34" s="15" t="s">
        <v>260</v>
      </c>
    </row>
    <row r="35" spans="2:23" x14ac:dyDescent="0.3">
      <c r="C35" s="23" t="s">
        <v>8</v>
      </c>
      <c r="D35" s="38" t="s">
        <v>259</v>
      </c>
      <c r="E35" s="23">
        <v>2050</v>
      </c>
      <c r="F35" s="23" t="s">
        <v>343</v>
      </c>
      <c r="H35" s="110">
        <f>H34*3</f>
        <v>80.960000000000008</v>
      </c>
      <c r="I35" s="110">
        <f>T34/30*5</f>
        <v>86.666666666666657</v>
      </c>
      <c r="J35" s="110">
        <f>J34*5</f>
        <v>86.666666666666657</v>
      </c>
      <c r="K35" s="110">
        <f>K34*5</f>
        <v>203.33333333333331</v>
      </c>
      <c r="M35" s="23" t="s">
        <v>258</v>
      </c>
    </row>
    <row r="36" spans="2:23" x14ac:dyDescent="0.3">
      <c r="B36" s="13"/>
      <c r="C36" s="13" t="s">
        <v>8</v>
      </c>
      <c r="D36" s="11" t="s">
        <v>259</v>
      </c>
      <c r="E36" s="13">
        <v>0</v>
      </c>
      <c r="F36" s="13" t="s">
        <v>343</v>
      </c>
      <c r="G36" s="13"/>
      <c r="H36" s="13">
        <v>5</v>
      </c>
      <c r="I36" s="13">
        <v>5</v>
      </c>
      <c r="J36" s="13">
        <v>5</v>
      </c>
      <c r="K36" s="13">
        <v>5</v>
      </c>
      <c r="L36" s="13"/>
      <c r="M36" s="13" t="s">
        <v>258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2:23" x14ac:dyDescent="0.3">
      <c r="B37" s="15"/>
      <c r="C37" s="15" t="s">
        <v>8</v>
      </c>
      <c r="D37" s="16" t="s">
        <v>9</v>
      </c>
      <c r="E37" s="15">
        <v>2018</v>
      </c>
      <c r="F37" s="15" t="s">
        <v>326</v>
      </c>
      <c r="G37" s="15"/>
      <c r="H37" s="17">
        <v>0.8</v>
      </c>
      <c r="I37" s="17">
        <v>2.2000000000000002</v>
      </c>
      <c r="J37" s="17">
        <v>21</v>
      </c>
      <c r="K37" s="17">
        <v>5.0999999999999996</v>
      </c>
      <c r="M37" s="23" t="s">
        <v>327</v>
      </c>
    </row>
    <row r="38" spans="2:23" x14ac:dyDescent="0.3">
      <c r="B38" s="15"/>
      <c r="C38" s="15" t="s">
        <v>8</v>
      </c>
      <c r="D38" s="16" t="s">
        <v>9</v>
      </c>
      <c r="E38" s="15">
        <v>2030</v>
      </c>
      <c r="F38" s="15" t="s">
        <v>326</v>
      </c>
      <c r="G38" s="15"/>
      <c r="H38" s="17">
        <f>N38*H37</f>
        <v>4</v>
      </c>
      <c r="I38" s="17">
        <f>O38*I37</f>
        <v>4.4000000000000004</v>
      </c>
      <c r="J38" s="17">
        <f>P38*J37</f>
        <v>42</v>
      </c>
      <c r="K38" s="17">
        <f>Q38*K37</f>
        <v>10.199999999999999</v>
      </c>
      <c r="N38" s="21">
        <v>5</v>
      </c>
      <c r="O38" s="21">
        <v>2</v>
      </c>
      <c r="P38" s="21">
        <v>2</v>
      </c>
      <c r="Q38" s="21">
        <v>2</v>
      </c>
    </row>
    <row r="39" spans="2:23" x14ac:dyDescent="0.3">
      <c r="B39" s="15"/>
      <c r="C39" s="15" t="s">
        <v>8</v>
      </c>
      <c r="D39" s="16" t="s">
        <v>9</v>
      </c>
      <c r="E39" s="15">
        <v>2050</v>
      </c>
      <c r="F39" s="15" t="s">
        <v>326</v>
      </c>
      <c r="G39" s="15"/>
      <c r="H39" s="17">
        <f>H37*N39</f>
        <v>8</v>
      </c>
      <c r="I39" s="17">
        <f t="shared" ref="I39:K39" si="1">I37*O39</f>
        <v>11</v>
      </c>
      <c r="J39" s="17">
        <f t="shared" si="1"/>
        <v>105</v>
      </c>
      <c r="K39" s="17">
        <f t="shared" si="1"/>
        <v>25.5</v>
      </c>
      <c r="N39" s="21">
        <v>10</v>
      </c>
      <c r="O39" s="21">
        <v>5</v>
      </c>
      <c r="P39" s="21">
        <v>5</v>
      </c>
      <c r="Q39" s="21">
        <v>5</v>
      </c>
    </row>
    <row r="40" spans="2:23" x14ac:dyDescent="0.3">
      <c r="B40" s="107"/>
      <c r="C40" s="18" t="s">
        <v>8</v>
      </c>
      <c r="D40" s="19" t="s">
        <v>9</v>
      </c>
      <c r="E40" s="18">
        <v>0</v>
      </c>
      <c r="F40" s="18" t="s">
        <v>326</v>
      </c>
      <c r="G40" s="18"/>
      <c r="H40" s="19">
        <v>5</v>
      </c>
      <c r="I40" s="19">
        <v>5</v>
      </c>
      <c r="J40" s="19">
        <v>5</v>
      </c>
      <c r="K40" s="19">
        <v>5</v>
      </c>
    </row>
    <row r="41" spans="2:23" x14ac:dyDescent="0.3">
      <c r="C41" s="20" t="s">
        <v>154</v>
      </c>
      <c r="D41" s="23" t="s">
        <v>330</v>
      </c>
      <c r="E41" s="20">
        <v>2018</v>
      </c>
      <c r="F41" s="20" t="s">
        <v>331</v>
      </c>
      <c r="H41" s="21">
        <v>0.7</v>
      </c>
      <c r="I41" s="21">
        <v>0.7</v>
      </c>
      <c r="J41" s="21">
        <v>0.7</v>
      </c>
      <c r="K41" s="21">
        <v>0.7</v>
      </c>
      <c r="M41" s="23" t="s">
        <v>335</v>
      </c>
    </row>
    <row r="42" spans="2:23" x14ac:dyDescent="0.3">
      <c r="C42" s="20" t="s">
        <v>154</v>
      </c>
      <c r="D42" s="23" t="s">
        <v>330</v>
      </c>
      <c r="E42" s="20">
        <v>2050</v>
      </c>
      <c r="F42" s="20" t="s">
        <v>331</v>
      </c>
      <c r="H42" s="21">
        <v>0</v>
      </c>
      <c r="I42" s="21">
        <v>0</v>
      </c>
      <c r="J42" s="21">
        <v>0</v>
      </c>
      <c r="K42" s="21">
        <v>0</v>
      </c>
      <c r="M42" s="23" t="s">
        <v>335</v>
      </c>
    </row>
    <row r="43" spans="2:23" x14ac:dyDescent="0.3">
      <c r="B43" s="13"/>
      <c r="C43" s="13" t="s">
        <v>154</v>
      </c>
      <c r="D43" s="13" t="s">
        <v>330</v>
      </c>
      <c r="E43" s="13">
        <v>0</v>
      </c>
      <c r="F43" s="13" t="s">
        <v>331</v>
      </c>
      <c r="G43" s="13"/>
      <c r="H43" s="13">
        <v>5</v>
      </c>
      <c r="I43" s="13">
        <v>5</v>
      </c>
      <c r="J43" s="13">
        <v>5</v>
      </c>
      <c r="K43" s="13">
        <v>5</v>
      </c>
      <c r="M43" s="23" t="s">
        <v>335</v>
      </c>
    </row>
    <row r="44" spans="2:23" x14ac:dyDescent="0.3">
      <c r="C44" s="23" t="s">
        <v>154</v>
      </c>
      <c r="D44" s="38" t="s">
        <v>225</v>
      </c>
      <c r="E44" s="23">
        <v>2028</v>
      </c>
      <c r="F44" s="23" t="s">
        <v>344</v>
      </c>
      <c r="H44" s="21"/>
      <c r="I44" s="21"/>
      <c r="J44" s="21"/>
      <c r="K44" s="21">
        <v>2</v>
      </c>
    </row>
    <row r="45" spans="2:23" x14ac:dyDescent="0.3">
      <c r="C45" s="23" t="s">
        <v>154</v>
      </c>
      <c r="D45" s="38" t="s">
        <v>225</v>
      </c>
      <c r="E45" s="23">
        <v>2050</v>
      </c>
      <c r="F45" s="23" t="str">
        <f>F44</f>
        <v>EUNUCPP*</v>
      </c>
      <c r="H45" s="21"/>
      <c r="I45" s="21"/>
      <c r="J45" s="21"/>
      <c r="K45" s="21">
        <v>2</v>
      </c>
    </row>
    <row r="46" spans="2:23" x14ac:dyDescent="0.3">
      <c r="B46" s="106"/>
      <c r="C46" s="13" t="s">
        <v>154</v>
      </c>
      <c r="D46" s="11" t="s">
        <v>225</v>
      </c>
      <c r="E46" s="13">
        <v>0</v>
      </c>
      <c r="F46" s="13" t="str">
        <f>F45</f>
        <v>EUNUCPP*</v>
      </c>
      <c r="G46" s="13"/>
      <c r="H46" s="11">
        <v>5</v>
      </c>
      <c r="I46" s="13">
        <v>5</v>
      </c>
      <c r="J46" s="13">
        <v>5</v>
      </c>
      <c r="K46" s="13">
        <v>5</v>
      </c>
    </row>
    <row r="47" spans="2:23" x14ac:dyDescent="0.3">
      <c r="C47" s="23" t="s">
        <v>8</v>
      </c>
      <c r="D47" s="38" t="s">
        <v>225</v>
      </c>
      <c r="E47" s="23">
        <v>2030</v>
      </c>
      <c r="F47" s="23" t="s">
        <v>344</v>
      </c>
      <c r="H47" s="21"/>
      <c r="I47" s="21"/>
      <c r="J47" s="21"/>
      <c r="K47" s="21">
        <v>2.4</v>
      </c>
      <c r="M47" s="23" t="s">
        <v>345</v>
      </c>
    </row>
    <row r="48" spans="2:23" x14ac:dyDescent="0.3">
      <c r="C48" s="23" t="s">
        <v>8</v>
      </c>
      <c r="D48" s="38" t="s">
        <v>225</v>
      </c>
      <c r="E48" s="23">
        <v>2050</v>
      </c>
      <c r="F48" s="23" t="str">
        <f>F47</f>
        <v>EUNUCPP*</v>
      </c>
      <c r="H48" s="21"/>
      <c r="I48" s="21"/>
      <c r="J48" s="21"/>
      <c r="K48" s="21">
        <v>2.4</v>
      </c>
      <c r="M48" s="23" t="s">
        <v>345</v>
      </c>
    </row>
    <row r="49" spans="2:13" x14ac:dyDescent="0.3">
      <c r="B49" s="106"/>
      <c r="C49" s="13" t="s">
        <v>8</v>
      </c>
      <c r="D49" s="11" t="s">
        <v>225</v>
      </c>
      <c r="E49" s="13">
        <v>0</v>
      </c>
      <c r="F49" s="13" t="str">
        <f>F48</f>
        <v>EUNUCPP*</v>
      </c>
      <c r="G49" s="13"/>
      <c r="H49" s="11">
        <v>5</v>
      </c>
      <c r="I49" s="13">
        <v>5</v>
      </c>
      <c r="J49" s="13">
        <v>5</v>
      </c>
      <c r="K49" s="13">
        <v>5</v>
      </c>
      <c r="M49" s="23" t="s">
        <v>345</v>
      </c>
    </row>
    <row r="51" spans="2:13" x14ac:dyDescent="0.3">
      <c r="B51" s="24" t="s">
        <v>81</v>
      </c>
      <c r="E51" s="49"/>
    </row>
    <row r="52" spans="2:13" x14ac:dyDescent="0.3">
      <c r="B52" s="25" t="s">
        <v>2</v>
      </c>
      <c r="C52" s="25" t="s">
        <v>0</v>
      </c>
      <c r="D52" s="25" t="s">
        <v>3</v>
      </c>
      <c r="E52" s="27" t="s">
        <v>4</v>
      </c>
      <c r="F52" s="25" t="s">
        <v>5</v>
      </c>
      <c r="G52" s="25" t="s">
        <v>6</v>
      </c>
      <c r="H52" s="27" t="s">
        <v>93</v>
      </c>
      <c r="I52" s="27" t="s">
        <v>239</v>
      </c>
      <c r="J52" s="27" t="s">
        <v>240</v>
      </c>
      <c r="K52" s="27" t="s">
        <v>241</v>
      </c>
    </row>
    <row r="53" spans="2:13" x14ac:dyDescent="0.3">
      <c r="B53" s="11"/>
      <c r="C53" s="14"/>
      <c r="D53" s="14" t="s">
        <v>82</v>
      </c>
      <c r="E53" s="14"/>
      <c r="F53" s="14" t="s">
        <v>158</v>
      </c>
      <c r="G53" s="14"/>
      <c r="H53" s="13">
        <v>2100</v>
      </c>
      <c r="I53" s="13">
        <v>2100</v>
      </c>
      <c r="J53" s="13">
        <v>2100</v>
      </c>
      <c r="K53" s="13">
        <v>2100</v>
      </c>
      <c r="M53" s="66" t="s">
        <v>159</v>
      </c>
    </row>
    <row r="54" spans="2:13" x14ac:dyDescent="0.3">
      <c r="B54" s="56"/>
      <c r="C54" s="56"/>
      <c r="D54" s="14" t="s">
        <v>82</v>
      </c>
      <c r="E54" s="14"/>
      <c r="F54" s="14" t="s">
        <v>160</v>
      </c>
      <c r="G54" s="14"/>
      <c r="H54" s="14">
        <v>2040</v>
      </c>
      <c r="I54" s="14">
        <f t="shared" ref="I54:J61" si="2">H54</f>
        <v>2040</v>
      </c>
      <c r="J54" s="14">
        <f t="shared" si="2"/>
        <v>2040</v>
      </c>
      <c r="K54" s="14">
        <f t="shared" ref="K54" si="3">J54</f>
        <v>2040</v>
      </c>
      <c r="M54" s="66" t="s">
        <v>279</v>
      </c>
    </row>
    <row r="55" spans="2:13" x14ac:dyDescent="0.3">
      <c r="C55" s="13"/>
      <c r="D55" s="11" t="s">
        <v>82</v>
      </c>
      <c r="E55" s="13"/>
      <c r="F55" s="14" t="s">
        <v>262</v>
      </c>
      <c r="G55" s="14"/>
      <c r="H55" s="13">
        <v>2100</v>
      </c>
      <c r="I55" s="13">
        <v>2100</v>
      </c>
      <c r="J55" s="13">
        <v>2100</v>
      </c>
      <c r="K55" s="13">
        <v>2100</v>
      </c>
      <c r="M55" s="23" t="s">
        <v>263</v>
      </c>
    </row>
    <row r="56" spans="2:13" x14ac:dyDescent="0.3">
      <c r="B56" s="56"/>
      <c r="C56" s="13"/>
      <c r="D56" s="11" t="s">
        <v>82</v>
      </c>
      <c r="E56" s="11"/>
      <c r="F56" s="14" t="s">
        <v>189</v>
      </c>
      <c r="G56" s="14"/>
      <c r="H56" s="14">
        <v>2100</v>
      </c>
      <c r="I56" s="14">
        <f t="shared" si="2"/>
        <v>2100</v>
      </c>
      <c r="J56" s="14">
        <f t="shared" si="2"/>
        <v>2100</v>
      </c>
      <c r="K56" s="14">
        <f t="shared" ref="K56" si="4">J56</f>
        <v>2100</v>
      </c>
    </row>
    <row r="57" spans="2:13" x14ac:dyDescent="0.3">
      <c r="B57" s="56"/>
      <c r="C57" s="56"/>
      <c r="D57" s="11" t="s">
        <v>82</v>
      </c>
      <c r="E57" s="11"/>
      <c r="F57" s="14" t="s">
        <v>190</v>
      </c>
      <c r="G57" s="14"/>
      <c r="H57" s="14">
        <v>2100</v>
      </c>
      <c r="I57" s="14">
        <f t="shared" si="2"/>
        <v>2100</v>
      </c>
      <c r="J57" s="14">
        <f t="shared" si="2"/>
        <v>2100</v>
      </c>
      <c r="K57" s="14">
        <f t="shared" ref="K57" si="5">J57</f>
        <v>2100</v>
      </c>
    </row>
    <row r="58" spans="2:13" x14ac:dyDescent="0.3">
      <c r="B58" s="56"/>
      <c r="C58" s="56"/>
      <c r="D58" s="11" t="s">
        <v>82</v>
      </c>
      <c r="E58" s="11"/>
      <c r="F58" s="14" t="s">
        <v>232</v>
      </c>
      <c r="G58" s="14"/>
      <c r="H58" s="14">
        <v>2035</v>
      </c>
      <c r="I58" s="14">
        <f t="shared" si="2"/>
        <v>2035</v>
      </c>
      <c r="J58" s="14">
        <v>2100</v>
      </c>
      <c r="K58" s="14">
        <v>2030</v>
      </c>
      <c r="M58" s="23" t="s">
        <v>338</v>
      </c>
    </row>
    <row r="59" spans="2:13" x14ac:dyDescent="0.3">
      <c r="B59" s="56"/>
      <c r="C59" s="56"/>
      <c r="D59" s="11" t="s">
        <v>82</v>
      </c>
      <c r="E59" s="11"/>
      <c r="F59" s="14" t="s">
        <v>191</v>
      </c>
      <c r="G59" s="14"/>
      <c r="H59" s="14">
        <v>2100</v>
      </c>
      <c r="I59" s="14">
        <f t="shared" si="2"/>
        <v>2100</v>
      </c>
      <c r="J59" s="14">
        <f t="shared" si="2"/>
        <v>2100</v>
      </c>
      <c r="K59" s="14">
        <f t="shared" ref="K59" si="6">J59</f>
        <v>2100</v>
      </c>
      <c r="M59" s="23" t="s">
        <v>194</v>
      </c>
    </row>
    <row r="60" spans="2:13" x14ac:dyDescent="0.3">
      <c r="B60" s="56"/>
      <c r="C60" s="56"/>
      <c r="D60" s="11" t="s">
        <v>82</v>
      </c>
      <c r="E60" s="11"/>
      <c r="F60" s="14" t="s">
        <v>192</v>
      </c>
      <c r="G60" s="14"/>
      <c r="H60" s="14">
        <v>2100</v>
      </c>
      <c r="I60" s="14">
        <f t="shared" si="2"/>
        <v>2100</v>
      </c>
      <c r="J60" s="14">
        <f t="shared" si="2"/>
        <v>2100</v>
      </c>
      <c r="K60" s="14">
        <f t="shared" ref="K60" si="7">J60</f>
        <v>2100</v>
      </c>
      <c r="M60" s="23" t="s">
        <v>194</v>
      </c>
    </row>
    <row r="61" spans="2:13" x14ac:dyDescent="0.3">
      <c r="B61" s="56"/>
      <c r="C61" s="56"/>
      <c r="D61" s="11" t="s">
        <v>82</v>
      </c>
      <c r="E61" s="11"/>
      <c r="F61" s="14" t="s">
        <v>193</v>
      </c>
      <c r="G61" s="14"/>
      <c r="H61" s="14">
        <v>2100</v>
      </c>
      <c r="I61" s="14">
        <f t="shared" si="2"/>
        <v>2100</v>
      </c>
      <c r="J61" s="14">
        <f t="shared" si="2"/>
        <v>2100</v>
      </c>
      <c r="K61" s="14">
        <f t="shared" ref="K61" si="8">J61</f>
        <v>2100</v>
      </c>
      <c r="M61" s="23" t="s">
        <v>194</v>
      </c>
    </row>
    <row r="62" spans="2:13" x14ac:dyDescent="0.3">
      <c r="B62" s="56"/>
      <c r="C62" s="56"/>
      <c r="D62" s="11" t="s">
        <v>82</v>
      </c>
      <c r="E62" s="11"/>
      <c r="F62" s="14" t="s">
        <v>371</v>
      </c>
      <c r="G62" s="14"/>
      <c r="H62" s="14"/>
      <c r="I62" s="14">
        <v>2100</v>
      </c>
      <c r="J62" s="14">
        <v>2100</v>
      </c>
      <c r="K62" s="14">
        <v>2100</v>
      </c>
      <c r="M62" s="23" t="s">
        <v>370</v>
      </c>
    </row>
    <row r="63" spans="2:13" x14ac:dyDescent="0.3">
      <c r="B63" s="56"/>
      <c r="C63" s="56"/>
      <c r="D63" s="11" t="s">
        <v>82</v>
      </c>
      <c r="E63" s="11"/>
      <c r="F63" s="14" t="s">
        <v>337</v>
      </c>
      <c r="G63" s="14"/>
      <c r="H63" s="14"/>
      <c r="I63" s="14"/>
      <c r="J63" s="14"/>
      <c r="K63" s="14">
        <v>2100</v>
      </c>
      <c r="M63" s="23" t="s">
        <v>194</v>
      </c>
    </row>
    <row r="64" spans="2:13" x14ac:dyDescent="0.3">
      <c r="B64" s="56"/>
      <c r="C64" s="56"/>
      <c r="D64" s="14" t="s">
        <v>82</v>
      </c>
      <c r="E64" s="14"/>
      <c r="F64" s="11" t="s">
        <v>336</v>
      </c>
      <c r="G64" s="14"/>
      <c r="H64" s="14"/>
      <c r="I64" s="14"/>
      <c r="J64" s="14"/>
      <c r="K64" s="14">
        <v>2100</v>
      </c>
      <c r="M64" s="23" t="s">
        <v>194</v>
      </c>
    </row>
    <row r="65" spans="2:17" x14ac:dyDescent="0.3">
      <c r="B65" s="20"/>
      <c r="C65" s="20"/>
      <c r="D65" s="12" t="s">
        <v>82</v>
      </c>
      <c r="E65" s="12"/>
      <c r="F65" s="12" t="s">
        <v>269</v>
      </c>
      <c r="G65" s="12"/>
      <c r="H65" s="12"/>
      <c r="I65" s="12">
        <v>2100</v>
      </c>
      <c r="J65" s="12"/>
      <c r="K65" s="12"/>
      <c r="M65" s="23" t="s">
        <v>270</v>
      </c>
    </row>
    <row r="66" spans="2:17" x14ac:dyDescent="0.3">
      <c r="B66" s="20"/>
      <c r="C66" s="20"/>
      <c r="D66" s="12" t="s">
        <v>82</v>
      </c>
      <c r="E66" s="12"/>
      <c r="F66" s="12" t="s">
        <v>271</v>
      </c>
      <c r="G66" s="12"/>
      <c r="H66" s="12"/>
      <c r="I66" s="12">
        <v>2100</v>
      </c>
      <c r="J66" s="12"/>
      <c r="K66" s="12"/>
      <c r="M66" s="23" t="s">
        <v>270</v>
      </c>
    </row>
    <row r="67" spans="2:17" x14ac:dyDescent="0.3">
      <c r="B67" s="20"/>
      <c r="C67" s="13"/>
      <c r="D67" s="11" t="s">
        <v>82</v>
      </c>
      <c r="E67" s="11"/>
      <c r="F67" s="11" t="s">
        <v>273</v>
      </c>
      <c r="G67" s="11"/>
      <c r="H67" s="11"/>
      <c r="I67" s="11"/>
      <c r="J67" s="11"/>
      <c r="K67" s="11">
        <v>2100</v>
      </c>
      <c r="M67" s="23" t="s">
        <v>328</v>
      </c>
    </row>
    <row r="68" spans="2:17" x14ac:dyDescent="0.3">
      <c r="B68" s="57" t="s">
        <v>257</v>
      </c>
      <c r="C68" s="13"/>
      <c r="D68" s="11" t="s">
        <v>82</v>
      </c>
      <c r="E68" s="11"/>
      <c r="F68" s="11" t="s">
        <v>272</v>
      </c>
      <c r="G68" s="11"/>
      <c r="H68" s="11"/>
      <c r="I68" s="11"/>
      <c r="J68" s="11"/>
      <c r="K68" s="11"/>
      <c r="L68" s="13"/>
      <c r="M68" s="13" t="s">
        <v>329</v>
      </c>
      <c r="N68" s="13"/>
      <c r="O68" s="13"/>
      <c r="P68" s="13"/>
      <c r="Q68" s="13"/>
    </row>
    <row r="69" spans="2:17" x14ac:dyDescent="0.3">
      <c r="B69" s="56"/>
      <c r="C69" s="56"/>
      <c r="D69" s="14" t="s">
        <v>82</v>
      </c>
      <c r="E69" s="56"/>
      <c r="F69" s="56" t="s">
        <v>282</v>
      </c>
      <c r="G69" s="56"/>
      <c r="H69" s="56"/>
      <c r="I69" s="14">
        <v>2100</v>
      </c>
      <c r="J69" s="56"/>
      <c r="K69" s="56"/>
      <c r="M69" s="20" t="s">
        <v>283</v>
      </c>
    </row>
    <row r="70" spans="2:17" x14ac:dyDescent="0.3">
      <c r="D70" s="12" t="s">
        <v>82</v>
      </c>
      <c r="F70" s="12" t="s">
        <v>346</v>
      </c>
      <c r="H70" s="23">
        <v>2100</v>
      </c>
      <c r="I70" s="23">
        <v>2100</v>
      </c>
      <c r="J70" s="23">
        <v>2100</v>
      </c>
      <c r="K70" s="23">
        <v>2100</v>
      </c>
      <c r="M70" s="20" t="s">
        <v>348</v>
      </c>
    </row>
    <row r="71" spans="2:17" x14ac:dyDescent="0.3">
      <c r="B71" s="13"/>
      <c r="C71" s="13"/>
      <c r="D71" s="11" t="s">
        <v>82</v>
      </c>
      <c r="E71" s="13"/>
      <c r="F71" s="11" t="s">
        <v>347</v>
      </c>
      <c r="G71" s="13"/>
      <c r="H71" s="13">
        <v>2100</v>
      </c>
      <c r="I71" s="13">
        <v>2100</v>
      </c>
      <c r="J71" s="13">
        <v>2100</v>
      </c>
      <c r="K71" s="13">
        <v>2100</v>
      </c>
      <c r="M71" s="20" t="s">
        <v>348</v>
      </c>
    </row>
    <row r="72" spans="2:17" x14ac:dyDescent="0.3">
      <c r="B72" s="56"/>
      <c r="C72" s="56"/>
      <c r="D72" s="14" t="s">
        <v>82</v>
      </c>
      <c r="E72" s="56"/>
      <c r="F72" s="14" t="s">
        <v>388</v>
      </c>
      <c r="G72" s="56"/>
      <c r="H72" s="56"/>
      <c r="I72" s="56">
        <v>2025</v>
      </c>
      <c r="J72" s="56"/>
      <c r="K72" s="56"/>
      <c r="M72" s="20" t="s">
        <v>389</v>
      </c>
    </row>
    <row r="75" spans="2:17" x14ac:dyDescent="0.3">
      <c r="B75" s="38"/>
      <c r="C75" s="24" t="s">
        <v>243</v>
      </c>
      <c r="D75" s="38"/>
      <c r="E75" s="38"/>
      <c r="F75" s="38"/>
      <c r="G75" s="39"/>
      <c r="H75" s="40"/>
      <c r="I75" s="40"/>
      <c r="J75" s="40"/>
      <c r="K75" s="40"/>
      <c r="L75" s="38"/>
    </row>
    <row r="76" spans="2:17" x14ac:dyDescent="0.3">
      <c r="B76" s="38"/>
      <c r="C76" s="38"/>
      <c r="D76" s="38"/>
      <c r="E76" s="24" t="s">
        <v>216</v>
      </c>
      <c r="F76" s="38"/>
      <c r="G76" s="39"/>
      <c r="H76" s="38"/>
      <c r="I76" s="38"/>
      <c r="J76" s="38"/>
      <c r="K76" s="38"/>
      <c r="L76" s="38"/>
    </row>
    <row r="77" spans="2:17" x14ac:dyDescent="0.3">
      <c r="B77" s="27" t="s">
        <v>147</v>
      </c>
      <c r="C77" s="27" t="s">
        <v>5</v>
      </c>
      <c r="D77" s="27" t="s">
        <v>6</v>
      </c>
      <c r="E77" s="27" t="s">
        <v>4</v>
      </c>
      <c r="F77" s="27" t="s">
        <v>170</v>
      </c>
      <c r="G77" s="27" t="s">
        <v>219</v>
      </c>
      <c r="H77" s="27" t="s">
        <v>93</v>
      </c>
      <c r="I77" s="27" t="s">
        <v>239</v>
      </c>
      <c r="J77" s="27" t="s">
        <v>240</v>
      </c>
      <c r="K77" s="27" t="s">
        <v>241</v>
      </c>
      <c r="L77" s="27" t="s">
        <v>151</v>
      </c>
    </row>
    <row r="78" spans="2:17" x14ac:dyDescent="0.3">
      <c r="B78" s="30" t="s">
        <v>278</v>
      </c>
      <c r="C78" s="30" t="s">
        <v>223</v>
      </c>
      <c r="D78" s="30"/>
      <c r="E78" s="41">
        <f>BASE_YEAR+1</f>
        <v>2018</v>
      </c>
      <c r="F78" s="30">
        <v>1</v>
      </c>
      <c r="G78" s="42">
        <v>5</v>
      </c>
      <c r="H78" s="43">
        <v>0.62</v>
      </c>
      <c r="I78" s="43">
        <f>0.27+0.08</f>
        <v>0.35000000000000003</v>
      </c>
      <c r="J78" s="43">
        <v>0.06</v>
      </c>
      <c r="K78" s="43">
        <v>0.30499999999999999</v>
      </c>
      <c r="L78" s="38" t="s">
        <v>224</v>
      </c>
    </row>
    <row r="79" spans="2:17" x14ac:dyDescent="0.3">
      <c r="B79" s="11"/>
      <c r="C79" s="11" t="s">
        <v>223</v>
      </c>
      <c r="D79" s="11"/>
      <c r="E79" s="45">
        <v>2050</v>
      </c>
      <c r="F79" s="11">
        <v>1</v>
      </c>
      <c r="G79" s="46"/>
      <c r="H79" s="44">
        <f>H78*1.1</f>
        <v>0.68200000000000005</v>
      </c>
      <c r="I79" s="44">
        <f>I78*1.1</f>
        <v>0.38500000000000006</v>
      </c>
      <c r="J79" s="44">
        <f>J78*1.1</f>
        <v>6.6000000000000003E-2</v>
      </c>
      <c r="K79" s="44">
        <f>K78*1.1</f>
        <v>0.33550000000000002</v>
      </c>
      <c r="L79" s="11"/>
      <c r="M79" s="23" t="s">
        <v>280</v>
      </c>
    </row>
    <row r="80" spans="2:17" x14ac:dyDescent="0.3">
      <c r="B80" s="30" t="s">
        <v>276</v>
      </c>
      <c r="C80" s="30" t="s">
        <v>227</v>
      </c>
      <c r="D80" s="30"/>
      <c r="E80" s="41">
        <v>2018</v>
      </c>
      <c r="F80" s="30">
        <v>1</v>
      </c>
      <c r="G80" s="42">
        <v>5</v>
      </c>
      <c r="H80" s="43">
        <v>8.36</v>
      </c>
      <c r="I80" s="43">
        <v>0</v>
      </c>
      <c r="J80" s="43">
        <v>0</v>
      </c>
      <c r="K80" s="43">
        <v>0</v>
      </c>
      <c r="L80" s="38" t="s">
        <v>228</v>
      </c>
    </row>
    <row r="81" spans="2:24" x14ac:dyDescent="0.3">
      <c r="B81" s="11"/>
      <c r="C81" s="11" t="s">
        <v>227</v>
      </c>
      <c r="D81" s="11"/>
      <c r="E81" s="45">
        <v>2050</v>
      </c>
      <c r="F81" s="11">
        <v>1</v>
      </c>
      <c r="G81" s="46"/>
      <c r="H81" s="44">
        <f>H80</f>
        <v>8.36</v>
      </c>
      <c r="I81" s="44">
        <v>0</v>
      </c>
      <c r="J81" s="44">
        <v>0</v>
      </c>
      <c r="K81" s="44">
        <v>0</v>
      </c>
      <c r="L81" s="11"/>
      <c r="Q81" s="113"/>
      <c r="R81" s="113"/>
    </row>
    <row r="82" spans="2:24" x14ac:dyDescent="0.3">
      <c r="B82" s="30" t="s">
        <v>277</v>
      </c>
      <c r="C82" s="30" t="s">
        <v>274</v>
      </c>
      <c r="D82" s="30"/>
      <c r="E82" s="41">
        <v>2018</v>
      </c>
      <c r="F82" s="30">
        <v>1</v>
      </c>
      <c r="G82" s="42">
        <v>5</v>
      </c>
      <c r="H82" s="43"/>
      <c r="I82" s="43"/>
      <c r="J82" s="43">
        <v>0</v>
      </c>
      <c r="K82" s="43">
        <v>0.17</v>
      </c>
      <c r="L82" s="38" t="s">
        <v>275</v>
      </c>
    </row>
    <row r="83" spans="2:24" x14ac:dyDescent="0.3">
      <c r="B83" s="11"/>
      <c r="C83" s="11" t="s">
        <v>274</v>
      </c>
      <c r="D83" s="11"/>
      <c r="E83" s="45">
        <v>2050</v>
      </c>
      <c r="F83" s="11">
        <v>1</v>
      </c>
      <c r="G83" s="46"/>
      <c r="H83" s="44"/>
      <c r="I83" s="44"/>
      <c r="J83" s="44">
        <v>0</v>
      </c>
      <c r="K83" s="44">
        <f>K82</f>
        <v>0.17</v>
      </c>
      <c r="L83" s="11"/>
    </row>
    <row r="84" spans="2:24" x14ac:dyDescent="0.3">
      <c r="B84" s="30" t="s">
        <v>373</v>
      </c>
      <c r="C84" s="30" t="s">
        <v>372</v>
      </c>
      <c r="D84" s="30"/>
      <c r="E84" s="41">
        <v>2018</v>
      </c>
      <c r="F84" s="30">
        <v>1</v>
      </c>
      <c r="G84" s="42">
        <v>5</v>
      </c>
      <c r="H84" s="43">
        <v>0</v>
      </c>
      <c r="I84" s="43">
        <v>5.5E-2</v>
      </c>
      <c r="J84" s="43">
        <v>0</v>
      </c>
      <c r="K84" s="43">
        <v>0</v>
      </c>
      <c r="L84" s="38" t="s">
        <v>374</v>
      </c>
    </row>
    <row r="85" spans="2:24" x14ac:dyDescent="0.3">
      <c r="B85" s="11"/>
      <c r="C85" s="11" t="s">
        <v>372</v>
      </c>
      <c r="D85" s="11"/>
      <c r="E85" s="45">
        <v>2050</v>
      </c>
      <c r="F85" s="11">
        <v>1</v>
      </c>
      <c r="G85" s="46"/>
      <c r="H85" s="44">
        <v>0</v>
      </c>
      <c r="I85" s="44">
        <f>I84</f>
        <v>5.5E-2</v>
      </c>
      <c r="J85" s="44">
        <v>0</v>
      </c>
      <c r="K85" s="44">
        <v>0</v>
      </c>
      <c r="L85" s="11"/>
    </row>
    <row r="86" spans="2:24" x14ac:dyDescent="0.3">
      <c r="B86" s="30" t="s">
        <v>376</v>
      </c>
      <c r="C86" s="30" t="s">
        <v>377</v>
      </c>
      <c r="D86" s="30"/>
      <c r="E86" s="41">
        <v>2018</v>
      </c>
      <c r="F86" s="30">
        <v>1</v>
      </c>
      <c r="G86" s="42">
        <v>5</v>
      </c>
      <c r="H86" s="43">
        <v>0.37</v>
      </c>
      <c r="I86" s="43">
        <v>0.5</v>
      </c>
      <c r="J86" s="43">
        <v>0</v>
      </c>
      <c r="K86" s="43">
        <v>0.68</v>
      </c>
      <c r="L86" s="38" t="s">
        <v>378</v>
      </c>
      <c r="N86" s="23" t="s">
        <v>384</v>
      </c>
    </row>
    <row r="87" spans="2:24" x14ac:dyDescent="0.3">
      <c r="B87" s="11"/>
      <c r="C87" s="11" t="str">
        <f>C86</f>
        <v>RSD_*_WH_ELC_*</v>
      </c>
      <c r="D87" s="11"/>
      <c r="E87" s="45">
        <v>2050</v>
      </c>
      <c r="F87" s="11">
        <v>1</v>
      </c>
      <c r="G87" s="46"/>
      <c r="H87" s="44">
        <f>H86</f>
        <v>0.37</v>
      </c>
      <c r="I87" s="44">
        <f>I86</f>
        <v>0.5</v>
      </c>
      <c r="J87" s="44">
        <v>0</v>
      </c>
      <c r="K87" s="44">
        <f>K86</f>
        <v>0.68</v>
      </c>
      <c r="L87" s="11"/>
    </row>
    <row r="88" spans="2:24" x14ac:dyDescent="0.3">
      <c r="B88" s="30" t="s">
        <v>387</v>
      </c>
      <c r="C88" s="30" t="s">
        <v>385</v>
      </c>
      <c r="D88" s="30"/>
      <c r="E88" s="41">
        <v>2018</v>
      </c>
      <c r="F88" s="30">
        <v>1</v>
      </c>
      <c r="G88" s="42">
        <v>5</v>
      </c>
      <c r="H88" s="43">
        <v>0</v>
      </c>
      <c r="I88" s="43">
        <v>0.22</v>
      </c>
      <c r="J88" s="43">
        <v>0</v>
      </c>
      <c r="K88" s="43">
        <v>0</v>
      </c>
      <c r="L88" s="38" t="s">
        <v>386</v>
      </c>
    </row>
    <row r="89" spans="2:24" x14ac:dyDescent="0.3">
      <c r="B89" s="11"/>
      <c r="C89" s="11" t="str">
        <f>C88</f>
        <v>TER_T*_WH_LOG_*</v>
      </c>
      <c r="D89" s="11"/>
      <c r="E89" s="45">
        <v>2050</v>
      </c>
      <c r="F89" s="11">
        <v>1</v>
      </c>
      <c r="G89" s="46"/>
      <c r="H89" s="44">
        <v>0</v>
      </c>
      <c r="I89" s="44">
        <v>0.22</v>
      </c>
      <c r="J89" s="44">
        <v>0</v>
      </c>
      <c r="K89" s="44">
        <v>0</v>
      </c>
      <c r="L89" s="11"/>
    </row>
    <row r="92" spans="2:24" x14ac:dyDescent="0.3">
      <c r="B92" s="38"/>
      <c r="C92" s="24" t="s">
        <v>243</v>
      </c>
      <c r="D92" s="38"/>
      <c r="E92" s="38"/>
      <c r="F92" s="38"/>
      <c r="G92" s="39"/>
      <c r="H92" s="40"/>
      <c r="I92" s="40"/>
      <c r="J92" s="40"/>
      <c r="K92" s="40"/>
      <c r="L92" s="38"/>
    </row>
    <row r="93" spans="2:24" x14ac:dyDescent="0.3">
      <c r="B93" s="38"/>
      <c r="C93" s="38"/>
      <c r="D93" s="38"/>
      <c r="E93" s="24" t="s">
        <v>216</v>
      </c>
      <c r="F93" s="38"/>
      <c r="G93" s="39"/>
      <c r="H93" s="38"/>
      <c r="I93" s="38"/>
      <c r="J93" s="38"/>
      <c r="K93" s="38"/>
      <c r="L93" s="38"/>
      <c r="Q93" s="23">
        <v>2017</v>
      </c>
      <c r="R93" s="23">
        <v>2017</v>
      </c>
      <c r="S93" s="23">
        <v>2017</v>
      </c>
      <c r="T93" s="23">
        <v>2017</v>
      </c>
    </row>
    <row r="94" spans="2:24" x14ac:dyDescent="0.3">
      <c r="B94" s="27" t="s">
        <v>147</v>
      </c>
      <c r="C94" s="27" t="s">
        <v>5</v>
      </c>
      <c r="D94" s="27" t="s">
        <v>6</v>
      </c>
      <c r="E94" s="27" t="s">
        <v>4</v>
      </c>
      <c r="F94" s="27" t="s">
        <v>148</v>
      </c>
      <c r="G94" s="27" t="s">
        <v>219</v>
      </c>
      <c r="H94" s="27" t="s">
        <v>93</v>
      </c>
      <c r="I94" s="27" t="s">
        <v>239</v>
      </c>
      <c r="J94" s="27" t="s">
        <v>240</v>
      </c>
      <c r="K94" s="27" t="s">
        <v>241</v>
      </c>
      <c r="L94" s="27" t="s">
        <v>151</v>
      </c>
      <c r="Q94" s="23" t="s">
        <v>93</v>
      </c>
      <c r="R94" s="23" t="s">
        <v>239</v>
      </c>
      <c r="S94" s="23" t="s">
        <v>240</v>
      </c>
      <c r="T94" s="23" t="s">
        <v>241</v>
      </c>
    </row>
    <row r="95" spans="2:24" x14ac:dyDescent="0.3">
      <c r="B95" s="30" t="s">
        <v>379</v>
      </c>
      <c r="C95" s="30" t="s">
        <v>380</v>
      </c>
      <c r="D95" s="30"/>
      <c r="E95" s="41">
        <f>BASE_YEAR+1</f>
        <v>2018</v>
      </c>
      <c r="F95" s="30">
        <v>1</v>
      </c>
      <c r="G95" s="42">
        <v>5</v>
      </c>
      <c r="H95" s="114">
        <f>(Q95*3%+Q95*2%+Q95*1%)*$U$95*1000/10^6*$W$95</f>
        <v>4.7696255999999995</v>
      </c>
      <c r="I95" s="114">
        <f t="shared" ref="I95:K95" si="9">(R95*3%+R95*2%+R95*1%)*$U$95*1000/10^6*$W$95</f>
        <v>1.9682999999999997</v>
      </c>
      <c r="J95" s="114">
        <f t="shared" si="9"/>
        <v>1.151532</v>
      </c>
      <c r="K95" s="114">
        <f t="shared" si="9"/>
        <v>5.639958</v>
      </c>
      <c r="L95" s="38" t="s">
        <v>382</v>
      </c>
      <c r="Q95" s="23">
        <v>5299.5839999999998</v>
      </c>
      <c r="R95" s="23">
        <v>2187</v>
      </c>
      <c r="S95" s="23">
        <v>1279.48</v>
      </c>
      <c r="T95" s="23">
        <v>6266.62</v>
      </c>
      <c r="U95" s="23">
        <v>3</v>
      </c>
      <c r="V95" s="23" t="s">
        <v>381</v>
      </c>
      <c r="W95" s="23">
        <v>5</v>
      </c>
      <c r="X95" s="23" t="s">
        <v>383</v>
      </c>
    </row>
    <row r="96" spans="2:24" x14ac:dyDescent="0.3">
      <c r="B96" s="11"/>
      <c r="C96" s="11" t="str">
        <f>C95</f>
        <v>RSD_*_SH_ELC_N_ST02,RSD_*_SH_ELC_N_ST03,RSD_*_SH_ELC_N_IM*,RSD_*_SH_ELC_AD*</v>
      </c>
      <c r="D96" s="11"/>
      <c r="E96" s="45">
        <v>2050</v>
      </c>
      <c r="F96" s="11">
        <v>1</v>
      </c>
      <c r="G96" s="46"/>
      <c r="H96" s="115">
        <f>H95</f>
        <v>4.7696255999999995</v>
      </c>
      <c r="I96" s="115">
        <f t="shared" ref="I96:K96" si="10">I95</f>
        <v>1.9682999999999997</v>
      </c>
      <c r="J96" s="115">
        <f t="shared" si="10"/>
        <v>1.151532</v>
      </c>
      <c r="K96" s="115">
        <f t="shared" si="10"/>
        <v>5.639958</v>
      </c>
      <c r="L96" s="11" t="s">
        <v>28</v>
      </c>
    </row>
    <row r="99" spans="2:12" x14ac:dyDescent="0.3">
      <c r="B99" s="38"/>
      <c r="C99" s="24" t="s">
        <v>243</v>
      </c>
      <c r="D99" s="38"/>
      <c r="E99" s="38"/>
      <c r="F99" s="38"/>
      <c r="G99" s="39"/>
      <c r="H99" s="40"/>
      <c r="I99" s="40"/>
      <c r="J99" s="40"/>
      <c r="K99" s="40"/>
      <c r="L99" s="38"/>
    </row>
    <row r="100" spans="2:12" x14ac:dyDescent="0.3">
      <c r="B100" s="38"/>
      <c r="C100" s="38"/>
      <c r="D100" s="38"/>
      <c r="E100" s="24" t="s">
        <v>146</v>
      </c>
      <c r="F100" s="38"/>
      <c r="G100" s="39"/>
      <c r="H100" s="38"/>
      <c r="I100" s="38"/>
      <c r="J100" s="38"/>
      <c r="K100" s="38"/>
      <c r="L100" s="38"/>
    </row>
    <row r="101" spans="2:12" x14ac:dyDescent="0.3">
      <c r="B101" s="27" t="s">
        <v>147</v>
      </c>
      <c r="C101" s="27" t="s">
        <v>5</v>
      </c>
      <c r="D101" s="27" t="s">
        <v>6</v>
      </c>
      <c r="E101" s="27" t="s">
        <v>4</v>
      </c>
      <c r="F101" s="27" t="s">
        <v>365</v>
      </c>
      <c r="G101" s="27" t="s">
        <v>150</v>
      </c>
      <c r="H101" s="27" t="s">
        <v>93</v>
      </c>
      <c r="I101" s="27" t="s">
        <v>239</v>
      </c>
      <c r="J101" s="27" t="s">
        <v>240</v>
      </c>
      <c r="K101" s="27" t="s">
        <v>241</v>
      </c>
      <c r="L101" s="27" t="s">
        <v>151</v>
      </c>
    </row>
    <row r="102" spans="2:12" x14ac:dyDescent="0.3">
      <c r="B102" s="30" t="s">
        <v>332</v>
      </c>
      <c r="C102" s="30" t="s">
        <v>333</v>
      </c>
      <c r="D102" s="30"/>
      <c r="E102" s="41">
        <v>2018</v>
      </c>
      <c r="F102" s="30">
        <v>1</v>
      </c>
      <c r="G102" s="42">
        <v>5</v>
      </c>
      <c r="H102" s="116">
        <v>186.8</v>
      </c>
      <c r="I102" s="116">
        <v>149.80000000000001</v>
      </c>
      <c r="J102" s="116">
        <v>6</v>
      </c>
      <c r="K102" s="116">
        <v>128</v>
      </c>
      <c r="L102" s="38" t="s">
        <v>334</v>
      </c>
    </row>
    <row r="103" spans="2:12" x14ac:dyDescent="0.3">
      <c r="B103" s="11"/>
      <c r="C103" s="11" t="s">
        <v>333</v>
      </c>
      <c r="D103" s="11"/>
      <c r="E103" s="45">
        <v>2050</v>
      </c>
      <c r="F103" s="11">
        <v>1</v>
      </c>
      <c r="G103" s="46"/>
      <c r="H103" s="117">
        <f>+H102*2.5</f>
        <v>467</v>
      </c>
      <c r="I103" s="117">
        <f t="shared" ref="I103" si="11">+I102*2.5</f>
        <v>374.5</v>
      </c>
      <c r="J103" s="117">
        <f t="shared" ref="J103" si="12">+J102*2.5</f>
        <v>15</v>
      </c>
      <c r="K103" s="117">
        <f t="shared" ref="K103" si="13">+K102*2.5</f>
        <v>320</v>
      </c>
      <c r="L103" s="11"/>
    </row>
    <row r="106" spans="2:12" x14ac:dyDescent="0.3">
      <c r="B106" s="38"/>
      <c r="C106" s="24" t="s">
        <v>243</v>
      </c>
      <c r="D106" s="38"/>
      <c r="E106" s="38"/>
      <c r="F106" s="38"/>
      <c r="G106" s="39"/>
      <c r="H106" s="40"/>
      <c r="I106" s="40"/>
      <c r="J106" s="40"/>
      <c r="K106" s="40"/>
      <c r="L106" s="38"/>
    </row>
    <row r="107" spans="2:12" x14ac:dyDescent="0.3">
      <c r="B107" s="38"/>
      <c r="C107" s="38"/>
      <c r="D107" s="38"/>
      <c r="E107" s="24" t="s">
        <v>216</v>
      </c>
      <c r="F107" s="38"/>
      <c r="G107" s="39"/>
      <c r="H107" s="38"/>
      <c r="I107" s="38"/>
      <c r="J107" s="38"/>
      <c r="K107" s="38"/>
      <c r="L107" s="38"/>
    </row>
    <row r="108" spans="2:12" x14ac:dyDescent="0.3">
      <c r="B108" s="27" t="s">
        <v>147</v>
      </c>
      <c r="C108" s="27" t="s">
        <v>5</v>
      </c>
      <c r="D108" s="27" t="s">
        <v>6</v>
      </c>
      <c r="E108" s="27" t="s">
        <v>4</v>
      </c>
      <c r="F108" s="27" t="s">
        <v>365</v>
      </c>
      <c r="G108" s="27" t="s">
        <v>219</v>
      </c>
      <c r="H108" s="27" t="s">
        <v>93</v>
      </c>
      <c r="I108" s="27" t="s">
        <v>239</v>
      </c>
      <c r="J108" s="27" t="s">
        <v>240</v>
      </c>
      <c r="K108" s="27" t="s">
        <v>241</v>
      </c>
      <c r="L108" s="27" t="s">
        <v>151</v>
      </c>
    </row>
    <row r="109" spans="2:12" x14ac:dyDescent="0.3">
      <c r="B109" s="30" t="s">
        <v>364</v>
      </c>
      <c r="C109" s="30" t="s">
        <v>366</v>
      </c>
      <c r="D109" s="30"/>
      <c r="E109" s="41">
        <v>2018</v>
      </c>
      <c r="F109" s="30">
        <v>1</v>
      </c>
      <c r="G109" s="42">
        <v>5</v>
      </c>
      <c r="H109" s="118">
        <v>13000</v>
      </c>
      <c r="I109" s="118">
        <v>3600</v>
      </c>
      <c r="J109" s="118">
        <v>4500</v>
      </c>
      <c r="K109" s="118">
        <v>2100</v>
      </c>
      <c r="L109" s="38" t="s">
        <v>368</v>
      </c>
    </row>
    <row r="110" spans="2:12" x14ac:dyDescent="0.3">
      <c r="B110" s="11"/>
      <c r="C110" s="11" t="str">
        <f>C109</f>
        <v>TRA*RAI*F*DSL*</v>
      </c>
      <c r="D110" s="11"/>
      <c r="E110" s="45">
        <v>2050</v>
      </c>
      <c r="F110" s="11">
        <v>1</v>
      </c>
      <c r="G110" s="46"/>
      <c r="H110" s="119">
        <f>H109*2</f>
        <v>26000</v>
      </c>
      <c r="I110" s="119">
        <f t="shared" ref="I110:K110" si="14">I109*2</f>
        <v>7200</v>
      </c>
      <c r="J110" s="119">
        <f t="shared" si="14"/>
        <v>9000</v>
      </c>
      <c r="K110" s="119">
        <f t="shared" si="14"/>
        <v>4200</v>
      </c>
      <c r="L110" s="38" t="s">
        <v>368</v>
      </c>
    </row>
    <row r="111" spans="2:12" x14ac:dyDescent="0.3">
      <c r="B111" s="30" t="s">
        <v>367</v>
      </c>
      <c r="C111" s="30" t="s">
        <v>366</v>
      </c>
      <c r="D111" s="30"/>
      <c r="E111" s="41">
        <v>2018</v>
      </c>
      <c r="F111" s="30">
        <v>1</v>
      </c>
      <c r="G111" s="42">
        <v>5</v>
      </c>
      <c r="H111" s="118">
        <v>10400</v>
      </c>
      <c r="I111" s="118">
        <v>450</v>
      </c>
      <c r="J111" s="118">
        <v>2800</v>
      </c>
      <c r="K111" s="118">
        <v>1700</v>
      </c>
      <c r="L111" s="38" t="s">
        <v>369</v>
      </c>
    </row>
    <row r="112" spans="2:12" x14ac:dyDescent="0.3">
      <c r="B112" s="11"/>
      <c r="C112" s="11" t="str">
        <f>C111</f>
        <v>TRA*RAI*F*DSL*</v>
      </c>
      <c r="D112" s="11"/>
      <c r="E112" s="45">
        <v>2050</v>
      </c>
      <c r="F112" s="11">
        <v>1</v>
      </c>
      <c r="G112" s="46"/>
      <c r="H112" s="119">
        <f>H111*2</f>
        <v>20800</v>
      </c>
      <c r="I112" s="119">
        <f t="shared" ref="I112:K112" si="15">I111*2</f>
        <v>900</v>
      </c>
      <c r="J112" s="119">
        <f t="shared" si="15"/>
        <v>5600</v>
      </c>
      <c r="K112" s="119">
        <f t="shared" si="15"/>
        <v>3400</v>
      </c>
      <c r="L112" s="38" t="s">
        <v>369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Bounds-StockChange</vt:lpstr>
      <vt:lpstr>CAP_AutoProdution-CAP_PP</vt:lpstr>
      <vt:lpstr>Industry_CCS</vt:lpstr>
      <vt:lpstr>Elc_CCS</vt:lpstr>
      <vt:lpstr>EMIP</vt:lpstr>
      <vt:lpstr>SH_RSD</vt:lpstr>
      <vt:lpstr>Cost_HP_SOL</vt:lpstr>
      <vt:lpstr>Balancing Capacity UC</vt:lpstr>
      <vt:lpstr>Other</vt:lpstr>
      <vt:lpstr>IMPELC_Prices_CAC</vt:lpstr>
      <vt:lpstr>General</vt:lpstr>
      <vt:lpstr>BASE_YEAR</vt:lpstr>
      <vt:lpstr>END_YEAR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474998116493225</vt:r8>
  </property>
</Properties>
</file>