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rocco\Desktop\TIMES-CAC_v2021_Open\SuppXLS\"/>
    </mc:Choice>
  </mc:AlternateContent>
  <xr:revisionPtr revIDLastSave="0" documentId="13_ncr:1_{9AB84368-667F-4855-A65A-36BA001AC62F}" xr6:coauthVersionLast="47" xr6:coauthVersionMax="47" xr10:uidLastSave="{00000000-0000-0000-0000-000000000000}"/>
  <bookViews>
    <workbookView xWindow="372" yWindow="0" windowWidth="22668" windowHeight="12240" firstSheet="1" activeTab="9" xr2:uid="{00000000-000D-0000-FFFF-FFFF00000000}"/>
  </bookViews>
  <sheets>
    <sheet name="OBJ" sheetId="3" state="hidden" r:id="rId1"/>
    <sheet name="Data" sheetId="4" r:id="rId2"/>
    <sheet name="COAL-KZK" sheetId="5" r:id="rId3"/>
    <sheet name="GAS-KZK" sheetId="6" r:id="rId4"/>
    <sheet name="OIL-KZK" sheetId="7" r:id="rId5"/>
    <sheet name="UCs-KZK" sheetId="8" r:id="rId6"/>
    <sheet name="COAL-CAC" sheetId="9" r:id="rId7"/>
    <sheet name="GAS-CAC" sheetId="10" r:id="rId8"/>
    <sheet name="OIL-CAC" sheetId="11" r:id="rId9"/>
    <sheet name="UCs-CAC" sheetId="12" r:id="rId10"/>
    <sheet name="General" sheetId="13" state="hidden" r:id="rId11"/>
  </sheets>
  <definedNames>
    <definedName name="BASE_YEAR">General!$F$1</definedName>
    <definedName name="END_YEAR">General!$F$2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10" l="1"/>
  <c r="G7" i="11"/>
  <c r="I7" i="11"/>
  <c r="L19" i="12"/>
  <c r="I7" i="10" l="1"/>
  <c r="H7" i="11"/>
  <c r="H7" i="10"/>
  <c r="G73" i="12" l="1"/>
  <c r="G74" i="12" s="1"/>
  <c r="G66" i="12"/>
  <c r="G67" i="12" s="1"/>
  <c r="G58" i="12"/>
  <c r="G59" i="12" s="1"/>
  <c r="G51" i="12"/>
  <c r="G52" i="12" s="1"/>
  <c r="G37" i="12"/>
  <c r="G36" i="12"/>
  <c r="G29" i="12"/>
  <c r="G30" i="12" s="1"/>
  <c r="G15" i="12"/>
  <c r="G7" i="12"/>
  <c r="G13" i="12"/>
  <c r="G6" i="12"/>
  <c r="H10" i="11" l="1"/>
  <c r="H9" i="11"/>
  <c r="H6" i="11"/>
  <c r="H8" i="11" l="1"/>
  <c r="H5" i="11"/>
  <c r="I6" i="11"/>
  <c r="I5" i="11"/>
  <c r="G10" i="11"/>
  <c r="G9" i="11"/>
  <c r="G8" i="11"/>
  <c r="G6" i="11"/>
  <c r="G5" i="11"/>
  <c r="I6" i="10"/>
  <c r="I5" i="10"/>
  <c r="H6" i="10"/>
  <c r="H5" i="10"/>
  <c r="G6" i="10"/>
  <c r="G5" i="10"/>
  <c r="G56" i="12"/>
  <c r="G34" i="12"/>
  <c r="G11" i="12"/>
  <c r="G27" i="12" l="1"/>
  <c r="G49" i="12"/>
  <c r="G4" i="12"/>
  <c r="I9" i="9" l="1"/>
  <c r="I5" i="9"/>
  <c r="I11" i="9"/>
  <c r="I7" i="9"/>
  <c r="G64" i="12"/>
  <c r="G71" i="12"/>
  <c r="C71" i="12"/>
  <c r="B71" i="12" s="1"/>
  <c r="C64" i="12"/>
  <c r="B64" i="12" s="1"/>
  <c r="C72" i="12" l="1"/>
  <c r="C73" i="12" s="1"/>
  <c r="C74" i="12" s="1"/>
  <c r="C65" i="12"/>
  <c r="C66" i="12" l="1"/>
  <c r="C67" i="12" l="1"/>
  <c r="G41" i="12" l="1"/>
  <c r="G44" i="12" s="1"/>
  <c r="G19" i="12"/>
  <c r="R22" i="12" l="1"/>
  <c r="G20" i="12"/>
  <c r="G22" i="12" s="1"/>
  <c r="G38" i="8"/>
  <c r="G74" i="8" l="1"/>
  <c r="G73" i="8"/>
  <c r="G72" i="8"/>
  <c r="G67" i="8"/>
  <c r="G66" i="8"/>
  <c r="G65" i="8"/>
  <c r="G60" i="8"/>
  <c r="G59" i="8"/>
  <c r="G58" i="8"/>
  <c r="G53" i="8"/>
  <c r="G52" i="8"/>
  <c r="G51" i="8"/>
  <c r="G45" i="8" l="1"/>
  <c r="G44" i="8"/>
  <c r="G37" i="8"/>
  <c r="P28" i="8" l="1"/>
  <c r="G31" i="8" l="1"/>
  <c r="G24" i="8"/>
  <c r="G43" i="8"/>
  <c r="G36" i="8"/>
  <c r="AE33" i="8" l="1"/>
  <c r="G22" i="6"/>
  <c r="G21" i="6"/>
  <c r="G20" i="6"/>
  <c r="G16" i="6"/>
  <c r="G15" i="6"/>
  <c r="G14" i="6"/>
  <c r="I4" i="8" l="1"/>
  <c r="G42" i="8" l="1"/>
  <c r="N43" i="8"/>
  <c r="Z33" i="8" l="1"/>
  <c r="L35" i="8" l="1"/>
  <c r="G11" i="5" l="1"/>
  <c r="G10" i="5"/>
  <c r="G7" i="5"/>
  <c r="G9" i="5"/>
  <c r="G6" i="5"/>
  <c r="G5" i="5"/>
  <c r="O10" i="6"/>
  <c r="G10" i="6" s="1"/>
  <c r="O7" i="6"/>
  <c r="G7" i="6" s="1"/>
  <c r="G9" i="6"/>
  <c r="G8" i="6"/>
  <c r="O8" i="6"/>
  <c r="O5" i="6"/>
  <c r="G6" i="6"/>
  <c r="G5" i="6"/>
  <c r="G7" i="7"/>
  <c r="O7" i="7"/>
  <c r="G6" i="7"/>
  <c r="G5" i="7"/>
  <c r="N57" i="8" l="1"/>
  <c r="G57" i="8" s="1"/>
  <c r="N49" i="8"/>
  <c r="N64" i="8"/>
  <c r="G64" i="8" s="1"/>
  <c r="N71" i="8"/>
  <c r="G71" i="8" s="1"/>
  <c r="N35" i="8"/>
  <c r="G35" i="8" s="1"/>
  <c r="L42" i="8"/>
  <c r="N42" i="8" s="1"/>
  <c r="N34" i="8"/>
  <c r="C50" i="8"/>
  <c r="B50" i="8" s="1"/>
  <c r="C64" i="8"/>
  <c r="B64" i="8" s="1"/>
  <c r="C57" i="8"/>
  <c r="B57" i="8" s="1"/>
  <c r="N28" i="8"/>
  <c r="G28" i="8" s="1"/>
  <c r="N21" i="8"/>
  <c r="G21" i="8" s="1"/>
  <c r="G23" i="8" l="1"/>
  <c r="G22" i="8"/>
  <c r="G30" i="8"/>
  <c r="P30" i="8" s="1"/>
  <c r="G29" i="8"/>
  <c r="N50" i="8"/>
  <c r="G50" i="8" s="1"/>
  <c r="P21" i="8"/>
  <c r="I3" i="8"/>
  <c r="G22" i="11"/>
  <c r="G21" i="11"/>
  <c r="H20" i="11"/>
  <c r="I19" i="11"/>
  <c r="I22" i="11" s="1"/>
  <c r="H19" i="11"/>
  <c r="H22" i="11" s="1"/>
  <c r="G19" i="11"/>
  <c r="I18" i="11"/>
  <c r="I21" i="11" s="1"/>
  <c r="H18" i="11"/>
  <c r="H21" i="11" s="1"/>
  <c r="G18" i="11"/>
  <c r="I17" i="11"/>
  <c r="I20" i="11" s="1"/>
  <c r="H17" i="11"/>
  <c r="G17" i="11"/>
  <c r="G20" i="11" s="1"/>
  <c r="I16" i="11"/>
  <c r="H16" i="11"/>
  <c r="G16" i="11"/>
  <c r="I15" i="11"/>
  <c r="H15" i="11"/>
  <c r="G15" i="11"/>
  <c r="I14" i="11"/>
  <c r="H14" i="11"/>
  <c r="G14" i="11"/>
  <c r="I21" i="10"/>
  <c r="I19" i="10"/>
  <c r="I22" i="10" s="1"/>
  <c r="H19" i="10"/>
  <c r="H22" i="10" s="1"/>
  <c r="G19" i="10"/>
  <c r="G22" i="10" s="1"/>
  <c r="I18" i="10"/>
  <c r="H18" i="10"/>
  <c r="H21" i="10" s="1"/>
  <c r="G18" i="10"/>
  <c r="G21" i="10" s="1"/>
  <c r="I17" i="10"/>
  <c r="I20" i="10" s="1"/>
  <c r="H17" i="10"/>
  <c r="H20" i="10" s="1"/>
  <c r="G17" i="10"/>
  <c r="G20" i="10" s="1"/>
  <c r="I16" i="10"/>
  <c r="H16" i="10"/>
  <c r="G16" i="10"/>
  <c r="I15" i="10"/>
  <c r="H15" i="10"/>
  <c r="G15" i="10"/>
  <c r="I14" i="10"/>
  <c r="H14" i="10"/>
  <c r="G14" i="10"/>
  <c r="G19" i="7"/>
  <c r="G22" i="7" s="1"/>
  <c r="G18" i="7"/>
  <c r="G17" i="7"/>
  <c r="G20" i="7" s="1"/>
  <c r="G21" i="7"/>
  <c r="G16" i="7"/>
  <c r="G15" i="7"/>
  <c r="G14" i="7"/>
  <c r="G19" i="6"/>
  <c r="G18" i="6"/>
  <c r="G17" i="6"/>
  <c r="G28" i="5"/>
  <c r="G27" i="5"/>
  <c r="G26" i="5"/>
  <c r="G25" i="5"/>
  <c r="G24" i="5"/>
  <c r="G23" i="5"/>
  <c r="G22" i="5"/>
  <c r="G21" i="5"/>
  <c r="P23" i="8" l="1"/>
  <c r="W23" i="8" s="1"/>
  <c r="J14" i="8"/>
  <c r="I16" i="8"/>
  <c r="I14" i="8"/>
  <c r="J16" i="8"/>
  <c r="J12" i="8"/>
  <c r="J10" i="8"/>
  <c r="I10" i="8"/>
  <c r="I12" i="8"/>
  <c r="D21" i="13"/>
  <c r="D19" i="13"/>
  <c r="E16" i="13"/>
  <c r="E15" i="13"/>
  <c r="E14" i="13"/>
  <c r="D13" i="13"/>
  <c r="E12" i="13"/>
  <c r="B45" i="4" l="1"/>
  <c r="A45" i="4"/>
  <c r="D45" i="4" s="1"/>
  <c r="H12" i="8"/>
  <c r="H10" i="8"/>
  <c r="H16" i="8"/>
  <c r="H14" i="8"/>
  <c r="C15" i="8"/>
  <c r="K28" i="9" l="1"/>
  <c r="K27" i="9"/>
  <c r="K26" i="9"/>
  <c r="K25" i="9"/>
  <c r="K24" i="9"/>
  <c r="K23" i="9"/>
  <c r="K22" i="9"/>
  <c r="K21" i="9"/>
  <c r="K20" i="9"/>
  <c r="K19" i="9"/>
  <c r="K18" i="9"/>
  <c r="K17" i="9"/>
  <c r="K16" i="9"/>
  <c r="K15" i="9"/>
  <c r="K14" i="9"/>
  <c r="K13" i="9"/>
  <c r="I27" i="5"/>
  <c r="I26" i="5"/>
  <c r="I25" i="5"/>
  <c r="I23" i="5"/>
  <c r="I22" i="5"/>
  <c r="I21" i="5"/>
  <c r="I19" i="5"/>
  <c r="I18" i="5"/>
  <c r="I17" i="5"/>
  <c r="I15" i="5"/>
  <c r="I14" i="5"/>
  <c r="I13" i="5"/>
  <c r="C42" i="8" l="1"/>
  <c r="C28" i="8"/>
  <c r="C21" i="8"/>
  <c r="C17" i="8"/>
  <c r="C14" i="8"/>
  <c r="B14" i="8" s="1"/>
  <c r="C11" i="8"/>
  <c r="K22" i="11"/>
  <c r="K21" i="11"/>
  <c r="K20" i="11"/>
  <c r="K19" i="11"/>
  <c r="K18" i="11"/>
  <c r="K17" i="11"/>
  <c r="K16" i="11"/>
  <c r="K15" i="11"/>
  <c r="K14" i="11"/>
  <c r="K13" i="11"/>
  <c r="K12" i="11"/>
  <c r="K11" i="11"/>
  <c r="I22" i="7"/>
  <c r="I21" i="7"/>
  <c r="I20" i="7"/>
  <c r="I19" i="7"/>
  <c r="I18" i="7"/>
  <c r="I17" i="7"/>
  <c r="I16" i="7"/>
  <c r="I15" i="7"/>
  <c r="I14" i="7"/>
  <c r="I13" i="7"/>
  <c r="I12" i="7"/>
  <c r="I11" i="7"/>
  <c r="K22" i="10"/>
  <c r="K21" i="10"/>
  <c r="K20" i="10"/>
  <c r="K19" i="10"/>
  <c r="K18" i="10"/>
  <c r="K17" i="10"/>
  <c r="K16" i="10"/>
  <c r="K15" i="10"/>
  <c r="K14" i="10"/>
  <c r="K13" i="10"/>
  <c r="K12" i="10"/>
  <c r="K11" i="10"/>
  <c r="I12" i="6"/>
  <c r="I13" i="6"/>
  <c r="I14" i="6"/>
  <c r="I15" i="6"/>
  <c r="I16" i="6"/>
  <c r="I17" i="6"/>
  <c r="I18" i="6"/>
  <c r="I19" i="6"/>
  <c r="I20" i="6"/>
  <c r="I21" i="6"/>
  <c r="I22" i="6"/>
  <c r="I11" i="6"/>
  <c r="I16" i="5"/>
  <c r="I20" i="5"/>
  <c r="I24" i="5"/>
  <c r="I28" i="5"/>
  <c r="C49" i="12" l="1"/>
  <c r="B28" i="8"/>
  <c r="C27" i="12"/>
  <c r="B27" i="12" s="1"/>
  <c r="B21" i="8"/>
  <c r="B42" i="8"/>
  <c r="C71" i="8"/>
  <c r="B71" i="8" s="1"/>
  <c r="C65" i="8"/>
  <c r="C66" i="8" s="1"/>
  <c r="C67" i="8" s="1"/>
  <c r="C35" i="8"/>
  <c r="B35" i="8" s="1"/>
  <c r="C16" i="8"/>
  <c r="B16" i="8" s="1"/>
  <c r="C13" i="8"/>
  <c r="C10" i="8"/>
  <c r="B10" i="8" s="1"/>
  <c r="H34" i="4"/>
  <c r="J34" i="4" s="1"/>
  <c r="H32" i="4"/>
  <c r="J32" i="4" s="1"/>
  <c r="H24" i="4"/>
  <c r="I24" i="4" s="1"/>
  <c r="H23" i="4"/>
  <c r="I23" i="4" s="1"/>
  <c r="H21" i="4"/>
  <c r="I21" i="4" s="1"/>
  <c r="H20" i="4"/>
  <c r="I20" i="4" s="1"/>
  <c r="H10" i="4"/>
  <c r="I10" i="4" s="1"/>
  <c r="H9" i="4"/>
  <c r="I9" i="4" s="1"/>
  <c r="H7" i="4"/>
  <c r="I7" i="4" s="1"/>
  <c r="H6" i="4"/>
  <c r="I6" i="4" s="1"/>
  <c r="B49" i="12" l="1"/>
  <c r="B56" i="12" s="1"/>
  <c r="C56" i="12"/>
  <c r="C57" i="12" s="1"/>
  <c r="C58" i="12" s="1"/>
  <c r="C59" i="12" s="1"/>
  <c r="C34" i="12"/>
  <c r="B34" i="12" s="1"/>
  <c r="C28" i="12"/>
  <c r="C35" i="12" s="1"/>
  <c r="C42" i="12" s="1"/>
  <c r="C50" i="12"/>
  <c r="C51" i="12" s="1"/>
  <c r="C52" i="12" s="1"/>
  <c r="C41" i="12"/>
  <c r="B41" i="12" s="1"/>
  <c r="C4" i="12"/>
  <c r="B4" i="12" s="1"/>
  <c r="C29" i="12"/>
  <c r="C29" i="8"/>
  <c r="C30" i="8" s="1"/>
  <c r="C31" i="8" s="1"/>
  <c r="C43" i="8"/>
  <c r="C44" i="8" s="1"/>
  <c r="C45" i="8" s="1"/>
  <c r="C51" i="8"/>
  <c r="C52" i="8" s="1"/>
  <c r="C53" i="8" s="1"/>
  <c r="C58" i="8"/>
  <c r="C59" i="8" s="1"/>
  <c r="C60" i="8" s="1"/>
  <c r="C22" i="8"/>
  <c r="C23" i="8" s="1"/>
  <c r="C24" i="8" s="1"/>
  <c r="C72" i="8"/>
  <c r="C73" i="8" s="1"/>
  <c r="C74" i="8" s="1"/>
  <c r="C36" i="8"/>
  <c r="C37" i="8" s="1"/>
  <c r="C38" i="8" s="1"/>
  <c r="C12" i="8"/>
  <c r="B12" i="8" s="1"/>
  <c r="C30" i="12" l="1"/>
  <c r="C37" i="12" s="1"/>
  <c r="C44" i="12" s="1"/>
  <c r="C36" i="12"/>
  <c r="C43" i="12" s="1"/>
  <c r="C11" i="12"/>
  <c r="B11" i="12" s="1"/>
  <c r="C5" i="12"/>
  <c r="C12" i="12" l="1"/>
  <c r="C20" i="12" s="1"/>
  <c r="C6" i="12"/>
  <c r="C19" i="12"/>
  <c r="B19" i="12" s="1"/>
  <c r="C13" i="12" l="1"/>
  <c r="C21" i="12" s="1"/>
  <c r="C7" i="12"/>
  <c r="C14" i="12" s="1"/>
  <c r="C22" i="12" l="1"/>
  <c r="C15"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Rocco De Miglio</author>
  </authors>
  <commentList>
    <comment ref="K9" authorId="0" shapeId="0" xr:uid="{62CEDB96-246A-4AAC-B935-7EA6B8AC0873}">
      <text>
        <r>
          <rPr>
            <b/>
            <sz val="9"/>
            <color indexed="81"/>
            <rFont val="Tahoma"/>
            <family val="2"/>
          </rPr>
          <t>Rocco De Miglio:</t>
        </r>
        <r>
          <rPr>
            <sz val="9"/>
            <color indexed="81"/>
            <rFont val="Tahoma"/>
            <family val="2"/>
          </rPr>
          <t xml:space="preserve">
Crude oil reserves are more modest (below the global top-20) at 204 Mt in 2012, with 1 700 Mt of crude oil resources</t>
        </r>
      </text>
    </comment>
    <comment ref="K21" authorId="0" shapeId="0" xr:uid="{EC508507-94BE-4161-9D57-939F14E4967F}">
      <text>
        <r>
          <rPr>
            <b/>
            <sz val="9"/>
            <color indexed="81"/>
            <rFont val="Tahoma"/>
            <family val="2"/>
          </rPr>
          <t>Rocco De Miglio:</t>
        </r>
        <r>
          <rPr>
            <sz val="9"/>
            <color indexed="81"/>
            <rFont val="Tahoma"/>
            <family val="2"/>
          </rPr>
          <t xml:space="preserve">
Kazakhstan also has significant natural gas potential.  Its proven gas reserves stand at 3 trillion cubic meters and projected reserves at 5 trillion cubic meters. The country also expects significant production of oil-associated gas that will bring 1,000 cubic meters of gas for every new ton of oil (100 million tons of new oil will lead to 100 billion cubic meters of gas).  Natural gas production is utilized for well re-injection, exports and to meet domestic consumption (liquefaction and development of internal gas pipeline infrastructure).  The country's gas output - which is mostly associated gas - is forecast to continue an upward trend, reaching 29.6bcm in 2027.</t>
        </r>
      </text>
    </comment>
    <comment ref="K23" authorId="0" shapeId="0" xr:uid="{FFE0EFFA-CE49-4202-AA18-5E39CE1027B1}">
      <text>
        <r>
          <rPr>
            <b/>
            <sz val="9"/>
            <color indexed="81"/>
            <rFont val="Tahoma"/>
            <family val="2"/>
          </rPr>
          <t>Rocco De Miglio:</t>
        </r>
        <r>
          <rPr>
            <sz val="9"/>
            <color indexed="81"/>
            <rFont val="Tahoma"/>
            <family val="2"/>
          </rPr>
          <t xml:space="preserve">
Turkmenistan is rich in gas and, to a lesser extent, oil. The country has an estimated 10 000 bcm of economically viable gas reserves and 15 000 bcm of gas resources</t>
        </r>
      </text>
    </comment>
  </commentList>
</comments>
</file>

<file path=xl/sharedStrings.xml><?xml version="1.0" encoding="utf-8"?>
<sst xmlns="http://schemas.openxmlformats.org/spreadsheetml/2006/main" count="814" uniqueCount="180">
  <si>
    <t>~UC_Sets: R_E: AllRegions</t>
  </si>
  <si>
    <t>~UC_T</t>
  </si>
  <si>
    <t>UC_N</t>
  </si>
  <si>
    <t>LimType</t>
  </si>
  <si>
    <t>OBJVAR</t>
  </si>
  <si>
    <t>N</t>
  </si>
  <si>
    <t xml:space="preserve">Oil:  </t>
  </si>
  <si>
    <t>Total proved reserves</t>
  </si>
  <si>
    <t>at end 2017</t>
  </si>
  <si>
    <t>at end 2018</t>
  </si>
  <si>
    <t>Thousand</t>
  </si>
  <si>
    <t>million</t>
  </si>
  <si>
    <t>Share</t>
  </si>
  <si>
    <t>R/P</t>
  </si>
  <si>
    <t>barrels</t>
  </si>
  <si>
    <t>tonnes</t>
  </si>
  <si>
    <t>of total</t>
  </si>
  <si>
    <t>ratio</t>
  </si>
  <si>
    <t>toe</t>
  </si>
  <si>
    <t>PJ</t>
  </si>
  <si>
    <t>Azerbaijan</t>
  </si>
  <si>
    <t>Kazakhstan</t>
  </si>
  <si>
    <t>Russian Federation</t>
  </si>
  <si>
    <t>Turkmenistan</t>
  </si>
  <si>
    <t>Uzbekistan</t>
  </si>
  <si>
    <t>Other CIS</t>
  </si>
  <si>
    <t>Total CIS</t>
  </si>
  <si>
    <t>Reserves include gas condensate and natural gas liquids (NGLs) as well as crude oil.</t>
  </si>
  <si>
    <t xml:space="preserve">Natural gas </t>
  </si>
  <si>
    <t>Trillion</t>
  </si>
  <si>
    <t>cubic</t>
  </si>
  <si>
    <t>metres</t>
  </si>
  <si>
    <t>feet</t>
  </si>
  <si>
    <t>Coal:</t>
  </si>
  <si>
    <t>Total proved reserves at end 2018</t>
  </si>
  <si>
    <t>Anthracite</t>
  </si>
  <si>
    <t>Sub-bituminous</t>
  </si>
  <si>
    <t>Million tonnes</t>
  </si>
  <si>
    <t>and bituminous</t>
  </si>
  <si>
    <t>and lignite</t>
  </si>
  <si>
    <t>Total</t>
  </si>
  <si>
    <t>Share of Total</t>
  </si>
  <si>
    <t>R/P ratio</t>
  </si>
  <si>
    <t>~TFM_INS</t>
  </si>
  <si>
    <t>TimeSlice</t>
  </si>
  <si>
    <t>Attribute</t>
  </si>
  <si>
    <t>Year</t>
  </si>
  <si>
    <t>Curr</t>
  </si>
  <si>
    <t>KZK</t>
  </si>
  <si>
    <t>Pset_PN</t>
  </si>
  <si>
    <t>Cset_CN</t>
  </si>
  <si>
    <t>CUM</t>
  </si>
  <si>
    <t>COST</t>
  </si>
  <si>
    <t>UP</t>
  </si>
  <si>
    <t>ACT_BND</t>
  </si>
  <si>
    <t>Natural Gas Reserves</t>
  </si>
  <si>
    <t>Associated Natural Gas Reserves</t>
  </si>
  <si>
    <t>Oil reserves</t>
  </si>
  <si>
    <t>Natural gas liquids reserves</t>
  </si>
  <si>
    <t>=relaxation factor, +/-</t>
  </si>
  <si>
    <t>~UC_SETS: R_S: KZK</t>
  </si>
  <si>
    <t>PSet: PN</t>
  </si>
  <si>
    <t>PSet: CO</t>
  </si>
  <si>
    <t>Cset: CN</t>
  </si>
  <si>
    <t>UC_ACT~2030</t>
  </si>
  <si>
    <t>UC_ACT~2050</t>
  </si>
  <si>
    <t>UC_RHSRTS</t>
  </si>
  <si>
    <t>UC_RHSRTS~0</t>
  </si>
  <si>
    <t>UC_Desc</t>
  </si>
  <si>
    <t>LO</t>
  </si>
  <si>
    <t>~UC_Sets: R_S: KZK</t>
  </si>
  <si>
    <t>UC_ACT</t>
  </si>
  <si>
    <t>UZB</t>
  </si>
  <si>
    <t>AZJ</t>
  </si>
  <si>
    <t>TKM</t>
  </si>
  <si>
    <t>MINCOACOK01</t>
  </si>
  <si>
    <t>MINCOACOK02</t>
  </si>
  <si>
    <t>MINRSVGASNAT1</t>
  </si>
  <si>
    <t>MINRSVGASNAT2</t>
  </si>
  <si>
    <t>MINRSVGASNAT3</t>
  </si>
  <si>
    <t>MINRSVGASNAA1</t>
  </si>
  <si>
    <t>MINRSVGASNAA2</t>
  </si>
  <si>
    <t>MINRSVGASNAA3</t>
  </si>
  <si>
    <t>MINRSVOILCRD1</t>
  </si>
  <si>
    <t>MINRSVOILCRD2</t>
  </si>
  <si>
    <t>MINRSVOILCRD3</t>
  </si>
  <si>
    <t>MINOILNGL1</t>
  </si>
  <si>
    <t>MINOILNGL2</t>
  </si>
  <si>
    <t>MINOILNGL3</t>
  </si>
  <si>
    <t>MINRSVCOABIC01</t>
  </si>
  <si>
    <t>MINRSVCOASUB01</t>
  </si>
  <si>
    <t>MINRSVCOABCO01</t>
  </si>
  <si>
    <t>MINRSVCOABIC02</t>
  </si>
  <si>
    <t>MINRSVCOASUB02</t>
  </si>
  <si>
    <t>MINRSVCOABCO02</t>
  </si>
  <si>
    <t>RDM: 2020</t>
  </si>
  <si>
    <t>=ratio GANNAA/OILCRD</t>
  </si>
  <si>
    <t>=ratio OINNGL/GANNAT</t>
  </si>
  <si>
    <t>UC_ACT~2017</t>
  </si>
  <si>
    <t>RDM to be revised according to the balance</t>
  </si>
  <si>
    <t>Coking coal</t>
  </si>
  <si>
    <t>Other bituminous coal</t>
  </si>
  <si>
    <t>Sub-bituminous coal</t>
  </si>
  <si>
    <t>Lignite</t>
  </si>
  <si>
    <t>COKCOAL</t>
  </si>
  <si>
    <t>BITCOAL</t>
  </si>
  <si>
    <t>SUBCOAL</t>
  </si>
  <si>
    <t>LIGNITE</t>
  </si>
  <si>
    <t>ktoe</t>
  </si>
  <si>
    <t>Default Units</t>
  </si>
  <si>
    <t>BASE_YEAR</t>
  </si>
  <si>
    <t>Energy</t>
  </si>
  <si>
    <t>END_YEAR</t>
  </si>
  <si>
    <t>Currency Unit</t>
  </si>
  <si>
    <t>M$</t>
  </si>
  <si>
    <t>Emissions</t>
  </si>
  <si>
    <t>Gg</t>
  </si>
  <si>
    <t>Capacity</t>
  </si>
  <si>
    <t>GW</t>
  </si>
  <si>
    <t>Units by Attribute and Sector</t>
  </si>
  <si>
    <t>Meaning</t>
  </si>
  <si>
    <t>Sector</t>
  </si>
  <si>
    <t>Units</t>
  </si>
  <si>
    <t>Equivalent</t>
  </si>
  <si>
    <t>COMEMI</t>
  </si>
  <si>
    <t>Emission Coefficient</t>
  </si>
  <si>
    <t>All</t>
  </si>
  <si>
    <t>kg/GJ</t>
  </si>
  <si>
    <t>Extraction cost/Import Cost/Export cost</t>
  </si>
  <si>
    <t>Mining</t>
  </si>
  <si>
    <t>$/GJ</t>
  </si>
  <si>
    <t>Annual Bound</t>
  </si>
  <si>
    <t>FIXOM</t>
  </si>
  <si>
    <t>Fixed O&amp;M Cost</t>
  </si>
  <si>
    <t>$/GJ/a</t>
  </si>
  <si>
    <t>VAROM</t>
  </si>
  <si>
    <t>Variable O&amp;M Cost</t>
  </si>
  <si>
    <t>PRC_CAPACT</t>
  </si>
  <si>
    <t>Capacity to Activity</t>
  </si>
  <si>
    <t>GJ/kW</t>
  </si>
  <si>
    <t>PRC_RESID</t>
  </si>
  <si>
    <t>Existing Capacity</t>
  </si>
  <si>
    <t>Transport</t>
  </si>
  <si>
    <t>000s Units</t>
  </si>
  <si>
    <t>Energy/Unit - delivered/year</t>
  </si>
  <si>
    <t>NCAP_TLIFE</t>
  </si>
  <si>
    <t>Technical Lifetime</t>
  </si>
  <si>
    <t>Years</t>
  </si>
  <si>
    <t>Generic processes</t>
  </si>
  <si>
    <t>Mtoe</t>
  </si>
  <si>
    <t>Crude oil production reaches peak in 2035 (115Mtoe)</t>
  </si>
  <si>
    <t>Associated</t>
  </si>
  <si>
    <t>Conventional</t>
  </si>
  <si>
    <t>Reserve+Additional resource</t>
  </si>
  <si>
    <t>Reserve+Additional resource (including unconventional)</t>
  </si>
  <si>
    <t>Coal Reserves</t>
  </si>
  <si>
    <t>LPG</t>
  </si>
  <si>
    <t>bcm/y</t>
  </si>
  <si>
    <t>Check (extraction plan)</t>
  </si>
  <si>
    <t>Check (gasification / extraction plan)</t>
  </si>
  <si>
    <t>BY</t>
  </si>
  <si>
    <t>UC_RHSR</t>
  </si>
  <si>
    <t>RDM: rate (Max) 1% per year</t>
  </si>
  <si>
    <t xml:space="preserve">ktoe </t>
  </si>
  <si>
    <t>Balance 2017</t>
  </si>
  <si>
    <t>GAS</t>
  </si>
  <si>
    <t>Liquids/Oil</t>
  </si>
  <si>
    <t>Coal</t>
  </si>
  <si>
    <t>+10% in 2020</t>
  </si>
  <si>
    <t>RDM: some sources report that the gas production is declining, while exports obligations increasing</t>
  </si>
  <si>
    <t>RDM: no further increase in gas production is assumed</t>
  </si>
  <si>
    <t>OLD assumption</t>
  </si>
  <si>
    <t>RDM: *5 adjusted for TKM (based on resources)</t>
  </si>
  <si>
    <t>RDM: relaxed *3 UZB</t>
  </si>
  <si>
    <t>to balance the stat difference</t>
  </si>
  <si>
    <t>RDM: *3 adjusted for AZJ/UZB (based on resources)</t>
  </si>
  <si>
    <t>RDM: relaxed *3 AZJ</t>
  </si>
  <si>
    <r>
      <t xml:space="preserve">~UC_Sets: R_S: </t>
    </r>
    <r>
      <rPr>
        <b/>
        <sz val="10"/>
        <color theme="1"/>
        <rFont val="Arial"/>
        <family val="2"/>
      </rPr>
      <t>AZJ</t>
    </r>
  </si>
  <si>
    <r>
      <t xml:space="preserve">~UC_Sets: R_S: </t>
    </r>
    <r>
      <rPr>
        <b/>
        <sz val="10"/>
        <color theme="1"/>
        <rFont val="Arial"/>
        <family val="2"/>
      </rPr>
      <t>TKM</t>
    </r>
  </si>
  <si>
    <r>
      <t xml:space="preserve">~UC_Sets: R_S: </t>
    </r>
    <r>
      <rPr>
        <b/>
        <sz val="10"/>
        <color theme="1"/>
        <rFont val="Arial"/>
        <family val="2"/>
      </rPr>
      <t>UZB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</si>
</sst>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gt;0.05]0.0;[=0]\-;\^"/>
    <numFmt numFmtId="165" formatCode="[&lt;-0.0005]\-0.0%;[&gt;0.0005]0.0%;#\♦"/>
    <numFmt numFmtId="166" formatCode="[&lt;500]0.0;[=0]\-;&quot;*&quot;"/>
    <numFmt numFmtId="167" formatCode="0.0"/>
    <numFmt numFmtId="168" formatCode="[&gt;=0.05]0;[=0]\-;\^"/>
    <numFmt numFmtId="169" formatCode="[&lt;=500]0;[=0]\-;&quot;*&quot;"/>
    <numFmt numFmtId="170" formatCode="0.0000"/>
  </numFmts>
  <fonts count="24" x14ac:knownFonts="1">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1"/>
      <color rgb="FF000000"/>
      <name val="Calibri"/>
      <family val="2"/>
    </font>
    <font>
      <sz val="11"/>
      <name val="Calibri"/>
      <family val="2"/>
    </font>
    <font>
      <sz val="10"/>
      <color theme="1"/>
      <name val="Arial"/>
      <family val="2"/>
    </font>
    <font>
      <b/>
      <sz val="10"/>
      <color theme="1"/>
      <name val="Arial"/>
      <family val="2"/>
    </font>
    <font>
      <b/>
      <sz val="9"/>
      <color indexed="81"/>
      <name val="Tahoma"/>
      <family val="2"/>
    </font>
    <font>
      <sz val="9"/>
      <color indexed="81"/>
      <name val="Tahoma"/>
      <family val="2"/>
    </font>
    <font>
      <sz val="11"/>
      <color rgb="FF006100"/>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2"/>
      <name val="Calibri"/>
      <family val="2"/>
      <scheme val="minor"/>
    </font>
    <font>
      <sz val="12"/>
      <name val="Calibri"/>
      <family val="2"/>
      <scheme val="minor"/>
    </font>
    <font>
      <b/>
      <sz val="11"/>
      <name val="Calibri"/>
      <family val="2"/>
      <scheme val="minor"/>
    </font>
    <font>
      <i/>
      <sz val="10"/>
      <color theme="1"/>
      <name val="Arial"/>
      <family val="2"/>
    </font>
    <font>
      <sz val="8"/>
      <color theme="1"/>
      <name val="Arial"/>
      <family val="2"/>
    </font>
    <font>
      <sz val="9"/>
      <color theme="1"/>
      <name val="Arial"/>
      <family val="2"/>
    </font>
    <font>
      <sz val="11"/>
      <color theme="1"/>
      <name val="Arial"/>
      <family val="2"/>
    </font>
    <font>
      <b/>
      <sz val="11"/>
      <color theme="1"/>
      <name val="Arial"/>
      <family val="2"/>
    </font>
    <font>
      <i/>
      <sz val="9"/>
      <color theme="1"/>
      <name val="Arial"/>
      <family val="2"/>
    </font>
  </fonts>
  <fills count="7">
    <fill>
      <patternFill patternType="none"/>
    </fill>
    <fill>
      <patternFill patternType="gray125"/>
    </fill>
    <fill>
      <patternFill patternType="solid">
        <fgColor rgb="FF99CCFF"/>
        <bgColor indexed="64"/>
      </patternFill>
    </fill>
    <fill>
      <patternFill patternType="solid">
        <fgColor rgb="FFC6EFCE"/>
      </patternFill>
    </fill>
    <fill>
      <patternFill patternType="solid">
        <fgColor theme="5"/>
      </patternFill>
    </fill>
    <fill>
      <patternFill patternType="solid">
        <fgColor theme="4"/>
        <bgColor indexed="64"/>
      </patternFill>
    </fill>
    <fill>
      <patternFill patternType="solid">
        <fgColor theme="4" tint="0.79998168889431442"/>
        <bgColor indexed="64"/>
      </patternFill>
    </fill>
  </fills>
  <borders count="6">
    <border>
      <left/>
      <right/>
      <top/>
      <bottom/>
      <diagonal/>
    </border>
    <border>
      <left/>
      <right/>
      <top style="medium">
        <color indexed="64"/>
      </top>
      <bottom style="medium">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0">
    <xf numFmtId="0" fontId="0" fillId="0" borderId="0"/>
    <xf numFmtId="0" fontId="2" fillId="0" borderId="0"/>
    <xf numFmtId="0" fontId="4" fillId="0" borderId="0"/>
    <xf numFmtId="9" fontId="2"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0" fontId="2" fillId="0" borderId="0"/>
    <xf numFmtId="0" fontId="11" fillId="3" borderId="0" applyNumberFormat="0" applyBorder="0" applyAlignment="0" applyProtection="0"/>
    <xf numFmtId="0" fontId="13" fillId="4" borderId="0" applyNumberFormat="0" applyBorder="0" applyAlignment="0" applyProtection="0"/>
  </cellStyleXfs>
  <cellXfs count="78">
    <xf numFmtId="0" fontId="0" fillId="0" borderId="0" xfId="0"/>
    <xf numFmtId="0" fontId="2" fillId="0" borderId="0" xfId="1"/>
    <xf numFmtId="0" fontId="4" fillId="0" borderId="0" xfId="2"/>
    <xf numFmtId="0" fontId="6" fillId="0" borderId="0" xfId="2" applyFont="1"/>
    <xf numFmtId="0" fontId="5" fillId="0" borderId="0" xfId="2" applyFont="1"/>
    <xf numFmtId="0" fontId="3" fillId="2" borderId="1" xfId="2" applyFont="1" applyFill="1" applyBorder="1"/>
    <xf numFmtId="0" fontId="5" fillId="0" borderId="0" xfId="2" applyFont="1" applyAlignment="1">
      <alignment horizontal="right"/>
    </xf>
    <xf numFmtId="0" fontId="12" fillId="5" borderId="0" xfId="9" applyFont="1" applyFill="1" applyAlignment="1"/>
    <xf numFmtId="0" fontId="13" fillId="5" borderId="0" xfId="9" applyFill="1" applyAlignment="1"/>
    <xf numFmtId="0" fontId="14" fillId="6" borderId="0" xfId="9" applyFont="1" applyFill="1" applyAlignment="1"/>
    <xf numFmtId="0" fontId="0" fillId="0" borderId="0" xfId="0" applyAlignment="1">
      <alignment horizontal="right"/>
    </xf>
    <xf numFmtId="0" fontId="15" fillId="6" borderId="0" xfId="8" applyFont="1" applyFill="1" applyAlignment="1">
      <alignment horizontal="center"/>
    </xf>
    <xf numFmtId="0" fontId="16" fillId="6" borderId="0" xfId="8" applyFont="1" applyFill="1" applyAlignment="1">
      <alignment horizontal="center"/>
    </xf>
    <xf numFmtId="0" fontId="17" fillId="6" borderId="0" xfId="9" applyFont="1" applyFill="1" applyAlignment="1">
      <alignment horizontal="left"/>
    </xf>
    <xf numFmtId="0" fontId="17" fillId="6" borderId="0" xfId="9" applyFont="1" applyFill="1" applyAlignment="1"/>
    <xf numFmtId="0" fontId="14" fillId="6" borderId="0" xfId="9" applyFont="1" applyFill="1" applyAlignment="1">
      <alignment horizontal="center"/>
    </xf>
    <xf numFmtId="0" fontId="5" fillId="0" borderId="0" xfId="2" applyFont="1"/>
    <xf numFmtId="0" fontId="7" fillId="0" borderId="0" xfId="1" applyFont="1" applyFill="1" applyAlignment="1">
      <alignment horizontal="right"/>
    </xf>
    <xf numFmtId="0" fontId="7" fillId="0" borderId="0" xfId="1" applyFont="1" applyFill="1"/>
    <xf numFmtId="0" fontId="8" fillId="0" borderId="0" xfId="1" applyFont="1" applyFill="1" applyAlignment="1">
      <alignment horizontal="right"/>
    </xf>
    <xf numFmtId="164" fontId="7" fillId="0" borderId="2" xfId="1" applyNumberFormat="1" applyFont="1" applyFill="1" applyBorder="1" applyAlignment="1">
      <alignment horizontal="right"/>
    </xf>
    <xf numFmtId="164" fontId="7" fillId="0" borderId="0" xfId="1" applyNumberFormat="1" applyFont="1" applyFill="1" applyAlignment="1">
      <alignment horizontal="right"/>
    </xf>
    <xf numFmtId="165" fontId="7" fillId="0" borderId="0" xfId="1" applyNumberFormat="1" applyFont="1" applyFill="1" applyAlignment="1">
      <alignment horizontal="right"/>
    </xf>
    <xf numFmtId="166" fontId="7" fillId="0" borderId="0" xfId="1" applyNumberFormat="1" applyFont="1" applyFill="1" applyAlignment="1">
      <alignment horizontal="right"/>
    </xf>
    <xf numFmtId="1" fontId="8" fillId="0" borderId="0" xfId="1" applyNumberFormat="1" applyFont="1" applyFill="1"/>
    <xf numFmtId="0" fontId="8" fillId="0" borderId="0" xfId="1" applyFont="1" applyFill="1"/>
    <xf numFmtId="0" fontId="7" fillId="0" borderId="3" xfId="1" applyFont="1" applyFill="1" applyBorder="1"/>
    <xf numFmtId="164" fontId="7" fillId="0" borderId="4" xfId="1" applyNumberFormat="1" applyFont="1" applyFill="1" applyBorder="1" applyAlignment="1">
      <alignment horizontal="right"/>
    </xf>
    <xf numFmtId="164" fontId="7" fillId="0" borderId="3" xfId="1" applyNumberFormat="1" applyFont="1" applyFill="1" applyBorder="1" applyAlignment="1">
      <alignment horizontal="right"/>
    </xf>
    <xf numFmtId="165" fontId="7" fillId="0" borderId="3" xfId="1" applyNumberFormat="1" applyFont="1" applyFill="1" applyBorder="1" applyAlignment="1">
      <alignment horizontal="right"/>
    </xf>
    <xf numFmtId="166" fontId="7" fillId="0" borderId="3" xfId="1" applyNumberFormat="1" applyFont="1" applyFill="1" applyBorder="1" applyAlignment="1">
      <alignment horizontal="right"/>
    </xf>
    <xf numFmtId="0" fontId="18" fillId="0" borderId="0" xfId="1" applyFont="1" applyFill="1"/>
    <xf numFmtId="16" fontId="7" fillId="0" borderId="0" xfId="1" applyNumberFormat="1" applyFont="1" applyFill="1"/>
    <xf numFmtId="165" fontId="7" fillId="0" borderId="0" xfId="3" applyNumberFormat="1" applyFont="1" applyFill="1" applyAlignment="1">
      <alignment horizontal="right"/>
    </xf>
    <xf numFmtId="167" fontId="7" fillId="0" borderId="0" xfId="1" applyNumberFormat="1" applyFont="1" applyFill="1"/>
    <xf numFmtId="165" fontId="7" fillId="0" borderId="3" xfId="3" applyNumberFormat="1" applyFont="1" applyFill="1" applyBorder="1" applyAlignment="1">
      <alignment horizontal="right"/>
    </xf>
    <xf numFmtId="168" fontId="7" fillId="0" borderId="0" xfId="1" applyNumberFormat="1" applyFont="1" applyFill="1"/>
    <xf numFmtId="168" fontId="19" fillId="0" borderId="0" xfId="1" applyNumberFormat="1" applyFont="1" applyFill="1"/>
    <xf numFmtId="165" fontId="7" fillId="0" borderId="0" xfId="1" applyNumberFormat="1" applyFont="1" applyFill="1"/>
    <xf numFmtId="169" fontId="7" fillId="0" borderId="0" xfId="1" applyNumberFormat="1" applyFont="1" applyFill="1"/>
    <xf numFmtId="0" fontId="19" fillId="0" borderId="3" xfId="1" applyFont="1" applyFill="1" applyBorder="1"/>
    <xf numFmtId="168" fontId="7" fillId="0" borderId="3" xfId="1" applyNumberFormat="1" applyFont="1" applyFill="1" applyBorder="1"/>
    <xf numFmtId="168" fontId="19" fillId="0" borderId="3" xfId="1" applyNumberFormat="1" applyFont="1" applyFill="1" applyBorder="1"/>
    <xf numFmtId="165" fontId="7" fillId="0" borderId="3" xfId="1" applyNumberFormat="1" applyFont="1" applyFill="1" applyBorder="1"/>
    <xf numFmtId="169" fontId="7" fillId="0" borderId="3" xfId="1" applyNumberFormat="1" applyFont="1" applyFill="1" applyBorder="1"/>
    <xf numFmtId="0" fontId="20" fillId="0" borderId="0" xfId="4" applyFont="1" applyFill="1"/>
    <xf numFmtId="0" fontId="21" fillId="0" borderId="5" xfId="1" applyFont="1" applyFill="1" applyBorder="1" applyAlignment="1">
      <alignment vertical="center"/>
    </xf>
    <xf numFmtId="0" fontId="20" fillId="0" borderId="0" xfId="4" applyFont="1" applyFill="1" applyAlignment="1">
      <alignment horizontal="left" indent="4"/>
    </xf>
    <xf numFmtId="167" fontId="20" fillId="0" borderId="0" xfId="4" applyNumberFormat="1" applyFont="1" applyFill="1"/>
    <xf numFmtId="1" fontId="20" fillId="0" borderId="0" xfId="4" applyNumberFormat="1" applyFont="1" applyFill="1"/>
    <xf numFmtId="0" fontId="1" fillId="0" borderId="0" xfId="2" applyFont="1" applyFill="1"/>
    <xf numFmtId="170" fontId="1" fillId="0" borderId="0" xfId="2" applyNumberFormat="1" applyFont="1" applyFill="1"/>
    <xf numFmtId="167" fontId="1" fillId="0" borderId="0" xfId="2" applyNumberFormat="1" applyFont="1" applyFill="1"/>
    <xf numFmtId="0" fontId="7" fillId="0" borderId="0" xfId="2" applyFont="1" applyFill="1"/>
    <xf numFmtId="167" fontId="7" fillId="0" borderId="0" xfId="2" applyNumberFormat="1" applyFont="1" applyFill="1"/>
    <xf numFmtId="0" fontId="20" fillId="0" borderId="0" xfId="5" applyFont="1" applyFill="1"/>
    <xf numFmtId="2" fontId="20" fillId="0" borderId="0" xfId="5" applyNumberFormat="1" applyFont="1" applyFill="1"/>
    <xf numFmtId="0" fontId="20" fillId="0" borderId="0" xfId="5" quotePrefix="1" applyFont="1" applyFill="1"/>
    <xf numFmtId="9" fontId="7" fillId="0" borderId="0" xfId="2" applyNumberFormat="1" applyFont="1" applyFill="1"/>
    <xf numFmtId="0" fontId="7" fillId="0" borderId="0" xfId="2" quotePrefix="1" applyFont="1" applyFill="1"/>
    <xf numFmtId="0" fontId="7" fillId="0" borderId="5" xfId="2" applyFont="1" applyFill="1" applyBorder="1"/>
    <xf numFmtId="2" fontId="7" fillId="0" borderId="0" xfId="2" applyNumberFormat="1" applyFont="1" applyFill="1"/>
    <xf numFmtId="0" fontId="7" fillId="0" borderId="0" xfId="2" applyFont="1" applyFill="1" applyAlignment="1">
      <alignment horizontal="center"/>
    </xf>
    <xf numFmtId="1" fontId="7" fillId="0" borderId="0" xfId="2" applyNumberFormat="1" applyFont="1" applyFill="1" applyAlignment="1">
      <alignment horizontal="left"/>
    </xf>
    <xf numFmtId="1" fontId="7" fillId="0" borderId="0" xfId="2" applyNumberFormat="1" applyFont="1" applyFill="1"/>
    <xf numFmtId="0" fontId="7" fillId="0" borderId="0" xfId="2" applyFont="1" applyFill="1" applyAlignment="1"/>
    <xf numFmtId="0" fontId="20" fillId="0" borderId="0" xfId="7" applyFont="1" applyFill="1"/>
    <xf numFmtId="0" fontId="22" fillId="0" borderId="5" xfId="1" applyFont="1" applyFill="1" applyBorder="1" applyAlignment="1">
      <alignment vertical="center"/>
    </xf>
    <xf numFmtId="167" fontId="23" fillId="0" borderId="0" xfId="4" applyNumberFormat="1" applyFont="1" applyFill="1"/>
    <xf numFmtId="0" fontId="7" fillId="0" borderId="0" xfId="1" applyFont="1" applyFill="1" applyAlignment="1">
      <alignment horizontal="center"/>
    </xf>
    <xf numFmtId="1" fontId="20" fillId="0" borderId="0" xfId="7" applyNumberFormat="1" applyFont="1" applyFill="1"/>
    <xf numFmtId="2" fontId="7" fillId="0" borderId="0" xfId="1" applyNumberFormat="1" applyFont="1" applyFill="1"/>
    <xf numFmtId="0" fontId="7" fillId="0" borderId="0" xfId="1" quotePrefix="1" applyFont="1" applyFill="1"/>
    <xf numFmtId="0" fontId="20" fillId="0" borderId="3" xfId="7" applyFont="1" applyFill="1" applyBorder="1"/>
    <xf numFmtId="167" fontId="20" fillId="0" borderId="3" xfId="7" applyNumberFormat="1" applyFont="1" applyFill="1" applyBorder="1"/>
    <xf numFmtId="1" fontId="20" fillId="0" borderId="3" xfId="7" applyNumberFormat="1" applyFont="1" applyFill="1" applyBorder="1"/>
    <xf numFmtId="167" fontId="20" fillId="0" borderId="0" xfId="7" applyNumberFormat="1" applyFont="1" applyFill="1"/>
    <xf numFmtId="167" fontId="7" fillId="0" borderId="3" xfId="1" applyNumberFormat="1" applyFont="1" applyFill="1" applyBorder="1"/>
  </cellXfs>
  <cellStyles count="10">
    <cellStyle name="Accent2" xfId="9" builtinId="33"/>
    <cellStyle name="Good" xfId="8" builtinId="26"/>
    <cellStyle name="Normal" xfId="0" builtinId="0"/>
    <cellStyle name="Normal 2" xfId="1" xr:uid="{6D886EB7-C176-4EE3-BB34-1E55B83DF467}"/>
    <cellStyle name="Normal 2 2" xfId="2" xr:uid="{706D40ED-5061-4AC7-904A-022D9F04A475}"/>
    <cellStyle name="Percent 2" xfId="3" xr:uid="{171498B9-6E2D-46EB-B35B-1E5A30EC6EB9}"/>
    <cellStyle name="Percent 2 2" xfId="6" xr:uid="{27A9FA64-E8D1-470E-A764-24066C706922}"/>
    <cellStyle name="Standard_Sce_D_Extraction" xfId="7" xr:uid="{C2763E29-03F1-4F98-A1CC-12D02F1EEAAC}"/>
    <cellStyle name="Standard_Sce_D_Extraction 2 2" xfId="5" xr:uid="{4B393DA7-D46D-4793-859A-A63B7334FE76}"/>
    <cellStyle name="Standard_Sce_D_Extraction 3" xfId="4" xr:uid="{9F0B7C5F-91AD-4B46-BAC1-74286AB9323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408216</xdr:colOff>
      <xdr:row>33</xdr:row>
      <xdr:rowOff>1</xdr:rowOff>
    </xdr:from>
    <xdr:to>
      <xdr:col>31</xdr:col>
      <xdr:colOff>222085</xdr:colOff>
      <xdr:row>46</xdr:row>
      <xdr:rowOff>81643</xdr:rowOff>
    </xdr:to>
    <xdr:pic>
      <xdr:nvPicPr>
        <xdr:cNvPr id="2" name="Picture 1">
          <a:extLst>
            <a:ext uri="{FF2B5EF4-FFF2-40B4-BE49-F238E27FC236}">
              <a16:creationId xmlns:a16="http://schemas.microsoft.com/office/drawing/2014/main" id="{735D2B7B-49DB-405E-BCC1-0FB8CDC59F93}"/>
            </a:ext>
          </a:extLst>
        </xdr:cNvPr>
        <xdr:cNvPicPr>
          <a:picLocks noChangeAspect="1"/>
        </xdr:cNvPicPr>
      </xdr:nvPicPr>
      <xdr:blipFill>
        <a:blip xmlns:r="http://schemas.openxmlformats.org/officeDocument/2006/relationships" r:embed="rId1"/>
        <a:stretch>
          <a:fillRect/>
        </a:stretch>
      </xdr:blipFill>
      <xdr:spPr>
        <a:xfrm>
          <a:off x="14614073" y="5606144"/>
          <a:ext cx="8590476" cy="2204356"/>
        </a:xfrm>
        <a:prstGeom prst="rect">
          <a:avLst/>
        </a:prstGeom>
      </xdr:spPr>
    </xdr:pic>
    <xdr:clientData/>
  </xdr:twoCellAnchor>
  <xdr:twoCellAnchor>
    <xdr:from>
      <xdr:col>16</xdr:col>
      <xdr:colOff>122465</xdr:colOff>
      <xdr:row>33</xdr:row>
      <xdr:rowOff>13607</xdr:rowOff>
    </xdr:from>
    <xdr:to>
      <xdr:col>16</xdr:col>
      <xdr:colOff>421823</xdr:colOff>
      <xdr:row>46</xdr:row>
      <xdr:rowOff>136072</xdr:rowOff>
    </xdr:to>
    <xdr:sp macro="" textlink="">
      <xdr:nvSpPr>
        <xdr:cNvPr id="3" name="Left Brace 2">
          <a:extLst>
            <a:ext uri="{FF2B5EF4-FFF2-40B4-BE49-F238E27FC236}">
              <a16:creationId xmlns:a16="http://schemas.microsoft.com/office/drawing/2014/main" id="{26C51ABE-B4E4-496D-9CD9-6ECD8A36C01E}"/>
            </a:ext>
          </a:extLst>
        </xdr:cNvPr>
        <xdr:cNvSpPr/>
      </xdr:nvSpPr>
      <xdr:spPr>
        <a:xfrm>
          <a:off x="14328322" y="5619750"/>
          <a:ext cx="299358" cy="224517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27214</xdr:colOff>
      <xdr:row>2</xdr:row>
      <xdr:rowOff>13608</xdr:rowOff>
    </xdr:from>
    <xdr:to>
      <xdr:col>10</xdr:col>
      <xdr:colOff>408214</xdr:colOff>
      <xdr:row>22</xdr:row>
      <xdr:rowOff>149678</xdr:rowOff>
    </xdr:to>
    <xdr:sp macro="" textlink="">
      <xdr:nvSpPr>
        <xdr:cNvPr id="2" name="Right Brace 1">
          <a:extLst>
            <a:ext uri="{FF2B5EF4-FFF2-40B4-BE49-F238E27FC236}">
              <a16:creationId xmlns:a16="http://schemas.microsoft.com/office/drawing/2014/main" id="{32B67283-6252-4F28-AC8D-F682DE251BA3}"/>
            </a:ext>
          </a:extLst>
        </xdr:cNvPr>
        <xdr:cNvSpPr/>
      </xdr:nvSpPr>
      <xdr:spPr>
        <a:xfrm>
          <a:off x="8803821" y="340179"/>
          <a:ext cx="381000" cy="340178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13607</xdr:colOff>
      <xdr:row>23</xdr:row>
      <xdr:rowOff>13607</xdr:rowOff>
    </xdr:from>
    <xdr:to>
      <xdr:col>10</xdr:col>
      <xdr:colOff>394607</xdr:colOff>
      <xdr:row>59</xdr:row>
      <xdr:rowOff>149679</xdr:rowOff>
    </xdr:to>
    <xdr:sp macro="" textlink="">
      <xdr:nvSpPr>
        <xdr:cNvPr id="3" name="Right Brace 2">
          <a:extLst>
            <a:ext uri="{FF2B5EF4-FFF2-40B4-BE49-F238E27FC236}">
              <a16:creationId xmlns:a16="http://schemas.microsoft.com/office/drawing/2014/main" id="{F3E425CE-3490-4A22-99A3-F6A2D33389DE}"/>
            </a:ext>
          </a:extLst>
        </xdr:cNvPr>
        <xdr:cNvSpPr/>
      </xdr:nvSpPr>
      <xdr:spPr>
        <a:xfrm>
          <a:off x="8790214" y="3769178"/>
          <a:ext cx="381000" cy="4871358"/>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59</xdr:row>
      <xdr:rowOff>149680</xdr:rowOff>
    </xdr:from>
    <xdr:to>
      <xdr:col>10</xdr:col>
      <xdr:colOff>381000</xdr:colOff>
      <xdr:row>75</xdr:row>
      <xdr:rowOff>13608</xdr:rowOff>
    </xdr:to>
    <xdr:sp macro="" textlink="">
      <xdr:nvSpPr>
        <xdr:cNvPr id="4" name="Right Brace 3">
          <a:extLst>
            <a:ext uri="{FF2B5EF4-FFF2-40B4-BE49-F238E27FC236}">
              <a16:creationId xmlns:a16="http://schemas.microsoft.com/office/drawing/2014/main" id="{35825DB6-F441-4FCD-AD9C-32E202CEEA76}"/>
            </a:ext>
          </a:extLst>
        </xdr:cNvPr>
        <xdr:cNvSpPr/>
      </xdr:nvSpPr>
      <xdr:spPr>
        <a:xfrm>
          <a:off x="8776607" y="8640537"/>
          <a:ext cx="381000" cy="24765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0A00F-8657-418A-8D5C-D70EB6248588}">
  <dimension ref="A1:D4"/>
  <sheetViews>
    <sheetView zoomScale="85" zoomScaleNormal="85" workbookViewId="0">
      <selection activeCell="M35" activeCellId="1" sqref="G39 M35"/>
    </sheetView>
  </sheetViews>
  <sheetFormatPr defaultRowHeight="13.2" x14ac:dyDescent="0.25"/>
  <cols>
    <col min="1" max="1" width="9.109375" style="1"/>
    <col min="2" max="2" width="8.88671875" style="1" bestFit="1" customWidth="1"/>
    <col min="3" max="3" width="9.6640625" style="1" bestFit="1" customWidth="1"/>
    <col min="4" max="257" width="9.109375" style="1"/>
    <col min="258" max="258" width="8.88671875" style="1" bestFit="1" customWidth="1"/>
    <col min="259" max="259" width="9.6640625" style="1" bestFit="1" customWidth="1"/>
    <col min="260" max="513" width="9.109375" style="1"/>
    <col min="514" max="514" width="8.88671875" style="1" bestFit="1" customWidth="1"/>
    <col min="515" max="515" width="9.6640625" style="1" bestFit="1" customWidth="1"/>
    <col min="516" max="769" width="9.109375" style="1"/>
    <col min="770" max="770" width="8.88671875" style="1" bestFit="1" customWidth="1"/>
    <col min="771" max="771" width="9.6640625" style="1" bestFit="1" customWidth="1"/>
    <col min="772" max="1025" width="9.109375" style="1"/>
    <col min="1026" max="1026" width="8.88671875" style="1" bestFit="1" customWidth="1"/>
    <col min="1027" max="1027" width="9.6640625" style="1" bestFit="1" customWidth="1"/>
    <col min="1028" max="1281" width="9.109375" style="1"/>
    <col min="1282" max="1282" width="8.88671875" style="1" bestFit="1" customWidth="1"/>
    <col min="1283" max="1283" width="9.6640625" style="1" bestFit="1" customWidth="1"/>
    <col min="1284" max="1537" width="9.109375" style="1"/>
    <col min="1538" max="1538" width="8.88671875" style="1" bestFit="1" customWidth="1"/>
    <col min="1539" max="1539" width="9.6640625" style="1" bestFit="1" customWidth="1"/>
    <col min="1540" max="1793" width="9.109375" style="1"/>
    <col min="1794" max="1794" width="8.88671875" style="1" bestFit="1" customWidth="1"/>
    <col min="1795" max="1795" width="9.6640625" style="1" bestFit="1" customWidth="1"/>
    <col min="1796" max="2049" width="9.109375" style="1"/>
    <col min="2050" max="2050" width="8.88671875" style="1" bestFit="1" customWidth="1"/>
    <col min="2051" max="2051" width="9.6640625" style="1" bestFit="1" customWidth="1"/>
    <col min="2052" max="2305" width="9.109375" style="1"/>
    <col min="2306" max="2306" width="8.88671875" style="1" bestFit="1" customWidth="1"/>
    <col min="2307" max="2307" width="9.6640625" style="1" bestFit="1" customWidth="1"/>
    <col min="2308" max="2561" width="9.109375" style="1"/>
    <col min="2562" max="2562" width="8.88671875" style="1" bestFit="1" customWidth="1"/>
    <col min="2563" max="2563" width="9.6640625" style="1" bestFit="1" customWidth="1"/>
    <col min="2564" max="2817" width="9.109375" style="1"/>
    <col min="2818" max="2818" width="8.88671875" style="1" bestFit="1" customWidth="1"/>
    <col min="2819" max="2819" width="9.6640625" style="1" bestFit="1" customWidth="1"/>
    <col min="2820" max="3073" width="9.109375" style="1"/>
    <col min="3074" max="3074" width="8.88671875" style="1" bestFit="1" customWidth="1"/>
    <col min="3075" max="3075" width="9.6640625" style="1" bestFit="1" customWidth="1"/>
    <col min="3076" max="3329" width="9.109375" style="1"/>
    <col min="3330" max="3330" width="8.88671875" style="1" bestFit="1" customWidth="1"/>
    <col min="3331" max="3331" width="9.6640625" style="1" bestFit="1" customWidth="1"/>
    <col min="3332" max="3585" width="9.109375" style="1"/>
    <col min="3586" max="3586" width="8.88671875" style="1" bestFit="1" customWidth="1"/>
    <col min="3587" max="3587" width="9.6640625" style="1" bestFit="1" customWidth="1"/>
    <col min="3588" max="3841" width="9.109375" style="1"/>
    <col min="3842" max="3842" width="8.88671875" style="1" bestFit="1" customWidth="1"/>
    <col min="3843" max="3843" width="9.6640625" style="1" bestFit="1" customWidth="1"/>
    <col min="3844" max="4097" width="9.109375" style="1"/>
    <col min="4098" max="4098" width="8.88671875" style="1" bestFit="1" customWidth="1"/>
    <col min="4099" max="4099" width="9.6640625" style="1" bestFit="1" customWidth="1"/>
    <col min="4100" max="4353" width="9.109375" style="1"/>
    <col min="4354" max="4354" width="8.88671875" style="1" bestFit="1" customWidth="1"/>
    <col min="4355" max="4355" width="9.6640625" style="1" bestFit="1" customWidth="1"/>
    <col min="4356" max="4609" width="9.109375" style="1"/>
    <col min="4610" max="4610" width="8.88671875" style="1" bestFit="1" customWidth="1"/>
    <col min="4611" max="4611" width="9.6640625" style="1" bestFit="1" customWidth="1"/>
    <col min="4612" max="4865" width="9.109375" style="1"/>
    <col min="4866" max="4866" width="8.88671875" style="1" bestFit="1" customWidth="1"/>
    <col min="4867" max="4867" width="9.6640625" style="1" bestFit="1" customWidth="1"/>
    <col min="4868" max="5121" width="9.109375" style="1"/>
    <col min="5122" max="5122" width="8.88671875" style="1" bestFit="1" customWidth="1"/>
    <col min="5123" max="5123" width="9.6640625" style="1" bestFit="1" customWidth="1"/>
    <col min="5124" max="5377" width="9.109375" style="1"/>
    <col min="5378" max="5378" width="8.88671875" style="1" bestFit="1" customWidth="1"/>
    <col min="5379" max="5379" width="9.6640625" style="1" bestFit="1" customWidth="1"/>
    <col min="5380" max="5633" width="9.109375" style="1"/>
    <col min="5634" max="5634" width="8.88671875" style="1" bestFit="1" customWidth="1"/>
    <col min="5635" max="5635" width="9.6640625" style="1" bestFit="1" customWidth="1"/>
    <col min="5636" max="5889" width="9.109375" style="1"/>
    <col min="5890" max="5890" width="8.88671875" style="1" bestFit="1" customWidth="1"/>
    <col min="5891" max="5891" width="9.6640625" style="1" bestFit="1" customWidth="1"/>
    <col min="5892" max="6145" width="9.109375" style="1"/>
    <col min="6146" max="6146" width="8.88671875" style="1" bestFit="1" customWidth="1"/>
    <col min="6147" max="6147" width="9.6640625" style="1" bestFit="1" customWidth="1"/>
    <col min="6148" max="6401" width="9.109375" style="1"/>
    <col min="6402" max="6402" width="8.88671875" style="1" bestFit="1" customWidth="1"/>
    <col min="6403" max="6403" width="9.6640625" style="1" bestFit="1" customWidth="1"/>
    <col min="6404" max="6657" width="9.109375" style="1"/>
    <col min="6658" max="6658" width="8.88671875" style="1" bestFit="1" customWidth="1"/>
    <col min="6659" max="6659" width="9.6640625" style="1" bestFit="1" customWidth="1"/>
    <col min="6660" max="6913" width="9.109375" style="1"/>
    <col min="6914" max="6914" width="8.88671875" style="1" bestFit="1" customWidth="1"/>
    <col min="6915" max="6915" width="9.6640625" style="1" bestFit="1" customWidth="1"/>
    <col min="6916" max="7169" width="9.109375" style="1"/>
    <col min="7170" max="7170" width="8.88671875" style="1" bestFit="1" customWidth="1"/>
    <col min="7171" max="7171" width="9.6640625" style="1" bestFit="1" customWidth="1"/>
    <col min="7172" max="7425" width="9.109375" style="1"/>
    <col min="7426" max="7426" width="8.88671875" style="1" bestFit="1" customWidth="1"/>
    <col min="7427" max="7427" width="9.6640625" style="1" bestFit="1" customWidth="1"/>
    <col min="7428" max="7681" width="9.109375" style="1"/>
    <col min="7682" max="7682" width="8.88671875" style="1" bestFit="1" customWidth="1"/>
    <col min="7683" max="7683" width="9.6640625" style="1" bestFit="1" customWidth="1"/>
    <col min="7684" max="7937" width="9.109375" style="1"/>
    <col min="7938" max="7938" width="8.88671875" style="1" bestFit="1" customWidth="1"/>
    <col min="7939" max="7939" width="9.6640625" style="1" bestFit="1" customWidth="1"/>
    <col min="7940" max="8193" width="9.109375" style="1"/>
    <col min="8194" max="8194" width="8.88671875" style="1" bestFit="1" customWidth="1"/>
    <col min="8195" max="8195" width="9.6640625" style="1" bestFit="1" customWidth="1"/>
    <col min="8196" max="8449" width="9.109375" style="1"/>
    <col min="8450" max="8450" width="8.88671875" style="1" bestFit="1" customWidth="1"/>
    <col min="8451" max="8451" width="9.6640625" style="1" bestFit="1" customWidth="1"/>
    <col min="8452" max="8705" width="9.109375" style="1"/>
    <col min="8706" max="8706" width="8.88671875" style="1" bestFit="1" customWidth="1"/>
    <col min="8707" max="8707" width="9.6640625" style="1" bestFit="1" customWidth="1"/>
    <col min="8708" max="8961" width="9.109375" style="1"/>
    <col min="8962" max="8962" width="8.88671875" style="1" bestFit="1" customWidth="1"/>
    <col min="8963" max="8963" width="9.6640625" style="1" bestFit="1" customWidth="1"/>
    <col min="8964" max="9217" width="9.109375" style="1"/>
    <col min="9218" max="9218" width="8.88671875" style="1" bestFit="1" customWidth="1"/>
    <col min="9219" max="9219" width="9.6640625" style="1" bestFit="1" customWidth="1"/>
    <col min="9220" max="9473" width="9.109375" style="1"/>
    <col min="9474" max="9474" width="8.88671875" style="1" bestFit="1" customWidth="1"/>
    <col min="9475" max="9475" width="9.6640625" style="1" bestFit="1" customWidth="1"/>
    <col min="9476" max="9729" width="9.109375" style="1"/>
    <col min="9730" max="9730" width="8.88671875" style="1" bestFit="1" customWidth="1"/>
    <col min="9731" max="9731" width="9.6640625" style="1" bestFit="1" customWidth="1"/>
    <col min="9732" max="9985" width="9.109375" style="1"/>
    <col min="9986" max="9986" width="8.88671875" style="1" bestFit="1" customWidth="1"/>
    <col min="9987" max="9987" width="9.6640625" style="1" bestFit="1" customWidth="1"/>
    <col min="9988" max="10241" width="9.109375" style="1"/>
    <col min="10242" max="10242" width="8.88671875" style="1" bestFit="1" customWidth="1"/>
    <col min="10243" max="10243" width="9.6640625" style="1" bestFit="1" customWidth="1"/>
    <col min="10244" max="10497" width="9.109375" style="1"/>
    <col min="10498" max="10498" width="8.88671875" style="1" bestFit="1" customWidth="1"/>
    <col min="10499" max="10499" width="9.6640625" style="1" bestFit="1" customWidth="1"/>
    <col min="10500" max="10753" width="9.109375" style="1"/>
    <col min="10754" max="10754" width="8.88671875" style="1" bestFit="1" customWidth="1"/>
    <col min="10755" max="10755" width="9.6640625" style="1" bestFit="1" customWidth="1"/>
    <col min="10756" max="11009" width="9.109375" style="1"/>
    <col min="11010" max="11010" width="8.88671875" style="1" bestFit="1" customWidth="1"/>
    <col min="11011" max="11011" width="9.6640625" style="1" bestFit="1" customWidth="1"/>
    <col min="11012" max="11265" width="9.109375" style="1"/>
    <col min="11266" max="11266" width="8.88671875" style="1" bestFit="1" customWidth="1"/>
    <col min="11267" max="11267" width="9.6640625" style="1" bestFit="1" customWidth="1"/>
    <col min="11268" max="11521" width="9.109375" style="1"/>
    <col min="11522" max="11522" width="8.88671875" style="1" bestFit="1" customWidth="1"/>
    <col min="11523" max="11523" width="9.6640625" style="1" bestFit="1" customWidth="1"/>
    <col min="11524" max="11777" width="9.109375" style="1"/>
    <col min="11778" max="11778" width="8.88671875" style="1" bestFit="1" customWidth="1"/>
    <col min="11779" max="11779" width="9.6640625" style="1" bestFit="1" customWidth="1"/>
    <col min="11780" max="12033" width="9.109375" style="1"/>
    <col min="12034" max="12034" width="8.88671875" style="1" bestFit="1" customWidth="1"/>
    <col min="12035" max="12035" width="9.6640625" style="1" bestFit="1" customWidth="1"/>
    <col min="12036" max="12289" width="9.109375" style="1"/>
    <col min="12290" max="12290" width="8.88671875" style="1" bestFit="1" customWidth="1"/>
    <col min="12291" max="12291" width="9.6640625" style="1" bestFit="1" customWidth="1"/>
    <col min="12292" max="12545" width="9.109375" style="1"/>
    <col min="12546" max="12546" width="8.88671875" style="1" bestFit="1" customWidth="1"/>
    <col min="12547" max="12547" width="9.6640625" style="1" bestFit="1" customWidth="1"/>
    <col min="12548" max="12801" width="9.109375" style="1"/>
    <col min="12802" max="12802" width="8.88671875" style="1" bestFit="1" customWidth="1"/>
    <col min="12803" max="12803" width="9.6640625" style="1" bestFit="1" customWidth="1"/>
    <col min="12804" max="13057" width="9.109375" style="1"/>
    <col min="13058" max="13058" width="8.88671875" style="1" bestFit="1" customWidth="1"/>
    <col min="13059" max="13059" width="9.6640625" style="1" bestFit="1" customWidth="1"/>
    <col min="13060" max="13313" width="9.109375" style="1"/>
    <col min="13314" max="13314" width="8.88671875" style="1" bestFit="1" customWidth="1"/>
    <col min="13315" max="13315" width="9.6640625" style="1" bestFit="1" customWidth="1"/>
    <col min="13316" max="13569" width="9.109375" style="1"/>
    <col min="13570" max="13570" width="8.88671875" style="1" bestFit="1" customWidth="1"/>
    <col min="13571" max="13571" width="9.6640625" style="1" bestFit="1" customWidth="1"/>
    <col min="13572" max="13825" width="9.109375" style="1"/>
    <col min="13826" max="13826" width="8.88671875" style="1" bestFit="1" customWidth="1"/>
    <col min="13827" max="13827" width="9.6640625" style="1" bestFit="1" customWidth="1"/>
    <col min="13828" max="14081" width="9.109375" style="1"/>
    <col min="14082" max="14082" width="8.88671875" style="1" bestFit="1" customWidth="1"/>
    <col min="14083" max="14083" width="9.6640625" style="1" bestFit="1" customWidth="1"/>
    <col min="14084" max="14337" width="9.109375" style="1"/>
    <col min="14338" max="14338" width="8.88671875" style="1" bestFit="1" customWidth="1"/>
    <col min="14339" max="14339" width="9.6640625" style="1" bestFit="1" customWidth="1"/>
    <col min="14340" max="14593" width="9.109375" style="1"/>
    <col min="14594" max="14594" width="8.88671875" style="1" bestFit="1" customWidth="1"/>
    <col min="14595" max="14595" width="9.6640625" style="1" bestFit="1" customWidth="1"/>
    <col min="14596" max="14849" width="9.109375" style="1"/>
    <col min="14850" max="14850" width="8.88671875" style="1" bestFit="1" customWidth="1"/>
    <col min="14851" max="14851" width="9.6640625" style="1" bestFit="1" customWidth="1"/>
    <col min="14852" max="15105" width="9.109375" style="1"/>
    <col min="15106" max="15106" width="8.88671875" style="1" bestFit="1" customWidth="1"/>
    <col min="15107" max="15107" width="9.6640625" style="1" bestFit="1" customWidth="1"/>
    <col min="15108" max="15361" width="9.109375" style="1"/>
    <col min="15362" max="15362" width="8.88671875" style="1" bestFit="1" customWidth="1"/>
    <col min="15363" max="15363" width="9.6640625" style="1" bestFit="1" customWidth="1"/>
    <col min="15364" max="15617" width="9.109375" style="1"/>
    <col min="15618" max="15618" width="8.88671875" style="1" bestFit="1" customWidth="1"/>
    <col min="15619" max="15619" width="9.6640625" style="1" bestFit="1" customWidth="1"/>
    <col min="15620" max="15873" width="9.109375" style="1"/>
    <col min="15874" max="15874" width="8.88671875" style="1" bestFit="1" customWidth="1"/>
    <col min="15875" max="15875" width="9.6640625" style="1" bestFit="1" customWidth="1"/>
    <col min="15876" max="16129" width="9.109375" style="1"/>
    <col min="16130" max="16130" width="8.88671875" style="1" bestFit="1" customWidth="1"/>
    <col min="16131" max="16131" width="9.6640625" style="1" bestFit="1" customWidth="1"/>
    <col min="16132" max="16384" width="9.109375" style="1"/>
  </cols>
  <sheetData>
    <row r="1" spans="1:4" ht="14.4" x14ac:dyDescent="0.3">
      <c r="A1" s="16" t="s">
        <v>0</v>
      </c>
      <c r="B1" s="16"/>
      <c r="C1" s="16"/>
      <c r="D1" s="2"/>
    </row>
    <row r="2" spans="1:4" ht="15" thickBot="1" x14ac:dyDescent="0.35">
      <c r="A2" s="3"/>
      <c r="B2" s="4" t="s">
        <v>1</v>
      </c>
      <c r="C2" s="3"/>
      <c r="D2" s="2"/>
    </row>
    <row r="3" spans="1:4" ht="13.8" thickBot="1" x14ac:dyDescent="0.3">
      <c r="A3" s="5" t="s">
        <v>2</v>
      </c>
      <c r="B3" s="5" t="s">
        <v>3</v>
      </c>
      <c r="C3" s="5" t="s">
        <v>161</v>
      </c>
      <c r="D3" s="2"/>
    </row>
    <row r="4" spans="1:4" ht="14.4" x14ac:dyDescent="0.3">
      <c r="A4" s="4" t="s">
        <v>4</v>
      </c>
      <c r="B4" s="4" t="s">
        <v>5</v>
      </c>
      <c r="C4" s="6">
        <v>-1</v>
      </c>
      <c r="D4" s="2"/>
    </row>
  </sheetData>
  <mergeCells count="1">
    <mergeCell ref="A1:C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AAC6E-D830-4892-B75E-438184AE4A05}">
  <dimension ref="A1:S75"/>
  <sheetViews>
    <sheetView tabSelected="1" topLeftCell="A33" zoomScale="70" zoomScaleNormal="70" workbookViewId="0">
      <selection activeCell="N1" sqref="N1"/>
    </sheetView>
  </sheetViews>
  <sheetFormatPr defaultRowHeight="13.2" x14ac:dyDescent="0.25"/>
  <cols>
    <col min="1" max="1" width="9.109375" style="18"/>
    <col min="2" max="2" width="26" style="18" bestFit="1" customWidth="1"/>
    <col min="3" max="3" width="23.88671875" style="18" bestFit="1" customWidth="1"/>
    <col min="4" max="6" width="9.109375" style="18"/>
    <col min="7" max="7" width="12.109375" style="18" bestFit="1" customWidth="1"/>
    <col min="8" max="8" width="14.44140625" style="18" bestFit="1" customWidth="1"/>
    <col min="9" max="10" width="9.109375" style="18"/>
    <col min="11" max="11" width="37.109375" style="18" customWidth="1"/>
    <col min="12" max="257" width="9.109375" style="18"/>
    <col min="258" max="258" width="22.6640625" style="18" customWidth="1"/>
    <col min="259" max="259" width="10.5546875" style="18" customWidth="1"/>
    <col min="260" max="266" width="9.109375" style="18"/>
    <col min="267" max="267" width="37.109375" style="18" customWidth="1"/>
    <col min="268" max="513" width="9.109375" style="18"/>
    <col min="514" max="514" width="22.6640625" style="18" customWidth="1"/>
    <col min="515" max="515" width="10.5546875" style="18" customWidth="1"/>
    <col min="516" max="522" width="9.109375" style="18"/>
    <col min="523" max="523" width="37.109375" style="18" customWidth="1"/>
    <col min="524" max="769" width="9.109375" style="18"/>
    <col min="770" max="770" width="22.6640625" style="18" customWidth="1"/>
    <col min="771" max="771" width="10.5546875" style="18" customWidth="1"/>
    <col min="772" max="778" width="9.109375" style="18"/>
    <col min="779" max="779" width="37.109375" style="18" customWidth="1"/>
    <col min="780" max="1025" width="9.109375" style="18"/>
    <col min="1026" max="1026" width="22.6640625" style="18" customWidth="1"/>
    <col min="1027" max="1027" width="10.5546875" style="18" customWidth="1"/>
    <col min="1028" max="1034" width="9.109375" style="18"/>
    <col min="1035" max="1035" width="37.109375" style="18" customWidth="1"/>
    <col min="1036" max="1281" width="9.109375" style="18"/>
    <col min="1282" max="1282" width="22.6640625" style="18" customWidth="1"/>
    <col min="1283" max="1283" width="10.5546875" style="18" customWidth="1"/>
    <col min="1284" max="1290" width="9.109375" style="18"/>
    <col min="1291" max="1291" width="37.109375" style="18" customWidth="1"/>
    <col min="1292" max="1537" width="9.109375" style="18"/>
    <col min="1538" max="1538" width="22.6640625" style="18" customWidth="1"/>
    <col min="1539" max="1539" width="10.5546875" style="18" customWidth="1"/>
    <col min="1540" max="1546" width="9.109375" style="18"/>
    <col min="1547" max="1547" width="37.109375" style="18" customWidth="1"/>
    <col min="1548" max="1793" width="9.109375" style="18"/>
    <col min="1794" max="1794" width="22.6640625" style="18" customWidth="1"/>
    <col min="1795" max="1795" width="10.5546875" style="18" customWidth="1"/>
    <col min="1796" max="1802" width="9.109375" style="18"/>
    <col min="1803" max="1803" width="37.109375" style="18" customWidth="1"/>
    <col min="1804" max="2049" width="9.109375" style="18"/>
    <col min="2050" max="2050" width="22.6640625" style="18" customWidth="1"/>
    <col min="2051" max="2051" width="10.5546875" style="18" customWidth="1"/>
    <col min="2052" max="2058" width="9.109375" style="18"/>
    <col min="2059" max="2059" width="37.109375" style="18" customWidth="1"/>
    <col min="2060" max="2305" width="9.109375" style="18"/>
    <col min="2306" max="2306" width="22.6640625" style="18" customWidth="1"/>
    <col min="2307" max="2307" width="10.5546875" style="18" customWidth="1"/>
    <col min="2308" max="2314" width="9.109375" style="18"/>
    <col min="2315" max="2315" width="37.109375" style="18" customWidth="1"/>
    <col min="2316" max="2561" width="9.109375" style="18"/>
    <col min="2562" max="2562" width="22.6640625" style="18" customWidth="1"/>
    <col min="2563" max="2563" width="10.5546875" style="18" customWidth="1"/>
    <col min="2564" max="2570" width="9.109375" style="18"/>
    <col min="2571" max="2571" width="37.109375" style="18" customWidth="1"/>
    <col min="2572" max="2817" width="9.109375" style="18"/>
    <col min="2818" max="2818" width="22.6640625" style="18" customWidth="1"/>
    <col min="2819" max="2819" width="10.5546875" style="18" customWidth="1"/>
    <col min="2820" max="2826" width="9.109375" style="18"/>
    <col min="2827" max="2827" width="37.109375" style="18" customWidth="1"/>
    <col min="2828" max="3073" width="9.109375" style="18"/>
    <col min="3074" max="3074" width="22.6640625" style="18" customWidth="1"/>
    <col min="3075" max="3075" width="10.5546875" style="18" customWidth="1"/>
    <col min="3076" max="3082" width="9.109375" style="18"/>
    <col min="3083" max="3083" width="37.109375" style="18" customWidth="1"/>
    <col min="3084" max="3329" width="9.109375" style="18"/>
    <col min="3330" max="3330" width="22.6640625" style="18" customWidth="1"/>
    <col min="3331" max="3331" width="10.5546875" style="18" customWidth="1"/>
    <col min="3332" max="3338" width="9.109375" style="18"/>
    <col min="3339" max="3339" width="37.109375" style="18" customWidth="1"/>
    <col min="3340" max="3585" width="9.109375" style="18"/>
    <col min="3586" max="3586" width="22.6640625" style="18" customWidth="1"/>
    <col min="3587" max="3587" width="10.5546875" style="18" customWidth="1"/>
    <col min="3588" max="3594" width="9.109375" style="18"/>
    <col min="3595" max="3595" width="37.109375" style="18" customWidth="1"/>
    <col min="3596" max="3841" width="9.109375" style="18"/>
    <col min="3842" max="3842" width="22.6640625" style="18" customWidth="1"/>
    <col min="3843" max="3843" width="10.5546875" style="18" customWidth="1"/>
    <col min="3844" max="3850" width="9.109375" style="18"/>
    <col min="3851" max="3851" width="37.109375" style="18" customWidth="1"/>
    <col min="3852" max="4097" width="9.109375" style="18"/>
    <col min="4098" max="4098" width="22.6640625" style="18" customWidth="1"/>
    <col min="4099" max="4099" width="10.5546875" style="18" customWidth="1"/>
    <col min="4100" max="4106" width="9.109375" style="18"/>
    <col min="4107" max="4107" width="37.109375" style="18" customWidth="1"/>
    <col min="4108" max="4353" width="9.109375" style="18"/>
    <col min="4354" max="4354" width="22.6640625" style="18" customWidth="1"/>
    <col min="4355" max="4355" width="10.5546875" style="18" customWidth="1"/>
    <col min="4356" max="4362" width="9.109375" style="18"/>
    <col min="4363" max="4363" width="37.109375" style="18" customWidth="1"/>
    <col min="4364" max="4609" width="9.109375" style="18"/>
    <col min="4610" max="4610" width="22.6640625" style="18" customWidth="1"/>
    <col min="4611" max="4611" width="10.5546875" style="18" customWidth="1"/>
    <col min="4612" max="4618" width="9.109375" style="18"/>
    <col min="4619" max="4619" width="37.109375" style="18" customWidth="1"/>
    <col min="4620" max="4865" width="9.109375" style="18"/>
    <col min="4866" max="4866" width="22.6640625" style="18" customWidth="1"/>
    <col min="4867" max="4867" width="10.5546875" style="18" customWidth="1"/>
    <col min="4868" max="4874" width="9.109375" style="18"/>
    <col min="4875" max="4875" width="37.109375" style="18" customWidth="1"/>
    <col min="4876" max="5121" width="9.109375" style="18"/>
    <col min="5122" max="5122" width="22.6640625" style="18" customWidth="1"/>
    <col min="5123" max="5123" width="10.5546875" style="18" customWidth="1"/>
    <col min="5124" max="5130" width="9.109375" style="18"/>
    <col min="5131" max="5131" width="37.109375" style="18" customWidth="1"/>
    <col min="5132" max="5377" width="9.109375" style="18"/>
    <col min="5378" max="5378" width="22.6640625" style="18" customWidth="1"/>
    <col min="5379" max="5379" width="10.5546875" style="18" customWidth="1"/>
    <col min="5380" max="5386" width="9.109375" style="18"/>
    <col min="5387" max="5387" width="37.109375" style="18" customWidth="1"/>
    <col min="5388" max="5633" width="9.109375" style="18"/>
    <col min="5634" max="5634" width="22.6640625" style="18" customWidth="1"/>
    <col min="5635" max="5635" width="10.5546875" style="18" customWidth="1"/>
    <col min="5636" max="5642" width="9.109375" style="18"/>
    <col min="5643" max="5643" width="37.109375" style="18" customWidth="1"/>
    <col min="5644" max="5889" width="9.109375" style="18"/>
    <col min="5890" max="5890" width="22.6640625" style="18" customWidth="1"/>
    <col min="5891" max="5891" width="10.5546875" style="18" customWidth="1"/>
    <col min="5892" max="5898" width="9.109375" style="18"/>
    <col min="5899" max="5899" width="37.109375" style="18" customWidth="1"/>
    <col min="5900" max="6145" width="9.109375" style="18"/>
    <col min="6146" max="6146" width="22.6640625" style="18" customWidth="1"/>
    <col min="6147" max="6147" width="10.5546875" style="18" customWidth="1"/>
    <col min="6148" max="6154" width="9.109375" style="18"/>
    <col min="6155" max="6155" width="37.109375" style="18" customWidth="1"/>
    <col min="6156" max="6401" width="9.109375" style="18"/>
    <col min="6402" max="6402" width="22.6640625" style="18" customWidth="1"/>
    <col min="6403" max="6403" width="10.5546875" style="18" customWidth="1"/>
    <col min="6404" max="6410" width="9.109375" style="18"/>
    <col min="6411" max="6411" width="37.109375" style="18" customWidth="1"/>
    <col min="6412" max="6657" width="9.109375" style="18"/>
    <col min="6658" max="6658" width="22.6640625" style="18" customWidth="1"/>
    <col min="6659" max="6659" width="10.5546875" style="18" customWidth="1"/>
    <col min="6660" max="6666" width="9.109375" style="18"/>
    <col min="6667" max="6667" width="37.109375" style="18" customWidth="1"/>
    <col min="6668" max="6913" width="9.109375" style="18"/>
    <col min="6914" max="6914" width="22.6640625" style="18" customWidth="1"/>
    <col min="6915" max="6915" width="10.5546875" style="18" customWidth="1"/>
    <col min="6916" max="6922" width="9.109375" style="18"/>
    <col min="6923" max="6923" width="37.109375" style="18" customWidth="1"/>
    <col min="6924" max="7169" width="9.109375" style="18"/>
    <col min="7170" max="7170" width="22.6640625" style="18" customWidth="1"/>
    <col min="7171" max="7171" width="10.5546875" style="18" customWidth="1"/>
    <col min="7172" max="7178" width="9.109375" style="18"/>
    <col min="7179" max="7179" width="37.109375" style="18" customWidth="1"/>
    <col min="7180" max="7425" width="9.109375" style="18"/>
    <col min="7426" max="7426" width="22.6640625" style="18" customWidth="1"/>
    <col min="7427" max="7427" width="10.5546875" style="18" customWidth="1"/>
    <col min="7428" max="7434" width="9.109375" style="18"/>
    <col min="7435" max="7435" width="37.109375" style="18" customWidth="1"/>
    <col min="7436" max="7681" width="9.109375" style="18"/>
    <col min="7682" max="7682" width="22.6640625" style="18" customWidth="1"/>
    <col min="7683" max="7683" width="10.5546875" style="18" customWidth="1"/>
    <col min="7684" max="7690" width="9.109375" style="18"/>
    <col min="7691" max="7691" width="37.109375" style="18" customWidth="1"/>
    <col min="7692" max="7937" width="9.109375" style="18"/>
    <col min="7938" max="7938" width="22.6640625" style="18" customWidth="1"/>
    <col min="7939" max="7939" width="10.5546875" style="18" customWidth="1"/>
    <col min="7940" max="7946" width="9.109375" style="18"/>
    <col min="7947" max="7947" width="37.109375" style="18" customWidth="1"/>
    <col min="7948" max="8193" width="9.109375" style="18"/>
    <col min="8194" max="8194" width="22.6640625" style="18" customWidth="1"/>
    <col min="8195" max="8195" width="10.5546875" style="18" customWidth="1"/>
    <col min="8196" max="8202" width="9.109375" style="18"/>
    <col min="8203" max="8203" width="37.109375" style="18" customWidth="1"/>
    <col min="8204" max="8449" width="9.109375" style="18"/>
    <col min="8450" max="8450" width="22.6640625" style="18" customWidth="1"/>
    <col min="8451" max="8451" width="10.5546875" style="18" customWidth="1"/>
    <col min="8452" max="8458" width="9.109375" style="18"/>
    <col min="8459" max="8459" width="37.109375" style="18" customWidth="1"/>
    <col min="8460" max="8705" width="9.109375" style="18"/>
    <col min="8706" max="8706" width="22.6640625" style="18" customWidth="1"/>
    <col min="8707" max="8707" width="10.5546875" style="18" customWidth="1"/>
    <col min="8708" max="8714" width="9.109375" style="18"/>
    <col min="8715" max="8715" width="37.109375" style="18" customWidth="1"/>
    <col min="8716" max="8961" width="9.109375" style="18"/>
    <col min="8962" max="8962" width="22.6640625" style="18" customWidth="1"/>
    <col min="8963" max="8963" width="10.5546875" style="18" customWidth="1"/>
    <col min="8964" max="8970" width="9.109375" style="18"/>
    <col min="8971" max="8971" width="37.109375" style="18" customWidth="1"/>
    <col min="8972" max="9217" width="9.109375" style="18"/>
    <col min="9218" max="9218" width="22.6640625" style="18" customWidth="1"/>
    <col min="9219" max="9219" width="10.5546875" style="18" customWidth="1"/>
    <col min="9220" max="9226" width="9.109375" style="18"/>
    <col min="9227" max="9227" width="37.109375" style="18" customWidth="1"/>
    <col min="9228" max="9473" width="9.109375" style="18"/>
    <col min="9474" max="9474" width="22.6640625" style="18" customWidth="1"/>
    <col min="9475" max="9475" width="10.5546875" style="18" customWidth="1"/>
    <col min="9476" max="9482" width="9.109375" style="18"/>
    <col min="9483" max="9483" width="37.109375" style="18" customWidth="1"/>
    <col min="9484" max="9729" width="9.109375" style="18"/>
    <col min="9730" max="9730" width="22.6640625" style="18" customWidth="1"/>
    <col min="9731" max="9731" width="10.5546875" style="18" customWidth="1"/>
    <col min="9732" max="9738" width="9.109375" style="18"/>
    <col min="9739" max="9739" width="37.109375" style="18" customWidth="1"/>
    <col min="9740" max="9985" width="9.109375" style="18"/>
    <col min="9986" max="9986" width="22.6640625" style="18" customWidth="1"/>
    <col min="9987" max="9987" width="10.5546875" style="18" customWidth="1"/>
    <col min="9988" max="9994" width="9.109375" style="18"/>
    <col min="9995" max="9995" width="37.109375" style="18" customWidth="1"/>
    <col min="9996" max="10241" width="9.109375" style="18"/>
    <col min="10242" max="10242" width="22.6640625" style="18" customWidth="1"/>
    <col min="10243" max="10243" width="10.5546875" style="18" customWidth="1"/>
    <col min="10244" max="10250" width="9.109375" style="18"/>
    <col min="10251" max="10251" width="37.109375" style="18" customWidth="1"/>
    <col min="10252" max="10497" width="9.109375" style="18"/>
    <col min="10498" max="10498" width="22.6640625" style="18" customWidth="1"/>
    <col min="10499" max="10499" width="10.5546875" style="18" customWidth="1"/>
    <col min="10500" max="10506" width="9.109375" style="18"/>
    <col min="10507" max="10507" width="37.109375" style="18" customWidth="1"/>
    <col min="10508" max="10753" width="9.109375" style="18"/>
    <col min="10754" max="10754" width="22.6640625" style="18" customWidth="1"/>
    <col min="10755" max="10755" width="10.5546875" style="18" customWidth="1"/>
    <col min="10756" max="10762" width="9.109375" style="18"/>
    <col min="10763" max="10763" width="37.109375" style="18" customWidth="1"/>
    <col min="10764" max="11009" width="9.109375" style="18"/>
    <col min="11010" max="11010" width="22.6640625" style="18" customWidth="1"/>
    <col min="11011" max="11011" width="10.5546875" style="18" customWidth="1"/>
    <col min="11012" max="11018" width="9.109375" style="18"/>
    <col min="11019" max="11019" width="37.109375" style="18" customWidth="1"/>
    <col min="11020" max="11265" width="9.109375" style="18"/>
    <col min="11266" max="11266" width="22.6640625" style="18" customWidth="1"/>
    <col min="11267" max="11267" width="10.5546875" style="18" customWidth="1"/>
    <col min="11268" max="11274" width="9.109375" style="18"/>
    <col min="11275" max="11275" width="37.109375" style="18" customWidth="1"/>
    <col min="11276" max="11521" width="9.109375" style="18"/>
    <col min="11522" max="11522" width="22.6640625" style="18" customWidth="1"/>
    <col min="11523" max="11523" width="10.5546875" style="18" customWidth="1"/>
    <col min="11524" max="11530" width="9.109375" style="18"/>
    <col min="11531" max="11531" width="37.109375" style="18" customWidth="1"/>
    <col min="11532" max="11777" width="9.109375" style="18"/>
    <col min="11778" max="11778" width="22.6640625" style="18" customWidth="1"/>
    <col min="11779" max="11779" width="10.5546875" style="18" customWidth="1"/>
    <col min="11780" max="11786" width="9.109375" style="18"/>
    <col min="11787" max="11787" width="37.109375" style="18" customWidth="1"/>
    <col min="11788" max="12033" width="9.109375" style="18"/>
    <col min="12034" max="12034" width="22.6640625" style="18" customWidth="1"/>
    <col min="12035" max="12035" width="10.5546875" style="18" customWidth="1"/>
    <col min="12036" max="12042" width="9.109375" style="18"/>
    <col min="12043" max="12043" width="37.109375" style="18" customWidth="1"/>
    <col min="12044" max="12289" width="9.109375" style="18"/>
    <col min="12290" max="12290" width="22.6640625" style="18" customWidth="1"/>
    <col min="12291" max="12291" width="10.5546875" style="18" customWidth="1"/>
    <col min="12292" max="12298" width="9.109375" style="18"/>
    <col min="12299" max="12299" width="37.109375" style="18" customWidth="1"/>
    <col min="12300" max="12545" width="9.109375" style="18"/>
    <col min="12546" max="12546" width="22.6640625" style="18" customWidth="1"/>
    <col min="12547" max="12547" width="10.5546875" style="18" customWidth="1"/>
    <col min="12548" max="12554" width="9.109375" style="18"/>
    <col min="12555" max="12555" width="37.109375" style="18" customWidth="1"/>
    <col min="12556" max="12801" width="9.109375" style="18"/>
    <col min="12802" max="12802" width="22.6640625" style="18" customWidth="1"/>
    <col min="12803" max="12803" width="10.5546875" style="18" customWidth="1"/>
    <col min="12804" max="12810" width="9.109375" style="18"/>
    <col min="12811" max="12811" width="37.109375" style="18" customWidth="1"/>
    <col min="12812" max="13057" width="9.109375" style="18"/>
    <col min="13058" max="13058" width="22.6640625" style="18" customWidth="1"/>
    <col min="13059" max="13059" width="10.5546875" style="18" customWidth="1"/>
    <col min="13060" max="13066" width="9.109375" style="18"/>
    <col min="13067" max="13067" width="37.109375" style="18" customWidth="1"/>
    <col min="13068" max="13313" width="9.109375" style="18"/>
    <col min="13314" max="13314" width="22.6640625" style="18" customWidth="1"/>
    <col min="13315" max="13315" width="10.5546875" style="18" customWidth="1"/>
    <col min="13316" max="13322" width="9.109375" style="18"/>
    <col min="13323" max="13323" width="37.109375" style="18" customWidth="1"/>
    <col min="13324" max="13569" width="9.109375" style="18"/>
    <col min="13570" max="13570" width="22.6640625" style="18" customWidth="1"/>
    <col min="13571" max="13571" width="10.5546875" style="18" customWidth="1"/>
    <col min="13572" max="13578" width="9.109375" style="18"/>
    <col min="13579" max="13579" width="37.109375" style="18" customWidth="1"/>
    <col min="13580" max="13825" width="9.109375" style="18"/>
    <col min="13826" max="13826" width="22.6640625" style="18" customWidth="1"/>
    <col min="13827" max="13827" width="10.5546875" style="18" customWidth="1"/>
    <col min="13828" max="13834" width="9.109375" style="18"/>
    <col min="13835" max="13835" width="37.109375" style="18" customWidth="1"/>
    <col min="13836" max="14081" width="9.109375" style="18"/>
    <col min="14082" max="14082" width="22.6640625" style="18" customWidth="1"/>
    <col min="14083" max="14083" width="10.5546875" style="18" customWidth="1"/>
    <col min="14084" max="14090" width="9.109375" style="18"/>
    <col min="14091" max="14091" width="37.109375" style="18" customWidth="1"/>
    <col min="14092" max="14337" width="9.109375" style="18"/>
    <col min="14338" max="14338" width="22.6640625" style="18" customWidth="1"/>
    <col min="14339" max="14339" width="10.5546875" style="18" customWidth="1"/>
    <col min="14340" max="14346" width="9.109375" style="18"/>
    <col min="14347" max="14347" width="37.109375" style="18" customWidth="1"/>
    <col min="14348" max="14593" width="9.109375" style="18"/>
    <col min="14594" max="14594" width="22.6640625" style="18" customWidth="1"/>
    <col min="14595" max="14595" width="10.5546875" style="18" customWidth="1"/>
    <col min="14596" max="14602" width="9.109375" style="18"/>
    <col min="14603" max="14603" width="37.109375" style="18" customWidth="1"/>
    <col min="14604" max="14849" width="9.109375" style="18"/>
    <col min="14850" max="14850" width="22.6640625" style="18" customWidth="1"/>
    <col min="14851" max="14851" width="10.5546875" style="18" customWidth="1"/>
    <col min="14852" max="14858" width="9.109375" style="18"/>
    <col min="14859" max="14859" width="37.109375" style="18" customWidth="1"/>
    <col min="14860" max="15105" width="9.109375" style="18"/>
    <col min="15106" max="15106" width="22.6640625" style="18" customWidth="1"/>
    <col min="15107" max="15107" width="10.5546875" style="18" customWidth="1"/>
    <col min="15108" max="15114" width="9.109375" style="18"/>
    <col min="15115" max="15115" width="37.109375" style="18" customWidth="1"/>
    <col min="15116" max="15361" width="9.109375" style="18"/>
    <col min="15362" max="15362" width="22.6640625" style="18" customWidth="1"/>
    <col min="15363" max="15363" width="10.5546875" style="18" customWidth="1"/>
    <col min="15364" max="15370" width="9.109375" style="18"/>
    <col min="15371" max="15371" width="37.109375" style="18" customWidth="1"/>
    <col min="15372" max="15617" width="9.109375" style="18"/>
    <col min="15618" max="15618" width="22.6640625" style="18" customWidth="1"/>
    <col min="15619" max="15619" width="10.5546875" style="18" customWidth="1"/>
    <col min="15620" max="15626" width="9.109375" style="18"/>
    <col min="15627" max="15627" width="37.109375" style="18" customWidth="1"/>
    <col min="15628" max="15873" width="9.109375" style="18"/>
    <col min="15874" max="15874" width="22.6640625" style="18" customWidth="1"/>
    <col min="15875" max="15875" width="10.5546875" style="18" customWidth="1"/>
    <col min="15876" max="15882" width="9.109375" style="18"/>
    <col min="15883" max="15883" width="37.109375" style="18" customWidth="1"/>
    <col min="15884" max="16129" width="9.109375" style="18"/>
    <col min="16130" max="16130" width="22.6640625" style="18" customWidth="1"/>
    <col min="16131" max="16131" width="10.5546875" style="18" customWidth="1"/>
    <col min="16132" max="16138" width="9.109375" style="18"/>
    <col min="16139" max="16139" width="37.109375" style="18" customWidth="1"/>
    <col min="16140" max="16384" width="9.109375" style="18"/>
  </cols>
  <sheetData>
    <row r="1" spans="2:14" x14ac:dyDescent="0.25">
      <c r="K1" s="69"/>
    </row>
    <row r="2" spans="2:14" x14ac:dyDescent="0.25">
      <c r="B2" s="18" t="s">
        <v>177</v>
      </c>
      <c r="E2" s="18" t="s">
        <v>1</v>
      </c>
      <c r="K2" s="69"/>
    </row>
    <row r="3" spans="2:14" x14ac:dyDescent="0.25">
      <c r="B3" s="60" t="s">
        <v>2</v>
      </c>
      <c r="C3" s="60" t="s">
        <v>61</v>
      </c>
      <c r="D3" s="60" t="s">
        <v>46</v>
      </c>
      <c r="E3" s="60" t="s">
        <v>3</v>
      </c>
      <c r="F3" s="60" t="s">
        <v>71</v>
      </c>
      <c r="G3" s="60" t="s">
        <v>66</v>
      </c>
      <c r="H3" s="60" t="s">
        <v>67</v>
      </c>
      <c r="I3" s="60" t="s">
        <v>68</v>
      </c>
      <c r="K3" s="69"/>
    </row>
    <row r="4" spans="2:14" x14ac:dyDescent="0.25">
      <c r="B4" s="18" t="str">
        <f>"UC_"&amp;LEFT(C4,12)&amp;"-PRD"</f>
        <v>UC_MINRSVGASNAT-PRD</v>
      </c>
      <c r="C4" s="18" t="str">
        <f>'UCs-KZK'!C35</f>
        <v>MINRSVGASNAT*</v>
      </c>
      <c r="D4" s="53">
        <v>2017</v>
      </c>
      <c r="E4" s="18" t="s">
        <v>53</v>
      </c>
      <c r="F4" s="18">
        <v>1</v>
      </c>
      <c r="G4" s="34">
        <f>L4/1000*41.868</f>
        <v>639.32436000000007</v>
      </c>
      <c r="H4" s="18">
        <v>5</v>
      </c>
      <c r="K4" s="69"/>
      <c r="L4" s="18">
        <v>15270</v>
      </c>
      <c r="M4" s="18" t="s">
        <v>163</v>
      </c>
      <c r="N4" s="18" t="s">
        <v>164</v>
      </c>
    </row>
    <row r="5" spans="2:14" x14ac:dyDescent="0.25">
      <c r="C5" s="18" t="str">
        <f>C4</f>
        <v>MINRSVGASNAT*</v>
      </c>
      <c r="D5" s="53">
        <v>2020</v>
      </c>
      <c r="E5" s="18" t="s">
        <v>53</v>
      </c>
      <c r="F5" s="18">
        <v>1</v>
      </c>
      <c r="G5" s="34"/>
      <c r="K5" s="69"/>
    </row>
    <row r="6" spans="2:14" x14ac:dyDescent="0.25">
      <c r="C6" s="18" t="str">
        <f t="shared" ref="C6:C7" si="0">C5</f>
        <v>MINRSVGASNAT*</v>
      </c>
      <c r="D6" s="53">
        <v>2030</v>
      </c>
      <c r="E6" s="18" t="s">
        <v>53</v>
      </c>
      <c r="F6" s="18">
        <v>1</v>
      </c>
      <c r="G6" s="34">
        <f>G4*1.025^(D6-D4)</f>
        <v>881.31569150322707</v>
      </c>
      <c r="K6" s="69"/>
    </row>
    <row r="7" spans="2:14" x14ac:dyDescent="0.25">
      <c r="C7" s="18" t="str">
        <f t="shared" si="0"/>
        <v>MINRSVGASNAT*</v>
      </c>
      <c r="D7" s="53">
        <v>2050</v>
      </c>
      <c r="E7" s="18" t="s">
        <v>53</v>
      </c>
      <c r="F7" s="18">
        <v>1</v>
      </c>
      <c r="G7" s="34">
        <f>G6*1.015^(D7-D6)</f>
        <v>1187.0044514522426</v>
      </c>
      <c r="K7" s="69"/>
    </row>
    <row r="8" spans="2:14" x14ac:dyDescent="0.25">
      <c r="B8" s="66"/>
      <c r="C8" s="66"/>
      <c r="D8" s="66"/>
      <c r="E8" s="66"/>
      <c r="F8" s="66"/>
      <c r="G8" s="70"/>
      <c r="H8" s="70"/>
      <c r="I8" s="70"/>
      <c r="K8" s="69"/>
    </row>
    <row r="9" spans="2:14" x14ac:dyDescent="0.25">
      <c r="B9" s="18" t="s">
        <v>178</v>
      </c>
      <c r="E9" s="18" t="s">
        <v>1</v>
      </c>
      <c r="K9" s="69"/>
    </row>
    <row r="10" spans="2:14" x14ac:dyDescent="0.25">
      <c r="B10" s="60" t="s">
        <v>2</v>
      </c>
      <c r="C10" s="60" t="s">
        <v>61</v>
      </c>
      <c r="D10" s="60" t="s">
        <v>46</v>
      </c>
      <c r="E10" s="60" t="s">
        <v>3</v>
      </c>
      <c r="F10" s="60" t="s">
        <v>71</v>
      </c>
      <c r="G10" s="60" t="s">
        <v>66</v>
      </c>
      <c r="H10" s="60" t="s">
        <v>67</v>
      </c>
      <c r="I10" s="60" t="s">
        <v>68</v>
      </c>
      <c r="K10" s="69"/>
    </row>
    <row r="11" spans="2:14" x14ac:dyDescent="0.25">
      <c r="B11" s="18" t="str">
        <f>"UC_"&amp;LEFT(C11,12)&amp;"-PRD"</f>
        <v>UC_MINRSVGASNAT-PRD</v>
      </c>
      <c r="C11" s="18" t="str">
        <f>C4</f>
        <v>MINRSVGASNAT*</v>
      </c>
      <c r="D11" s="53">
        <v>2017</v>
      </c>
      <c r="E11" s="18" t="s">
        <v>53</v>
      </c>
      <c r="F11" s="18">
        <v>1</v>
      </c>
      <c r="G11" s="71">
        <f>L11/1000*41.868</f>
        <v>2746.5407999999998</v>
      </c>
      <c r="H11" s="18">
        <v>5</v>
      </c>
      <c r="K11" s="69"/>
      <c r="L11" s="18">
        <v>65600</v>
      </c>
      <c r="M11" s="18" t="s">
        <v>163</v>
      </c>
      <c r="N11" s="18" t="s">
        <v>164</v>
      </c>
    </row>
    <row r="12" spans="2:14" x14ac:dyDescent="0.25">
      <c r="B12" s="25"/>
      <c r="C12" s="18" t="str">
        <f t="shared" ref="C12:C14" si="1">C5</f>
        <v>MINRSVGASNAT*</v>
      </c>
      <c r="D12" s="53">
        <v>2020</v>
      </c>
      <c r="E12" s="18" t="s">
        <v>53</v>
      </c>
      <c r="F12" s="18">
        <v>1</v>
      </c>
      <c r="G12" s="34"/>
      <c r="K12" s="69"/>
    </row>
    <row r="13" spans="2:14" x14ac:dyDescent="0.25">
      <c r="C13" s="18" t="str">
        <f t="shared" si="1"/>
        <v>MINRSVGASNAT*</v>
      </c>
      <c r="D13" s="53">
        <v>2030</v>
      </c>
      <c r="E13" s="18" t="s">
        <v>53</v>
      </c>
      <c r="F13" s="18">
        <v>1</v>
      </c>
      <c r="G13" s="34">
        <f>G11*1.025^(D13-D11)</f>
        <v>3786.1368279378971</v>
      </c>
      <c r="K13" s="69" t="s">
        <v>165</v>
      </c>
    </row>
    <row r="14" spans="2:14" x14ac:dyDescent="0.25">
      <c r="C14" s="18" t="str">
        <f t="shared" si="1"/>
        <v>MINRSVGASNAT*</v>
      </c>
      <c r="D14" s="53">
        <v>2040</v>
      </c>
      <c r="E14" s="18" t="s">
        <v>53</v>
      </c>
      <c r="F14" s="18">
        <v>1</v>
      </c>
      <c r="G14" s="34"/>
      <c r="K14" s="69"/>
    </row>
    <row r="15" spans="2:14" x14ac:dyDescent="0.25">
      <c r="B15" s="66"/>
      <c r="C15" s="18" t="str">
        <f>C14</f>
        <v>MINRSVGASNAT*</v>
      </c>
      <c r="D15" s="18">
        <v>2050</v>
      </c>
      <c r="E15" s="18" t="s">
        <v>53</v>
      </c>
      <c r="F15" s="18">
        <v>1</v>
      </c>
      <c r="G15" s="34">
        <f>G13*1.015^(D15-D13)</f>
        <v>5099.3773421916903</v>
      </c>
      <c r="H15" s="70"/>
      <c r="I15" s="70"/>
      <c r="K15" s="69"/>
    </row>
    <row r="16" spans="2:14" x14ac:dyDescent="0.25">
      <c r="B16" s="66"/>
      <c r="C16" s="66"/>
      <c r="F16" s="66"/>
      <c r="G16" s="70"/>
      <c r="H16" s="70"/>
      <c r="I16" s="70"/>
      <c r="K16" s="69"/>
    </row>
    <row r="17" spans="1:19" x14ac:dyDescent="0.25">
      <c r="B17" s="18" t="s">
        <v>179</v>
      </c>
      <c r="E17" s="18" t="s">
        <v>1</v>
      </c>
      <c r="K17" s="69"/>
    </row>
    <row r="18" spans="1:19" x14ac:dyDescent="0.25">
      <c r="B18" s="60" t="s">
        <v>2</v>
      </c>
      <c r="C18" s="60" t="s">
        <v>61</v>
      </c>
      <c r="D18" s="60" t="s">
        <v>46</v>
      </c>
      <c r="E18" s="60" t="s">
        <v>3</v>
      </c>
      <c r="F18" s="60" t="s">
        <v>71</v>
      </c>
      <c r="G18" s="60" t="s">
        <v>66</v>
      </c>
      <c r="H18" s="60" t="s">
        <v>67</v>
      </c>
      <c r="I18" s="60" t="s">
        <v>68</v>
      </c>
      <c r="K18" s="69"/>
    </row>
    <row r="19" spans="1:19" x14ac:dyDescent="0.25">
      <c r="B19" s="18" t="str">
        <f>"UC_"&amp;LEFT(C19,12)&amp;"-PRD"</f>
        <v>UC_MINRSVGASNAT-PRD</v>
      </c>
      <c r="C19" s="18" t="str">
        <f>C11</f>
        <v>MINRSVGASNAT*</v>
      </c>
      <c r="D19" s="53">
        <v>2017</v>
      </c>
      <c r="E19" s="18" t="s">
        <v>53</v>
      </c>
      <c r="F19" s="18">
        <v>1</v>
      </c>
      <c r="G19" s="71">
        <f>L19/1000*41.868</f>
        <v>2035.4128200000002</v>
      </c>
      <c r="H19" s="18">
        <v>5</v>
      </c>
      <c r="K19" s="69"/>
      <c r="L19" s="31">
        <f>46300*1.05</f>
        <v>48615</v>
      </c>
      <c r="M19" s="18" t="s">
        <v>163</v>
      </c>
      <c r="N19" s="18" t="s">
        <v>164</v>
      </c>
      <c r="P19" s="18" t="s">
        <v>174</v>
      </c>
    </row>
    <row r="20" spans="1:19" x14ac:dyDescent="0.25">
      <c r="C20" s="18" t="str">
        <f t="shared" ref="C20:C22" si="2">C12</f>
        <v>MINRSVGASNAT*</v>
      </c>
      <c r="D20" s="53">
        <v>2020</v>
      </c>
      <c r="E20" s="18" t="s">
        <v>53</v>
      </c>
      <c r="F20" s="18">
        <v>1</v>
      </c>
      <c r="G20" s="71">
        <f>G19*1.1</f>
        <v>2238.9541020000006</v>
      </c>
      <c r="K20" s="69"/>
      <c r="L20" s="72" t="s">
        <v>168</v>
      </c>
    </row>
    <row r="21" spans="1:19" x14ac:dyDescent="0.25">
      <c r="C21" s="18" t="str">
        <f t="shared" si="2"/>
        <v>MINRSVGASNAT*</v>
      </c>
      <c r="D21" s="53">
        <v>2030</v>
      </c>
      <c r="E21" s="18" t="s">
        <v>53</v>
      </c>
      <c r="F21" s="18">
        <v>1</v>
      </c>
      <c r="G21" s="34"/>
      <c r="K21" s="69"/>
      <c r="L21" s="18" t="s">
        <v>169</v>
      </c>
    </row>
    <row r="22" spans="1:19" x14ac:dyDescent="0.25">
      <c r="C22" s="18" t="str">
        <f t="shared" si="2"/>
        <v>MINRSVGASNAT*</v>
      </c>
      <c r="D22" s="53">
        <v>2050</v>
      </c>
      <c r="E22" s="18" t="s">
        <v>53</v>
      </c>
      <c r="F22" s="18">
        <v>1</v>
      </c>
      <c r="G22" s="71">
        <f>G20</f>
        <v>2238.9541020000006</v>
      </c>
      <c r="K22" s="69"/>
      <c r="L22" s="18" t="s">
        <v>170</v>
      </c>
      <c r="R22" s="34">
        <f>G19*1.015^(D22-D19)</f>
        <v>3326.8398870856722</v>
      </c>
      <c r="S22" s="18" t="s">
        <v>171</v>
      </c>
    </row>
    <row r="23" spans="1:19" x14ac:dyDescent="0.25">
      <c r="A23" s="26"/>
      <c r="B23" s="73"/>
      <c r="C23" s="73"/>
      <c r="D23" s="73"/>
      <c r="E23" s="73"/>
      <c r="F23" s="73"/>
      <c r="G23" s="74"/>
      <c r="H23" s="75"/>
      <c r="I23" s="75"/>
      <c r="J23" s="26"/>
      <c r="K23" s="69"/>
    </row>
    <row r="24" spans="1:19" x14ac:dyDescent="0.25">
      <c r="G24" s="34"/>
      <c r="K24" s="69"/>
    </row>
    <row r="25" spans="1:19" x14ac:dyDescent="0.25">
      <c r="B25" s="18" t="s">
        <v>177</v>
      </c>
      <c r="E25" s="18" t="s">
        <v>1</v>
      </c>
      <c r="G25" s="34"/>
      <c r="K25" s="69"/>
    </row>
    <row r="26" spans="1:19" x14ac:dyDescent="0.25">
      <c r="B26" s="60" t="s">
        <v>2</v>
      </c>
      <c r="C26" s="60" t="s">
        <v>61</v>
      </c>
      <c r="D26" s="60" t="s">
        <v>46</v>
      </c>
      <c r="E26" s="60" t="s">
        <v>3</v>
      </c>
      <c r="F26" s="60" t="s">
        <v>71</v>
      </c>
      <c r="G26" s="60" t="s">
        <v>66</v>
      </c>
      <c r="H26" s="60" t="s">
        <v>67</v>
      </c>
      <c r="I26" s="60" t="s">
        <v>68</v>
      </c>
      <c r="K26" s="69"/>
    </row>
    <row r="27" spans="1:19" x14ac:dyDescent="0.25">
      <c r="B27" s="18" t="str">
        <f>"UC_"&amp;LEFT(C27,12)&amp;"-PRD"</f>
        <v>UC_MINRSVOILCRD-PRD</v>
      </c>
      <c r="C27" s="18" t="str">
        <f>'UCs-KZK'!C21</f>
        <v>MINRSVOILCRD*</v>
      </c>
      <c r="D27" s="53">
        <v>2017</v>
      </c>
      <c r="E27" s="18" t="s">
        <v>53</v>
      </c>
      <c r="F27" s="18">
        <v>1</v>
      </c>
      <c r="G27" s="71">
        <f>L27/1000*41.868</f>
        <v>1511.4348000000002</v>
      </c>
      <c r="H27" s="18">
        <v>5</v>
      </c>
      <c r="K27" s="69"/>
      <c r="L27" s="18">
        <v>36100</v>
      </c>
      <c r="M27" s="18" t="s">
        <v>163</v>
      </c>
      <c r="N27" s="18" t="s">
        <v>164</v>
      </c>
    </row>
    <row r="28" spans="1:19" x14ac:dyDescent="0.25">
      <c r="C28" s="18" t="str">
        <f>C27</f>
        <v>MINRSVOILCRD*</v>
      </c>
      <c r="D28" s="53">
        <v>2020</v>
      </c>
      <c r="E28" s="18" t="s">
        <v>53</v>
      </c>
      <c r="F28" s="18">
        <v>1</v>
      </c>
      <c r="G28" s="34"/>
      <c r="K28" s="69"/>
    </row>
    <row r="29" spans="1:19" x14ac:dyDescent="0.25">
      <c r="C29" s="18" t="str">
        <f t="shared" ref="C29:C30" si="3">C28</f>
        <v>MINRSVOILCRD*</v>
      </c>
      <c r="D29" s="53">
        <v>2030</v>
      </c>
      <c r="E29" s="18" t="s">
        <v>53</v>
      </c>
      <c r="F29" s="18">
        <v>1</v>
      </c>
      <c r="G29" s="34">
        <f>G27*1.025^(D29-D27)</f>
        <v>2083.5295653743615</v>
      </c>
      <c r="K29" s="69"/>
    </row>
    <row r="30" spans="1:19" x14ac:dyDescent="0.25">
      <c r="C30" s="18" t="str">
        <f t="shared" si="3"/>
        <v>MINRSVOILCRD*</v>
      </c>
      <c r="D30" s="53">
        <v>2050</v>
      </c>
      <c r="E30" s="18" t="s">
        <v>53</v>
      </c>
      <c r="F30" s="18">
        <v>1</v>
      </c>
      <c r="G30" s="34">
        <f>G29*1.015^(D30-D29)</f>
        <v>2806.2122264195132</v>
      </c>
      <c r="K30" s="69"/>
    </row>
    <row r="31" spans="1:19" x14ac:dyDescent="0.25">
      <c r="B31" s="66"/>
      <c r="C31" s="66"/>
      <c r="D31" s="66"/>
      <c r="E31" s="66"/>
      <c r="F31" s="66"/>
      <c r="G31" s="76"/>
      <c r="H31" s="70"/>
      <c r="I31" s="70"/>
      <c r="K31" s="69"/>
    </row>
    <row r="32" spans="1:19" x14ac:dyDescent="0.25">
      <c r="B32" s="18" t="s">
        <v>178</v>
      </c>
      <c r="E32" s="18" t="s">
        <v>1</v>
      </c>
      <c r="G32" s="34"/>
      <c r="K32" s="69"/>
    </row>
    <row r="33" spans="1:14" x14ac:dyDescent="0.25">
      <c r="B33" s="60" t="s">
        <v>2</v>
      </c>
      <c r="C33" s="60" t="s">
        <v>61</v>
      </c>
      <c r="D33" s="60" t="s">
        <v>46</v>
      </c>
      <c r="E33" s="60" t="s">
        <v>3</v>
      </c>
      <c r="F33" s="60" t="s">
        <v>71</v>
      </c>
      <c r="G33" s="60" t="s">
        <v>66</v>
      </c>
      <c r="H33" s="60" t="s">
        <v>67</v>
      </c>
      <c r="I33" s="60" t="s">
        <v>68</v>
      </c>
      <c r="K33" s="69"/>
    </row>
    <row r="34" spans="1:14" x14ac:dyDescent="0.25">
      <c r="B34" s="18" t="str">
        <f>"UC_"&amp;LEFT(C34,12)&amp;"-PRD"</f>
        <v>UC_MINRSVOILCRD-PRD</v>
      </c>
      <c r="C34" s="18" t="str">
        <f>C27</f>
        <v>MINRSVOILCRD*</v>
      </c>
      <c r="D34" s="53">
        <v>2017</v>
      </c>
      <c r="E34" s="18" t="s">
        <v>53</v>
      </c>
      <c r="F34" s="18">
        <v>1</v>
      </c>
      <c r="G34" s="71">
        <f>L34/1000*41.868</f>
        <v>431.24040000000008</v>
      </c>
      <c r="H34" s="18">
        <v>5</v>
      </c>
      <c r="K34" s="69"/>
      <c r="L34" s="18">
        <v>10300</v>
      </c>
      <c r="M34" s="18" t="s">
        <v>163</v>
      </c>
      <c r="N34" s="18" t="s">
        <v>164</v>
      </c>
    </row>
    <row r="35" spans="1:14" x14ac:dyDescent="0.25">
      <c r="C35" s="18" t="str">
        <f t="shared" ref="C35:C37" si="4">C28</f>
        <v>MINRSVOILCRD*</v>
      </c>
      <c r="D35" s="53">
        <v>2020</v>
      </c>
      <c r="E35" s="18" t="s">
        <v>53</v>
      </c>
      <c r="F35" s="18">
        <v>1</v>
      </c>
      <c r="G35" s="34"/>
      <c r="K35" s="69"/>
    </row>
    <row r="36" spans="1:14" x14ac:dyDescent="0.25">
      <c r="C36" s="18" t="str">
        <f t="shared" si="4"/>
        <v>MINRSVOILCRD*</v>
      </c>
      <c r="D36" s="53">
        <v>2030</v>
      </c>
      <c r="E36" s="18" t="s">
        <v>53</v>
      </c>
      <c r="F36" s="18">
        <v>1</v>
      </c>
      <c r="G36" s="34">
        <f>G34*1.025^(D36-D34)</f>
        <v>594.46965438659072</v>
      </c>
      <c r="K36" s="69"/>
    </row>
    <row r="37" spans="1:14" x14ac:dyDescent="0.25">
      <c r="C37" s="18" t="str">
        <f t="shared" si="4"/>
        <v>MINRSVOILCRD*</v>
      </c>
      <c r="D37" s="53">
        <v>2050</v>
      </c>
      <c r="E37" s="18" t="s">
        <v>53</v>
      </c>
      <c r="F37" s="18">
        <v>1</v>
      </c>
      <c r="G37" s="34">
        <f>G36*1.015^(D37-D36)</f>
        <v>800.66443025265892</v>
      </c>
      <c r="K37" s="69"/>
    </row>
    <row r="38" spans="1:14" x14ac:dyDescent="0.25">
      <c r="B38" s="66"/>
      <c r="C38" s="66"/>
      <c r="D38" s="66"/>
      <c r="E38" s="66"/>
      <c r="F38" s="66"/>
      <c r="G38" s="76"/>
      <c r="H38" s="70"/>
      <c r="I38" s="70"/>
      <c r="K38" s="69" t="s">
        <v>166</v>
      </c>
    </row>
    <row r="39" spans="1:14" x14ac:dyDescent="0.25">
      <c r="B39" s="18" t="s">
        <v>179</v>
      </c>
      <c r="E39" s="18" t="s">
        <v>1</v>
      </c>
      <c r="G39" s="34"/>
      <c r="K39" s="69"/>
    </row>
    <row r="40" spans="1:14" x14ac:dyDescent="0.25">
      <c r="B40" s="60" t="s">
        <v>2</v>
      </c>
      <c r="C40" s="60" t="s">
        <v>61</v>
      </c>
      <c r="D40" s="60" t="s">
        <v>46</v>
      </c>
      <c r="E40" s="60" t="s">
        <v>3</v>
      </c>
      <c r="F40" s="60" t="s">
        <v>71</v>
      </c>
      <c r="G40" s="60" t="s">
        <v>66</v>
      </c>
      <c r="H40" s="60" t="s">
        <v>67</v>
      </c>
      <c r="I40" s="60" t="s">
        <v>68</v>
      </c>
      <c r="K40" s="69"/>
    </row>
    <row r="41" spans="1:14" x14ac:dyDescent="0.25">
      <c r="B41" s="18" t="str">
        <f>"UC_"&amp;LEFT(C41,12)&amp;"-PRD"</f>
        <v>UC_MINRSVOILCRD-PRD</v>
      </c>
      <c r="C41" s="18" t="str">
        <f>C34</f>
        <v>MINRSVOILCRD*</v>
      </c>
      <c r="D41" s="53">
        <v>2017</v>
      </c>
      <c r="E41" s="18" t="s">
        <v>53</v>
      </c>
      <c r="F41" s="18">
        <v>1</v>
      </c>
      <c r="G41" s="71">
        <f>L41/1000*41.868</f>
        <v>125.60400000000001</v>
      </c>
      <c r="H41" s="18">
        <v>5</v>
      </c>
      <c r="K41" s="69"/>
      <c r="L41" s="18">
        <v>3000</v>
      </c>
      <c r="M41" s="18" t="s">
        <v>163</v>
      </c>
      <c r="N41" s="18" t="s">
        <v>164</v>
      </c>
    </row>
    <row r="42" spans="1:14" x14ac:dyDescent="0.25">
      <c r="C42" s="18" t="str">
        <f t="shared" ref="C42:C44" si="5">C35</f>
        <v>MINRSVOILCRD*</v>
      </c>
      <c r="D42" s="53">
        <v>2020</v>
      </c>
      <c r="E42" s="18" t="s">
        <v>53</v>
      </c>
      <c r="F42" s="18">
        <v>1</v>
      </c>
      <c r="G42" s="34"/>
      <c r="K42" s="69"/>
    </row>
    <row r="43" spans="1:14" x14ac:dyDescent="0.25">
      <c r="C43" s="18" t="str">
        <f t="shared" si="5"/>
        <v>MINRSVOILCRD*</v>
      </c>
      <c r="D43" s="53">
        <v>2030</v>
      </c>
      <c r="E43" s="18" t="s">
        <v>53</v>
      </c>
      <c r="F43" s="18">
        <v>1</v>
      </c>
      <c r="G43" s="34"/>
      <c r="K43" s="69"/>
    </row>
    <row r="44" spans="1:14" x14ac:dyDescent="0.25">
      <c r="C44" s="18" t="str">
        <f t="shared" si="5"/>
        <v>MINRSVOILCRD*</v>
      </c>
      <c r="D44" s="53">
        <v>2050</v>
      </c>
      <c r="E44" s="18" t="s">
        <v>53</v>
      </c>
      <c r="F44" s="18">
        <v>1</v>
      </c>
      <c r="G44" s="34">
        <f>G41*1.015^(D44-D41)</f>
        <v>205.2971235474034</v>
      </c>
      <c r="K44" s="69"/>
    </row>
    <row r="45" spans="1:14" x14ac:dyDescent="0.25">
      <c r="A45" s="26"/>
      <c r="B45" s="26"/>
      <c r="C45" s="26"/>
      <c r="D45" s="26"/>
      <c r="E45" s="26"/>
      <c r="F45" s="26"/>
      <c r="G45" s="77"/>
      <c r="H45" s="26"/>
      <c r="I45" s="26"/>
      <c r="J45" s="26"/>
      <c r="K45" s="69"/>
    </row>
    <row r="46" spans="1:14" x14ac:dyDescent="0.25">
      <c r="G46" s="34"/>
      <c r="K46" s="69"/>
    </row>
    <row r="47" spans="1:14" x14ac:dyDescent="0.25">
      <c r="B47" s="18" t="s">
        <v>177</v>
      </c>
      <c r="E47" s="18" t="s">
        <v>1</v>
      </c>
      <c r="G47" s="34"/>
      <c r="K47" s="69"/>
    </row>
    <row r="48" spans="1:14" x14ac:dyDescent="0.25">
      <c r="B48" s="60" t="s">
        <v>2</v>
      </c>
      <c r="C48" s="60" t="s">
        <v>61</v>
      </c>
      <c r="D48" s="60" t="s">
        <v>46</v>
      </c>
      <c r="E48" s="60" t="s">
        <v>3</v>
      </c>
      <c r="F48" s="60" t="s">
        <v>71</v>
      </c>
      <c r="G48" s="60" t="s">
        <v>66</v>
      </c>
      <c r="H48" s="60" t="s">
        <v>67</v>
      </c>
      <c r="I48" s="60" t="s">
        <v>68</v>
      </c>
      <c r="K48" s="69"/>
    </row>
    <row r="49" spans="1:14" x14ac:dyDescent="0.25">
      <c r="B49" s="18" t="str">
        <f>"UC_"&amp;LEFT(C49,9)&amp;"-PRD"</f>
        <v>UC_MINOILNGL-PRD</v>
      </c>
      <c r="C49" s="18" t="str">
        <f>'UCs-KZK'!C28</f>
        <v>MINOILNGL*</v>
      </c>
      <c r="D49" s="53">
        <v>2017</v>
      </c>
      <c r="E49" s="18" t="s">
        <v>53</v>
      </c>
      <c r="F49" s="18">
        <v>1</v>
      </c>
      <c r="G49" s="71">
        <f>L49/1000*41.868</f>
        <v>113.04360000000001</v>
      </c>
      <c r="H49" s="18">
        <v>5</v>
      </c>
      <c r="K49" s="69"/>
      <c r="L49" s="18">
        <v>2700</v>
      </c>
      <c r="M49" s="18" t="s">
        <v>163</v>
      </c>
      <c r="N49" s="18" t="s">
        <v>164</v>
      </c>
    </row>
    <row r="50" spans="1:14" x14ac:dyDescent="0.25">
      <c r="C50" s="18" t="str">
        <f>C49</f>
        <v>MINOILNGL*</v>
      </c>
      <c r="D50" s="53">
        <v>2020</v>
      </c>
      <c r="E50" s="18" t="s">
        <v>53</v>
      </c>
      <c r="F50" s="18">
        <v>1</v>
      </c>
      <c r="G50" s="34"/>
      <c r="K50" s="69"/>
    </row>
    <row r="51" spans="1:14" x14ac:dyDescent="0.25">
      <c r="C51" s="18" t="str">
        <f t="shared" ref="C51:C52" si="6">C50</f>
        <v>MINOILNGL*</v>
      </c>
      <c r="D51" s="53">
        <v>2030</v>
      </c>
      <c r="E51" s="18" t="s">
        <v>53</v>
      </c>
      <c r="F51" s="18">
        <v>1</v>
      </c>
      <c r="G51" s="34">
        <f>G49*1.025^(D51-D49)</f>
        <v>155.83185114988299</v>
      </c>
      <c r="K51" s="69"/>
    </row>
    <row r="52" spans="1:14" x14ac:dyDescent="0.25">
      <c r="C52" s="18" t="str">
        <f t="shared" si="6"/>
        <v>MINOILNGL*</v>
      </c>
      <c r="D52" s="53">
        <v>2050</v>
      </c>
      <c r="E52" s="18" t="s">
        <v>53</v>
      </c>
      <c r="F52" s="18">
        <v>1</v>
      </c>
      <c r="G52" s="34">
        <f>G51*1.015^(D52-D51)</f>
        <v>209.88290890118242</v>
      </c>
      <c r="K52" s="69"/>
    </row>
    <row r="53" spans="1:14" x14ac:dyDescent="0.25">
      <c r="D53" s="53"/>
      <c r="G53" s="34"/>
      <c r="K53" s="69"/>
    </row>
    <row r="54" spans="1:14" x14ac:dyDescent="0.25">
      <c r="B54" s="18" t="s">
        <v>178</v>
      </c>
      <c r="E54" s="18" t="s">
        <v>1</v>
      </c>
      <c r="G54" s="34"/>
      <c r="K54" s="69"/>
    </row>
    <row r="55" spans="1:14" x14ac:dyDescent="0.25">
      <c r="B55" s="60" t="s">
        <v>2</v>
      </c>
      <c r="C55" s="60" t="s">
        <v>61</v>
      </c>
      <c r="D55" s="60" t="s">
        <v>46</v>
      </c>
      <c r="E55" s="60" t="s">
        <v>3</v>
      </c>
      <c r="F55" s="60" t="s">
        <v>71</v>
      </c>
      <c r="G55" s="60" t="s">
        <v>66</v>
      </c>
      <c r="H55" s="60" t="s">
        <v>67</v>
      </c>
      <c r="I55" s="60" t="s">
        <v>68</v>
      </c>
      <c r="K55" s="69"/>
    </row>
    <row r="56" spans="1:14" x14ac:dyDescent="0.25">
      <c r="B56" s="18" t="str">
        <f>B49</f>
        <v>UC_MINOILNGL-PRD</v>
      </c>
      <c r="C56" s="18" t="str">
        <f>C49</f>
        <v>MINOILNGL*</v>
      </c>
      <c r="D56" s="53">
        <v>2017</v>
      </c>
      <c r="E56" s="18" t="s">
        <v>53</v>
      </c>
      <c r="F56" s="18">
        <v>1</v>
      </c>
      <c r="G56" s="71">
        <f>L56/1000*41.868</f>
        <v>39.7746</v>
      </c>
      <c r="H56" s="18">
        <v>5</v>
      </c>
      <c r="K56" s="69"/>
      <c r="L56" s="18">
        <v>950</v>
      </c>
      <c r="M56" s="18" t="s">
        <v>163</v>
      </c>
      <c r="N56" s="18" t="s">
        <v>164</v>
      </c>
    </row>
    <row r="57" spans="1:14" x14ac:dyDescent="0.25">
      <c r="C57" s="18" t="str">
        <f>C56</f>
        <v>MINOILNGL*</v>
      </c>
      <c r="D57" s="53">
        <v>2020</v>
      </c>
      <c r="E57" s="18" t="s">
        <v>53</v>
      </c>
      <c r="F57" s="18">
        <v>1</v>
      </c>
      <c r="G57" s="34"/>
      <c r="K57" s="69"/>
    </row>
    <row r="58" spans="1:14" x14ac:dyDescent="0.25">
      <c r="C58" s="18" t="str">
        <f t="shared" ref="C58:C59" si="7">C57</f>
        <v>MINOILNGL*</v>
      </c>
      <c r="D58" s="53">
        <v>2030</v>
      </c>
      <c r="E58" s="18" t="s">
        <v>53</v>
      </c>
      <c r="F58" s="18">
        <v>1</v>
      </c>
      <c r="G58" s="34">
        <f>G56*1.025^(D58-D56)</f>
        <v>54.829725404588451</v>
      </c>
      <c r="K58" s="69"/>
    </row>
    <row r="59" spans="1:14" x14ac:dyDescent="0.25">
      <c r="C59" s="18" t="str">
        <f t="shared" si="7"/>
        <v>MINOILNGL*</v>
      </c>
      <c r="D59" s="53">
        <v>2050</v>
      </c>
      <c r="E59" s="18" t="s">
        <v>53</v>
      </c>
      <c r="F59" s="18">
        <v>1</v>
      </c>
      <c r="G59" s="34">
        <f>G58*1.015^(D59-D58)</f>
        <v>73.847690168934548</v>
      </c>
      <c r="K59" s="69"/>
    </row>
    <row r="60" spans="1:14" x14ac:dyDescent="0.25">
      <c r="A60" s="26"/>
      <c r="B60" s="26"/>
      <c r="C60" s="26"/>
      <c r="D60" s="26"/>
      <c r="E60" s="26"/>
      <c r="F60" s="26"/>
      <c r="G60" s="26"/>
      <c r="H60" s="26"/>
      <c r="I60" s="26"/>
      <c r="J60" s="26"/>
      <c r="K60" s="69"/>
    </row>
    <row r="61" spans="1:14" x14ac:dyDescent="0.25">
      <c r="K61" s="69"/>
    </row>
    <row r="62" spans="1:14" x14ac:dyDescent="0.25">
      <c r="B62" s="18" t="s">
        <v>179</v>
      </c>
      <c r="E62" s="18" t="s">
        <v>1</v>
      </c>
      <c r="G62" s="34"/>
      <c r="K62" s="69"/>
    </row>
    <row r="63" spans="1:14" x14ac:dyDescent="0.25">
      <c r="B63" s="60" t="s">
        <v>2</v>
      </c>
      <c r="C63" s="60" t="s">
        <v>61</v>
      </c>
      <c r="D63" s="60" t="s">
        <v>46</v>
      </c>
      <c r="E63" s="60" t="s">
        <v>3</v>
      </c>
      <c r="F63" s="60" t="s">
        <v>71</v>
      </c>
      <c r="G63" s="60" t="s">
        <v>66</v>
      </c>
      <c r="H63" s="60" t="s">
        <v>67</v>
      </c>
      <c r="I63" s="60" t="s">
        <v>68</v>
      </c>
      <c r="K63" s="69"/>
    </row>
    <row r="64" spans="1:14" x14ac:dyDescent="0.25">
      <c r="B64" s="18" t="str">
        <f>"UC_"&amp;LEFT(C64,11)&amp;"-PRD"</f>
        <v>UC_MINRSVCOABI-PRD</v>
      </c>
      <c r="C64" s="18" t="str">
        <f>'UCs-KZK'!C50</f>
        <v>MINRSVCOABI*</v>
      </c>
      <c r="D64" s="53">
        <v>2017</v>
      </c>
      <c r="E64" s="18" t="s">
        <v>53</v>
      </c>
      <c r="F64" s="18">
        <v>1</v>
      </c>
      <c r="G64" s="71">
        <f>L64/1000*41.868</f>
        <v>2.5120800000000001</v>
      </c>
      <c r="H64" s="18">
        <v>5</v>
      </c>
      <c r="K64" s="69"/>
      <c r="L64" s="18">
        <v>60</v>
      </c>
      <c r="M64" s="18" t="s">
        <v>163</v>
      </c>
      <c r="N64" s="18" t="s">
        <v>164</v>
      </c>
    </row>
    <row r="65" spans="1:14" x14ac:dyDescent="0.25">
      <c r="C65" s="18" t="str">
        <f>C64</f>
        <v>MINRSVCOABI*</v>
      </c>
      <c r="D65" s="53">
        <v>2020</v>
      </c>
      <c r="E65" s="18" t="s">
        <v>53</v>
      </c>
      <c r="F65" s="18">
        <v>1</v>
      </c>
      <c r="G65" s="34"/>
      <c r="K65" s="69"/>
    </row>
    <row r="66" spans="1:14" x14ac:dyDescent="0.25">
      <c r="C66" s="18" t="str">
        <f t="shared" ref="C66:C67" si="8">C65</f>
        <v>MINRSVCOABI*</v>
      </c>
      <c r="D66" s="53">
        <v>2030</v>
      </c>
      <c r="E66" s="18" t="s">
        <v>53</v>
      </c>
      <c r="F66" s="18">
        <v>1</v>
      </c>
      <c r="G66" s="34">
        <f>G64*1.025^(D66-D64)</f>
        <v>3.4629300255529549</v>
      </c>
      <c r="K66" s="69"/>
    </row>
    <row r="67" spans="1:14" x14ac:dyDescent="0.25">
      <c r="C67" s="18" t="str">
        <f t="shared" si="8"/>
        <v>MINRSVCOABI*</v>
      </c>
      <c r="D67" s="53">
        <v>2050</v>
      </c>
      <c r="E67" s="18" t="s">
        <v>53</v>
      </c>
      <c r="F67" s="18">
        <v>1</v>
      </c>
      <c r="G67" s="34">
        <f>G66*1.015^(D67-D66)</f>
        <v>4.6640646422484977</v>
      </c>
      <c r="K67" s="69"/>
    </row>
    <row r="68" spans="1:14" x14ac:dyDescent="0.25">
      <c r="B68" s="66"/>
      <c r="C68" s="66"/>
      <c r="D68" s="66"/>
      <c r="E68" s="66"/>
      <c r="F68" s="66"/>
      <c r="G68" s="76"/>
      <c r="H68" s="70"/>
      <c r="I68" s="70"/>
      <c r="K68" s="69" t="s">
        <v>167</v>
      </c>
    </row>
    <row r="69" spans="1:14" x14ac:dyDescent="0.25">
      <c r="B69" s="18" t="s">
        <v>179</v>
      </c>
      <c r="E69" s="18" t="s">
        <v>1</v>
      </c>
      <c r="G69" s="34"/>
    </row>
    <row r="70" spans="1:14" x14ac:dyDescent="0.25">
      <c r="B70" s="60" t="s">
        <v>2</v>
      </c>
      <c r="C70" s="60" t="s">
        <v>61</v>
      </c>
      <c r="D70" s="60" t="s">
        <v>46</v>
      </c>
      <c r="E70" s="60" t="s">
        <v>3</v>
      </c>
      <c r="F70" s="60" t="s">
        <v>71</v>
      </c>
      <c r="G70" s="60" t="s">
        <v>66</v>
      </c>
      <c r="H70" s="60" t="s">
        <v>67</v>
      </c>
      <c r="I70" s="60" t="s">
        <v>68</v>
      </c>
    </row>
    <row r="71" spans="1:14" x14ac:dyDescent="0.25">
      <c r="B71" s="18" t="str">
        <f>"UC_"&amp;LEFT(C71,11)&amp;"-PRD"</f>
        <v>UC_MINRSVCOABC-PRD</v>
      </c>
      <c r="C71" s="18" t="str">
        <f>'UCs-KZK'!C64</f>
        <v>MINRSVCOABC*</v>
      </c>
      <c r="D71" s="53">
        <v>2017</v>
      </c>
      <c r="E71" s="18" t="s">
        <v>53</v>
      </c>
      <c r="F71" s="18">
        <v>1</v>
      </c>
      <c r="G71" s="71">
        <f>L71/1000*41.868</f>
        <v>58.615200000000002</v>
      </c>
      <c r="H71" s="18">
        <v>5</v>
      </c>
      <c r="L71" s="18">
        <v>1400</v>
      </c>
      <c r="M71" s="18" t="s">
        <v>163</v>
      </c>
      <c r="N71" s="18" t="s">
        <v>164</v>
      </c>
    </row>
    <row r="72" spans="1:14" x14ac:dyDescent="0.25">
      <c r="C72" s="18" t="str">
        <f>C71</f>
        <v>MINRSVCOABC*</v>
      </c>
      <c r="D72" s="53">
        <v>2020</v>
      </c>
      <c r="E72" s="18" t="s">
        <v>53</v>
      </c>
      <c r="F72" s="18">
        <v>1</v>
      </c>
      <c r="G72" s="34"/>
    </row>
    <row r="73" spans="1:14" x14ac:dyDescent="0.25">
      <c r="C73" s="18" t="str">
        <f t="shared" ref="C73:C74" si="9">C72</f>
        <v>MINRSVCOABC*</v>
      </c>
      <c r="D73" s="53">
        <v>2030</v>
      </c>
      <c r="E73" s="18" t="s">
        <v>53</v>
      </c>
      <c r="F73" s="18">
        <v>1</v>
      </c>
      <c r="G73" s="34">
        <f>G71*1.025^(D73-D71)</f>
        <v>80.801700596235619</v>
      </c>
    </row>
    <row r="74" spans="1:14" x14ac:dyDescent="0.25">
      <c r="C74" s="18" t="str">
        <f t="shared" si="9"/>
        <v>MINRSVCOABC*</v>
      </c>
      <c r="D74" s="53">
        <v>2050</v>
      </c>
      <c r="E74" s="18" t="s">
        <v>53</v>
      </c>
      <c r="F74" s="18">
        <v>1</v>
      </c>
      <c r="G74" s="34">
        <f>G73*1.015^(D74-D73)</f>
        <v>108.82817498579828</v>
      </c>
    </row>
    <row r="75" spans="1:14" x14ac:dyDescent="0.25">
      <c r="A75" s="26"/>
      <c r="B75" s="26"/>
      <c r="C75" s="26"/>
      <c r="D75" s="26"/>
      <c r="E75" s="26"/>
      <c r="F75" s="26"/>
      <c r="G75" s="26"/>
      <c r="H75" s="26"/>
      <c r="I75" s="26"/>
      <c r="J75" s="26"/>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95E5E-D86E-470C-9107-E96171277A36}">
  <dimension ref="A1:F21"/>
  <sheetViews>
    <sheetView workbookViewId="0">
      <selection activeCell="M35" activeCellId="1" sqref="G39 M35"/>
    </sheetView>
  </sheetViews>
  <sheetFormatPr defaultRowHeight="14.4" x14ac:dyDescent="0.3"/>
  <cols>
    <col min="1" max="1" width="27.109375" bestFit="1" customWidth="1"/>
    <col min="5" max="5" width="10.88671875" bestFit="1" customWidth="1"/>
  </cols>
  <sheetData>
    <row r="1" spans="1:6" x14ac:dyDescent="0.3">
      <c r="A1" s="7" t="s">
        <v>109</v>
      </c>
      <c r="B1" s="8"/>
      <c r="E1" s="9" t="s">
        <v>110</v>
      </c>
      <c r="F1" s="10">
        <v>2017</v>
      </c>
    </row>
    <row r="2" spans="1:6" ht="15.6" x14ac:dyDescent="0.3">
      <c r="A2" s="9" t="s">
        <v>111</v>
      </c>
      <c r="B2" s="11" t="s">
        <v>19</v>
      </c>
      <c r="E2" s="9" t="s">
        <v>112</v>
      </c>
      <c r="F2">
        <v>2050</v>
      </c>
    </row>
    <row r="3" spans="1:6" ht="15.6" x14ac:dyDescent="0.3">
      <c r="A3" s="9" t="s">
        <v>113</v>
      </c>
      <c r="B3" s="11" t="s">
        <v>114</v>
      </c>
    </row>
    <row r="4" spans="1:6" ht="15.6" x14ac:dyDescent="0.3">
      <c r="A4" s="9" t="s">
        <v>115</v>
      </c>
      <c r="B4" s="11" t="s">
        <v>116</v>
      </c>
    </row>
    <row r="5" spans="1:6" ht="15.6" x14ac:dyDescent="0.3">
      <c r="A5" s="9" t="s">
        <v>117</v>
      </c>
      <c r="B5" s="11" t="s">
        <v>118</v>
      </c>
      <c r="C5" s="12"/>
    </row>
    <row r="8" spans="1:6" x14ac:dyDescent="0.3">
      <c r="A8" s="13" t="s">
        <v>119</v>
      </c>
      <c r="B8" s="13"/>
    </row>
    <row r="10" spans="1:6" x14ac:dyDescent="0.3">
      <c r="A10" s="7" t="s">
        <v>45</v>
      </c>
      <c r="B10" s="7" t="s">
        <v>120</v>
      </c>
      <c r="C10" s="7" t="s">
        <v>121</v>
      </c>
      <c r="D10" s="7" t="s">
        <v>122</v>
      </c>
      <c r="E10" s="7" t="s">
        <v>123</v>
      </c>
    </row>
    <row r="11" spans="1:6" x14ac:dyDescent="0.3">
      <c r="A11" s="14" t="s">
        <v>124</v>
      </c>
      <c r="B11" s="9" t="s">
        <v>125</v>
      </c>
      <c r="C11" s="9" t="s">
        <v>126</v>
      </c>
      <c r="D11" s="15" t="s">
        <v>127</v>
      </c>
      <c r="E11" s="15"/>
    </row>
    <row r="12" spans="1:6" x14ac:dyDescent="0.3">
      <c r="A12" s="14" t="s">
        <v>52</v>
      </c>
      <c r="B12" s="9" t="s">
        <v>128</v>
      </c>
      <c r="C12" s="9" t="s">
        <v>129</v>
      </c>
      <c r="D12" s="15" t="s">
        <v>130</v>
      </c>
      <c r="E12" s="15" t="str">
        <f>B3&amp;"/"&amp;B2</f>
        <v>M$/PJ</v>
      </c>
    </row>
    <row r="13" spans="1:6" x14ac:dyDescent="0.3">
      <c r="A13" s="14" t="s">
        <v>54</v>
      </c>
      <c r="B13" s="9" t="s">
        <v>131</v>
      </c>
      <c r="C13" s="9" t="s">
        <v>126</v>
      </c>
      <c r="D13" s="15" t="str">
        <f>B2&amp;"/year"</f>
        <v>PJ/year</v>
      </c>
      <c r="E13" s="15"/>
    </row>
    <row r="14" spans="1:6" x14ac:dyDescent="0.3">
      <c r="A14" s="14" t="s">
        <v>132</v>
      </c>
      <c r="B14" s="9" t="s">
        <v>133</v>
      </c>
      <c r="C14" s="9" t="s">
        <v>126</v>
      </c>
      <c r="D14" s="15" t="s">
        <v>134</v>
      </c>
      <c r="E14" s="15" t="str">
        <f>B3&amp;"/"&amp;B2&amp;"/a"</f>
        <v>M$/PJ/a</v>
      </c>
    </row>
    <row r="15" spans="1:6" x14ac:dyDescent="0.3">
      <c r="A15" s="14" t="s">
        <v>135</v>
      </c>
      <c r="B15" s="9" t="s">
        <v>136</v>
      </c>
      <c r="C15" s="9" t="s">
        <v>126</v>
      </c>
      <c r="D15" s="15" t="s">
        <v>130</v>
      </c>
      <c r="E15" s="15" t="str">
        <f>B3&amp;"/"&amp;B2</f>
        <v>M$/PJ</v>
      </c>
    </row>
    <row r="16" spans="1:6" x14ac:dyDescent="0.3">
      <c r="A16" s="14" t="s">
        <v>137</v>
      </c>
      <c r="B16" s="9" t="s">
        <v>138</v>
      </c>
      <c r="C16" s="9" t="s">
        <v>126</v>
      </c>
      <c r="D16" s="15" t="s">
        <v>139</v>
      </c>
      <c r="E16" s="15" t="str">
        <f>B2&amp;"/"&amp;B5</f>
        <v>PJ/GW</v>
      </c>
    </row>
    <row r="17" spans="1:5" x14ac:dyDescent="0.3">
      <c r="A17" s="14" t="s">
        <v>124</v>
      </c>
      <c r="B17" s="9" t="s">
        <v>125</v>
      </c>
      <c r="C17" s="9" t="s">
        <v>126</v>
      </c>
      <c r="D17" s="15" t="s">
        <v>127</v>
      </c>
      <c r="E17" s="15"/>
    </row>
    <row r="18" spans="1:5" x14ac:dyDescent="0.3">
      <c r="A18" s="14" t="s">
        <v>140</v>
      </c>
      <c r="B18" s="9" t="s">
        <v>141</v>
      </c>
      <c r="C18" s="9" t="s">
        <v>142</v>
      </c>
      <c r="D18" s="15" t="s">
        <v>143</v>
      </c>
      <c r="E18" s="15"/>
    </row>
    <row r="19" spans="1:5" x14ac:dyDescent="0.3">
      <c r="A19" s="14" t="s">
        <v>137</v>
      </c>
      <c r="B19" s="9" t="s">
        <v>144</v>
      </c>
      <c r="C19" s="9"/>
      <c r="D19" s="15" t="str">
        <f>IF(B2="PJ","TJ/unit","GJ/unit")</f>
        <v>TJ/unit</v>
      </c>
      <c r="E19" s="15"/>
    </row>
    <row r="20" spans="1:5" x14ac:dyDescent="0.3">
      <c r="A20" s="14" t="s">
        <v>145</v>
      </c>
      <c r="B20" s="9" t="s">
        <v>146</v>
      </c>
      <c r="C20" s="9" t="s">
        <v>126</v>
      </c>
      <c r="D20" s="15" t="s">
        <v>147</v>
      </c>
      <c r="E20" s="15"/>
    </row>
    <row r="21" spans="1:5" x14ac:dyDescent="0.3">
      <c r="A21" s="14" t="s">
        <v>140</v>
      </c>
      <c r="B21" s="9" t="s">
        <v>141</v>
      </c>
      <c r="C21" s="9" t="s">
        <v>148</v>
      </c>
      <c r="D21" s="15" t="str">
        <f>B2&amp;"/year"</f>
        <v>PJ/year</v>
      </c>
      <c r="E21" s="15"/>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C90E2-875D-4514-8635-77542931E7D5}">
  <dimension ref="A1:K45"/>
  <sheetViews>
    <sheetView zoomScale="70" zoomScaleNormal="70" workbookViewId="0">
      <selection sqref="A1:XFD1048576"/>
    </sheetView>
  </sheetViews>
  <sheetFormatPr defaultRowHeight="13.2" x14ac:dyDescent="0.25"/>
  <cols>
    <col min="1" max="1" width="20.88671875" style="18" bestFit="1" customWidth="1"/>
    <col min="2" max="2" width="9.6640625" style="18" bestFit="1" customWidth="1"/>
    <col min="3" max="3" width="9.109375" style="18"/>
    <col min="4" max="4" width="9.6640625" style="18" bestFit="1" customWidth="1"/>
    <col min="5" max="7" width="9.109375" style="18"/>
    <col min="8" max="8" width="9.5546875" style="18" bestFit="1" customWidth="1"/>
    <col min="9" max="256" width="9.109375" style="18"/>
    <col min="257" max="257" width="20.88671875" style="18" bestFit="1" customWidth="1"/>
    <col min="258" max="258" width="9.6640625" style="18" bestFit="1" customWidth="1"/>
    <col min="259" max="259" width="9.109375" style="18"/>
    <col min="260" max="260" width="9.6640625" style="18" bestFit="1" customWidth="1"/>
    <col min="261" max="263" width="9.109375" style="18"/>
    <col min="264" max="264" width="9.5546875" style="18" bestFit="1" customWidth="1"/>
    <col min="265" max="512" width="9.109375" style="18"/>
    <col min="513" max="513" width="20.88671875" style="18" bestFit="1" customWidth="1"/>
    <col min="514" max="514" width="9.6640625" style="18" bestFit="1" customWidth="1"/>
    <col min="515" max="515" width="9.109375" style="18"/>
    <col min="516" max="516" width="9.6640625" style="18" bestFit="1" customWidth="1"/>
    <col min="517" max="519" width="9.109375" style="18"/>
    <col min="520" max="520" width="9.5546875" style="18" bestFit="1" customWidth="1"/>
    <col min="521" max="768" width="9.109375" style="18"/>
    <col min="769" max="769" width="20.88671875" style="18" bestFit="1" customWidth="1"/>
    <col min="770" max="770" width="9.6640625" style="18" bestFit="1" customWidth="1"/>
    <col min="771" max="771" width="9.109375" style="18"/>
    <col min="772" max="772" width="9.6640625" style="18" bestFit="1" customWidth="1"/>
    <col min="773" max="775" width="9.109375" style="18"/>
    <col min="776" max="776" width="9.5546875" style="18" bestFit="1" customWidth="1"/>
    <col min="777" max="1024" width="9.109375" style="18"/>
    <col min="1025" max="1025" width="20.88671875" style="18" bestFit="1" customWidth="1"/>
    <col min="1026" max="1026" width="9.6640625" style="18" bestFit="1" customWidth="1"/>
    <col min="1027" max="1027" width="9.109375" style="18"/>
    <col min="1028" max="1028" width="9.6640625" style="18" bestFit="1" customWidth="1"/>
    <col min="1029" max="1031" width="9.109375" style="18"/>
    <col min="1032" max="1032" width="9.5546875" style="18" bestFit="1" customWidth="1"/>
    <col min="1033" max="1280" width="9.109375" style="18"/>
    <col min="1281" max="1281" width="20.88671875" style="18" bestFit="1" customWidth="1"/>
    <col min="1282" max="1282" width="9.6640625" style="18" bestFit="1" customWidth="1"/>
    <col min="1283" max="1283" width="9.109375" style="18"/>
    <col min="1284" max="1284" width="9.6640625" style="18" bestFit="1" customWidth="1"/>
    <col min="1285" max="1287" width="9.109375" style="18"/>
    <col min="1288" max="1288" width="9.5546875" style="18" bestFit="1" customWidth="1"/>
    <col min="1289" max="1536" width="9.109375" style="18"/>
    <col min="1537" max="1537" width="20.88671875" style="18" bestFit="1" customWidth="1"/>
    <col min="1538" max="1538" width="9.6640625" style="18" bestFit="1" customWidth="1"/>
    <col min="1539" max="1539" width="9.109375" style="18"/>
    <col min="1540" max="1540" width="9.6640625" style="18" bestFit="1" customWidth="1"/>
    <col min="1541" max="1543" width="9.109375" style="18"/>
    <col min="1544" max="1544" width="9.5546875" style="18" bestFit="1" customWidth="1"/>
    <col min="1545" max="1792" width="9.109375" style="18"/>
    <col min="1793" max="1793" width="20.88671875" style="18" bestFit="1" customWidth="1"/>
    <col min="1794" max="1794" width="9.6640625" style="18" bestFit="1" customWidth="1"/>
    <col min="1795" max="1795" width="9.109375" style="18"/>
    <col min="1796" max="1796" width="9.6640625" style="18" bestFit="1" customWidth="1"/>
    <col min="1797" max="1799" width="9.109375" style="18"/>
    <col min="1800" max="1800" width="9.5546875" style="18" bestFit="1" customWidth="1"/>
    <col min="1801" max="2048" width="9.109375" style="18"/>
    <col min="2049" max="2049" width="20.88671875" style="18" bestFit="1" customWidth="1"/>
    <col min="2050" max="2050" width="9.6640625" style="18" bestFit="1" customWidth="1"/>
    <col min="2051" max="2051" width="9.109375" style="18"/>
    <col min="2052" max="2052" width="9.6640625" style="18" bestFit="1" customWidth="1"/>
    <col min="2053" max="2055" width="9.109375" style="18"/>
    <col min="2056" max="2056" width="9.5546875" style="18" bestFit="1" customWidth="1"/>
    <col min="2057" max="2304" width="9.109375" style="18"/>
    <col min="2305" max="2305" width="20.88671875" style="18" bestFit="1" customWidth="1"/>
    <col min="2306" max="2306" width="9.6640625" style="18" bestFit="1" customWidth="1"/>
    <col min="2307" max="2307" width="9.109375" style="18"/>
    <col min="2308" max="2308" width="9.6640625" style="18" bestFit="1" customWidth="1"/>
    <col min="2309" max="2311" width="9.109375" style="18"/>
    <col min="2312" max="2312" width="9.5546875" style="18" bestFit="1" customWidth="1"/>
    <col min="2313" max="2560" width="9.109375" style="18"/>
    <col min="2561" max="2561" width="20.88671875" style="18" bestFit="1" customWidth="1"/>
    <col min="2562" max="2562" width="9.6640625" style="18" bestFit="1" customWidth="1"/>
    <col min="2563" max="2563" width="9.109375" style="18"/>
    <col min="2564" max="2564" width="9.6640625" style="18" bestFit="1" customWidth="1"/>
    <col min="2565" max="2567" width="9.109375" style="18"/>
    <col min="2568" max="2568" width="9.5546875" style="18" bestFit="1" customWidth="1"/>
    <col min="2569" max="2816" width="9.109375" style="18"/>
    <col min="2817" max="2817" width="20.88671875" style="18" bestFit="1" customWidth="1"/>
    <col min="2818" max="2818" width="9.6640625" style="18" bestFit="1" customWidth="1"/>
    <col min="2819" max="2819" width="9.109375" style="18"/>
    <col min="2820" max="2820" width="9.6640625" style="18" bestFit="1" customWidth="1"/>
    <col min="2821" max="2823" width="9.109375" style="18"/>
    <col min="2824" max="2824" width="9.5546875" style="18" bestFit="1" customWidth="1"/>
    <col min="2825" max="3072" width="9.109375" style="18"/>
    <col min="3073" max="3073" width="20.88671875" style="18" bestFit="1" customWidth="1"/>
    <col min="3074" max="3074" width="9.6640625" style="18" bestFit="1" customWidth="1"/>
    <col min="3075" max="3075" width="9.109375" style="18"/>
    <col min="3076" max="3076" width="9.6640625" style="18" bestFit="1" customWidth="1"/>
    <col min="3077" max="3079" width="9.109375" style="18"/>
    <col min="3080" max="3080" width="9.5546875" style="18" bestFit="1" customWidth="1"/>
    <col min="3081" max="3328" width="9.109375" style="18"/>
    <col min="3329" max="3329" width="20.88671875" style="18" bestFit="1" customWidth="1"/>
    <col min="3330" max="3330" width="9.6640625" style="18" bestFit="1" customWidth="1"/>
    <col min="3331" max="3331" width="9.109375" style="18"/>
    <col min="3332" max="3332" width="9.6640625" style="18" bestFit="1" customWidth="1"/>
    <col min="3333" max="3335" width="9.109375" style="18"/>
    <col min="3336" max="3336" width="9.5546875" style="18" bestFit="1" customWidth="1"/>
    <col min="3337" max="3584" width="9.109375" style="18"/>
    <col min="3585" max="3585" width="20.88671875" style="18" bestFit="1" customWidth="1"/>
    <col min="3586" max="3586" width="9.6640625" style="18" bestFit="1" customWidth="1"/>
    <col min="3587" max="3587" width="9.109375" style="18"/>
    <col min="3588" max="3588" width="9.6640625" style="18" bestFit="1" customWidth="1"/>
    <col min="3589" max="3591" width="9.109375" style="18"/>
    <col min="3592" max="3592" width="9.5546875" style="18" bestFit="1" customWidth="1"/>
    <col min="3593" max="3840" width="9.109375" style="18"/>
    <col min="3841" max="3841" width="20.88671875" style="18" bestFit="1" customWidth="1"/>
    <col min="3842" max="3842" width="9.6640625" style="18" bestFit="1" customWidth="1"/>
    <col min="3843" max="3843" width="9.109375" style="18"/>
    <col min="3844" max="3844" width="9.6640625" style="18" bestFit="1" customWidth="1"/>
    <col min="3845" max="3847" width="9.109375" style="18"/>
    <col min="3848" max="3848" width="9.5546875" style="18" bestFit="1" customWidth="1"/>
    <col min="3849" max="4096" width="9.109375" style="18"/>
    <col min="4097" max="4097" width="20.88671875" style="18" bestFit="1" customWidth="1"/>
    <col min="4098" max="4098" width="9.6640625" style="18" bestFit="1" customWidth="1"/>
    <col min="4099" max="4099" width="9.109375" style="18"/>
    <col min="4100" max="4100" width="9.6640625" style="18" bestFit="1" customWidth="1"/>
    <col min="4101" max="4103" width="9.109375" style="18"/>
    <col min="4104" max="4104" width="9.5546875" style="18" bestFit="1" customWidth="1"/>
    <col min="4105" max="4352" width="9.109375" style="18"/>
    <col min="4353" max="4353" width="20.88671875" style="18" bestFit="1" customWidth="1"/>
    <col min="4354" max="4354" width="9.6640625" style="18" bestFit="1" customWidth="1"/>
    <col min="4355" max="4355" width="9.109375" style="18"/>
    <col min="4356" max="4356" width="9.6640625" style="18" bestFit="1" customWidth="1"/>
    <col min="4357" max="4359" width="9.109375" style="18"/>
    <col min="4360" max="4360" width="9.5546875" style="18" bestFit="1" customWidth="1"/>
    <col min="4361" max="4608" width="9.109375" style="18"/>
    <col min="4609" max="4609" width="20.88671875" style="18" bestFit="1" customWidth="1"/>
    <col min="4610" max="4610" width="9.6640625" style="18" bestFit="1" customWidth="1"/>
    <col min="4611" max="4611" width="9.109375" style="18"/>
    <col min="4612" max="4612" width="9.6640625" style="18" bestFit="1" customWidth="1"/>
    <col min="4613" max="4615" width="9.109375" style="18"/>
    <col min="4616" max="4616" width="9.5546875" style="18" bestFit="1" customWidth="1"/>
    <col min="4617" max="4864" width="9.109375" style="18"/>
    <col min="4865" max="4865" width="20.88671875" style="18" bestFit="1" customWidth="1"/>
    <col min="4866" max="4866" width="9.6640625" style="18" bestFit="1" customWidth="1"/>
    <col min="4867" max="4867" width="9.109375" style="18"/>
    <col min="4868" max="4868" width="9.6640625" style="18" bestFit="1" customWidth="1"/>
    <col min="4869" max="4871" width="9.109375" style="18"/>
    <col min="4872" max="4872" width="9.5546875" style="18" bestFit="1" customWidth="1"/>
    <col min="4873" max="5120" width="9.109375" style="18"/>
    <col min="5121" max="5121" width="20.88671875" style="18" bestFit="1" customWidth="1"/>
    <col min="5122" max="5122" width="9.6640625" style="18" bestFit="1" customWidth="1"/>
    <col min="5123" max="5123" width="9.109375" style="18"/>
    <col min="5124" max="5124" width="9.6640625" style="18" bestFit="1" customWidth="1"/>
    <col min="5125" max="5127" width="9.109375" style="18"/>
    <col min="5128" max="5128" width="9.5546875" style="18" bestFit="1" customWidth="1"/>
    <col min="5129" max="5376" width="9.109375" style="18"/>
    <col min="5377" max="5377" width="20.88671875" style="18" bestFit="1" customWidth="1"/>
    <col min="5378" max="5378" width="9.6640625" style="18" bestFit="1" customWidth="1"/>
    <col min="5379" max="5379" width="9.109375" style="18"/>
    <col min="5380" max="5380" width="9.6640625" style="18" bestFit="1" customWidth="1"/>
    <col min="5381" max="5383" width="9.109375" style="18"/>
    <col min="5384" max="5384" width="9.5546875" style="18" bestFit="1" customWidth="1"/>
    <col min="5385" max="5632" width="9.109375" style="18"/>
    <col min="5633" max="5633" width="20.88671875" style="18" bestFit="1" customWidth="1"/>
    <col min="5634" max="5634" width="9.6640625" style="18" bestFit="1" customWidth="1"/>
    <col min="5635" max="5635" width="9.109375" style="18"/>
    <col min="5636" max="5636" width="9.6640625" style="18" bestFit="1" customWidth="1"/>
    <col min="5637" max="5639" width="9.109375" style="18"/>
    <col min="5640" max="5640" width="9.5546875" style="18" bestFit="1" customWidth="1"/>
    <col min="5641" max="5888" width="9.109375" style="18"/>
    <col min="5889" max="5889" width="20.88671875" style="18" bestFit="1" customWidth="1"/>
    <col min="5890" max="5890" width="9.6640625" style="18" bestFit="1" customWidth="1"/>
    <col min="5891" max="5891" width="9.109375" style="18"/>
    <col min="5892" max="5892" width="9.6640625" style="18" bestFit="1" customWidth="1"/>
    <col min="5893" max="5895" width="9.109375" style="18"/>
    <col min="5896" max="5896" width="9.5546875" style="18" bestFit="1" customWidth="1"/>
    <col min="5897" max="6144" width="9.109375" style="18"/>
    <col min="6145" max="6145" width="20.88671875" style="18" bestFit="1" customWidth="1"/>
    <col min="6146" max="6146" width="9.6640625" style="18" bestFit="1" customWidth="1"/>
    <col min="6147" max="6147" width="9.109375" style="18"/>
    <col min="6148" max="6148" width="9.6640625" style="18" bestFit="1" customWidth="1"/>
    <col min="6149" max="6151" width="9.109375" style="18"/>
    <col min="6152" max="6152" width="9.5546875" style="18" bestFit="1" customWidth="1"/>
    <col min="6153" max="6400" width="9.109375" style="18"/>
    <col min="6401" max="6401" width="20.88671875" style="18" bestFit="1" customWidth="1"/>
    <col min="6402" max="6402" width="9.6640625" style="18" bestFit="1" customWidth="1"/>
    <col min="6403" max="6403" width="9.109375" style="18"/>
    <col min="6404" max="6404" width="9.6640625" style="18" bestFit="1" customWidth="1"/>
    <col min="6405" max="6407" width="9.109375" style="18"/>
    <col min="6408" max="6408" width="9.5546875" style="18" bestFit="1" customWidth="1"/>
    <col min="6409" max="6656" width="9.109375" style="18"/>
    <col min="6657" max="6657" width="20.88671875" style="18" bestFit="1" customWidth="1"/>
    <col min="6658" max="6658" width="9.6640625" style="18" bestFit="1" customWidth="1"/>
    <col min="6659" max="6659" width="9.109375" style="18"/>
    <col min="6660" max="6660" width="9.6640625" style="18" bestFit="1" customWidth="1"/>
    <col min="6661" max="6663" width="9.109375" style="18"/>
    <col min="6664" max="6664" width="9.5546875" style="18" bestFit="1" customWidth="1"/>
    <col min="6665" max="6912" width="9.109375" style="18"/>
    <col min="6913" max="6913" width="20.88671875" style="18" bestFit="1" customWidth="1"/>
    <col min="6914" max="6914" width="9.6640625" style="18" bestFit="1" customWidth="1"/>
    <col min="6915" max="6915" width="9.109375" style="18"/>
    <col min="6916" max="6916" width="9.6640625" style="18" bestFit="1" customWidth="1"/>
    <col min="6917" max="6919" width="9.109375" style="18"/>
    <col min="6920" max="6920" width="9.5546875" style="18" bestFit="1" customWidth="1"/>
    <col min="6921" max="7168" width="9.109375" style="18"/>
    <col min="7169" max="7169" width="20.88671875" style="18" bestFit="1" customWidth="1"/>
    <col min="7170" max="7170" width="9.6640625" style="18" bestFit="1" customWidth="1"/>
    <col min="7171" max="7171" width="9.109375" style="18"/>
    <col min="7172" max="7172" width="9.6640625" style="18" bestFit="1" customWidth="1"/>
    <col min="7173" max="7175" width="9.109375" style="18"/>
    <col min="7176" max="7176" width="9.5546875" style="18" bestFit="1" customWidth="1"/>
    <col min="7177" max="7424" width="9.109375" style="18"/>
    <col min="7425" max="7425" width="20.88671875" style="18" bestFit="1" customWidth="1"/>
    <col min="7426" max="7426" width="9.6640625" style="18" bestFit="1" customWidth="1"/>
    <col min="7427" max="7427" width="9.109375" style="18"/>
    <col min="7428" max="7428" width="9.6640625" style="18" bestFit="1" customWidth="1"/>
    <col min="7429" max="7431" width="9.109375" style="18"/>
    <col min="7432" max="7432" width="9.5546875" style="18" bestFit="1" customWidth="1"/>
    <col min="7433" max="7680" width="9.109375" style="18"/>
    <col min="7681" max="7681" width="20.88671875" style="18" bestFit="1" customWidth="1"/>
    <col min="7682" max="7682" width="9.6640625" style="18" bestFit="1" customWidth="1"/>
    <col min="7683" max="7683" width="9.109375" style="18"/>
    <col min="7684" max="7684" width="9.6640625" style="18" bestFit="1" customWidth="1"/>
    <col min="7685" max="7687" width="9.109375" style="18"/>
    <col min="7688" max="7688" width="9.5546875" style="18" bestFit="1" customWidth="1"/>
    <col min="7689" max="7936" width="9.109375" style="18"/>
    <col min="7937" max="7937" width="20.88671875" style="18" bestFit="1" customWidth="1"/>
    <col min="7938" max="7938" width="9.6640625" style="18" bestFit="1" customWidth="1"/>
    <col min="7939" max="7939" width="9.109375" style="18"/>
    <col min="7940" max="7940" width="9.6640625" style="18" bestFit="1" customWidth="1"/>
    <col min="7941" max="7943" width="9.109375" style="18"/>
    <col min="7944" max="7944" width="9.5546875" style="18" bestFit="1" customWidth="1"/>
    <col min="7945" max="8192" width="9.109375" style="18"/>
    <col min="8193" max="8193" width="20.88671875" style="18" bestFit="1" customWidth="1"/>
    <col min="8194" max="8194" width="9.6640625" style="18" bestFit="1" customWidth="1"/>
    <col min="8195" max="8195" width="9.109375" style="18"/>
    <col min="8196" max="8196" width="9.6640625" style="18" bestFit="1" customWidth="1"/>
    <col min="8197" max="8199" width="9.109375" style="18"/>
    <col min="8200" max="8200" width="9.5546875" style="18" bestFit="1" customWidth="1"/>
    <col min="8201" max="8448" width="9.109375" style="18"/>
    <col min="8449" max="8449" width="20.88671875" style="18" bestFit="1" customWidth="1"/>
    <col min="8450" max="8450" width="9.6640625" style="18" bestFit="1" customWidth="1"/>
    <col min="8451" max="8451" width="9.109375" style="18"/>
    <col min="8452" max="8452" width="9.6640625" style="18" bestFit="1" customWidth="1"/>
    <col min="8453" max="8455" width="9.109375" style="18"/>
    <col min="8456" max="8456" width="9.5546875" style="18" bestFit="1" customWidth="1"/>
    <col min="8457" max="8704" width="9.109375" style="18"/>
    <col min="8705" max="8705" width="20.88671875" style="18" bestFit="1" customWidth="1"/>
    <col min="8706" max="8706" width="9.6640625" style="18" bestFit="1" customWidth="1"/>
    <col min="8707" max="8707" width="9.109375" style="18"/>
    <col min="8708" max="8708" width="9.6640625" style="18" bestFit="1" customWidth="1"/>
    <col min="8709" max="8711" width="9.109375" style="18"/>
    <col min="8712" max="8712" width="9.5546875" style="18" bestFit="1" customWidth="1"/>
    <col min="8713" max="8960" width="9.109375" style="18"/>
    <col min="8961" max="8961" width="20.88671875" style="18" bestFit="1" customWidth="1"/>
    <col min="8962" max="8962" width="9.6640625" style="18" bestFit="1" customWidth="1"/>
    <col min="8963" max="8963" width="9.109375" style="18"/>
    <col min="8964" max="8964" width="9.6640625" style="18" bestFit="1" customWidth="1"/>
    <col min="8965" max="8967" width="9.109375" style="18"/>
    <col min="8968" max="8968" width="9.5546875" style="18" bestFit="1" customWidth="1"/>
    <col min="8969" max="9216" width="9.109375" style="18"/>
    <col min="9217" max="9217" width="20.88671875" style="18" bestFit="1" customWidth="1"/>
    <col min="9218" max="9218" width="9.6640625" style="18" bestFit="1" customWidth="1"/>
    <col min="9219" max="9219" width="9.109375" style="18"/>
    <col min="9220" max="9220" width="9.6640625" style="18" bestFit="1" customWidth="1"/>
    <col min="9221" max="9223" width="9.109375" style="18"/>
    <col min="9224" max="9224" width="9.5546875" style="18" bestFit="1" customWidth="1"/>
    <col min="9225" max="9472" width="9.109375" style="18"/>
    <col min="9473" max="9473" width="20.88671875" style="18" bestFit="1" customWidth="1"/>
    <col min="9474" max="9474" width="9.6640625" style="18" bestFit="1" customWidth="1"/>
    <col min="9475" max="9475" width="9.109375" style="18"/>
    <col min="9476" max="9476" width="9.6640625" style="18" bestFit="1" customWidth="1"/>
    <col min="9477" max="9479" width="9.109375" style="18"/>
    <col min="9480" max="9480" width="9.5546875" style="18" bestFit="1" customWidth="1"/>
    <col min="9481" max="9728" width="9.109375" style="18"/>
    <col min="9729" max="9729" width="20.88671875" style="18" bestFit="1" customWidth="1"/>
    <col min="9730" max="9730" width="9.6640625" style="18" bestFit="1" customWidth="1"/>
    <col min="9731" max="9731" width="9.109375" style="18"/>
    <col min="9732" max="9732" width="9.6640625" style="18" bestFit="1" customWidth="1"/>
    <col min="9733" max="9735" width="9.109375" style="18"/>
    <col min="9736" max="9736" width="9.5546875" style="18" bestFit="1" customWidth="1"/>
    <col min="9737" max="9984" width="9.109375" style="18"/>
    <col min="9985" max="9985" width="20.88671875" style="18" bestFit="1" customWidth="1"/>
    <col min="9986" max="9986" width="9.6640625" style="18" bestFit="1" customWidth="1"/>
    <col min="9987" max="9987" width="9.109375" style="18"/>
    <col min="9988" max="9988" width="9.6640625" style="18" bestFit="1" customWidth="1"/>
    <col min="9989" max="9991" width="9.109375" style="18"/>
    <col min="9992" max="9992" width="9.5546875" style="18" bestFit="1" customWidth="1"/>
    <col min="9993" max="10240" width="9.109375" style="18"/>
    <col min="10241" max="10241" width="20.88671875" style="18" bestFit="1" customWidth="1"/>
    <col min="10242" max="10242" width="9.6640625" style="18" bestFit="1" customWidth="1"/>
    <col min="10243" max="10243" width="9.109375" style="18"/>
    <col min="10244" max="10244" width="9.6640625" style="18" bestFit="1" customWidth="1"/>
    <col min="10245" max="10247" width="9.109375" style="18"/>
    <col min="10248" max="10248" width="9.5546875" style="18" bestFit="1" customWidth="1"/>
    <col min="10249" max="10496" width="9.109375" style="18"/>
    <col min="10497" max="10497" width="20.88671875" style="18" bestFit="1" customWidth="1"/>
    <col min="10498" max="10498" width="9.6640625" style="18" bestFit="1" customWidth="1"/>
    <col min="10499" max="10499" width="9.109375" style="18"/>
    <col min="10500" max="10500" width="9.6640625" style="18" bestFit="1" customWidth="1"/>
    <col min="10501" max="10503" width="9.109375" style="18"/>
    <col min="10504" max="10504" width="9.5546875" style="18" bestFit="1" customWidth="1"/>
    <col min="10505" max="10752" width="9.109375" style="18"/>
    <col min="10753" max="10753" width="20.88671875" style="18" bestFit="1" customWidth="1"/>
    <col min="10754" max="10754" width="9.6640625" style="18" bestFit="1" customWidth="1"/>
    <col min="10755" max="10755" width="9.109375" style="18"/>
    <col min="10756" max="10756" width="9.6640625" style="18" bestFit="1" customWidth="1"/>
    <col min="10757" max="10759" width="9.109375" style="18"/>
    <col min="10760" max="10760" width="9.5546875" style="18" bestFit="1" customWidth="1"/>
    <col min="10761" max="11008" width="9.109375" style="18"/>
    <col min="11009" max="11009" width="20.88671875" style="18" bestFit="1" customWidth="1"/>
    <col min="11010" max="11010" width="9.6640625" style="18" bestFit="1" customWidth="1"/>
    <col min="11011" max="11011" width="9.109375" style="18"/>
    <col min="11012" max="11012" width="9.6640625" style="18" bestFit="1" customWidth="1"/>
    <col min="11013" max="11015" width="9.109375" style="18"/>
    <col min="11016" max="11016" width="9.5546875" style="18" bestFit="1" customWidth="1"/>
    <col min="11017" max="11264" width="9.109375" style="18"/>
    <col min="11265" max="11265" width="20.88671875" style="18" bestFit="1" customWidth="1"/>
    <col min="11266" max="11266" width="9.6640625" style="18" bestFit="1" customWidth="1"/>
    <col min="11267" max="11267" width="9.109375" style="18"/>
    <col min="11268" max="11268" width="9.6640625" style="18" bestFit="1" customWidth="1"/>
    <col min="11269" max="11271" width="9.109375" style="18"/>
    <col min="11272" max="11272" width="9.5546875" style="18" bestFit="1" customWidth="1"/>
    <col min="11273" max="11520" width="9.109375" style="18"/>
    <col min="11521" max="11521" width="20.88671875" style="18" bestFit="1" customWidth="1"/>
    <col min="11522" max="11522" width="9.6640625" style="18" bestFit="1" customWidth="1"/>
    <col min="11523" max="11523" width="9.109375" style="18"/>
    <col min="11524" max="11524" width="9.6640625" style="18" bestFit="1" customWidth="1"/>
    <col min="11525" max="11527" width="9.109375" style="18"/>
    <col min="11528" max="11528" width="9.5546875" style="18" bestFit="1" customWidth="1"/>
    <col min="11529" max="11776" width="9.109375" style="18"/>
    <col min="11777" max="11777" width="20.88671875" style="18" bestFit="1" customWidth="1"/>
    <col min="11778" max="11778" width="9.6640625" style="18" bestFit="1" customWidth="1"/>
    <col min="11779" max="11779" width="9.109375" style="18"/>
    <col min="11780" max="11780" width="9.6640625" style="18" bestFit="1" customWidth="1"/>
    <col min="11781" max="11783" width="9.109375" style="18"/>
    <col min="11784" max="11784" width="9.5546875" style="18" bestFit="1" customWidth="1"/>
    <col min="11785" max="12032" width="9.109375" style="18"/>
    <col min="12033" max="12033" width="20.88671875" style="18" bestFit="1" customWidth="1"/>
    <col min="12034" max="12034" width="9.6640625" style="18" bestFit="1" customWidth="1"/>
    <col min="12035" max="12035" width="9.109375" style="18"/>
    <col min="12036" max="12036" width="9.6640625" style="18" bestFit="1" customWidth="1"/>
    <col min="12037" max="12039" width="9.109375" style="18"/>
    <col min="12040" max="12040" width="9.5546875" style="18" bestFit="1" customWidth="1"/>
    <col min="12041" max="12288" width="9.109375" style="18"/>
    <col min="12289" max="12289" width="20.88671875" style="18" bestFit="1" customWidth="1"/>
    <col min="12290" max="12290" width="9.6640625" style="18" bestFit="1" customWidth="1"/>
    <col min="12291" max="12291" width="9.109375" style="18"/>
    <col min="12292" max="12292" width="9.6640625" style="18" bestFit="1" customWidth="1"/>
    <col min="12293" max="12295" width="9.109375" style="18"/>
    <col min="12296" max="12296" width="9.5546875" style="18" bestFit="1" customWidth="1"/>
    <col min="12297" max="12544" width="9.109375" style="18"/>
    <col min="12545" max="12545" width="20.88671875" style="18" bestFit="1" customWidth="1"/>
    <col min="12546" max="12546" width="9.6640625" style="18" bestFit="1" customWidth="1"/>
    <col min="12547" max="12547" width="9.109375" style="18"/>
    <col min="12548" max="12548" width="9.6640625" style="18" bestFit="1" customWidth="1"/>
    <col min="12549" max="12551" width="9.109375" style="18"/>
    <col min="12552" max="12552" width="9.5546875" style="18" bestFit="1" customWidth="1"/>
    <col min="12553" max="12800" width="9.109375" style="18"/>
    <col min="12801" max="12801" width="20.88671875" style="18" bestFit="1" customWidth="1"/>
    <col min="12802" max="12802" width="9.6640625" style="18" bestFit="1" customWidth="1"/>
    <col min="12803" max="12803" width="9.109375" style="18"/>
    <col min="12804" max="12804" width="9.6640625" style="18" bestFit="1" customWidth="1"/>
    <col min="12805" max="12807" width="9.109375" style="18"/>
    <col min="12808" max="12808" width="9.5546875" style="18" bestFit="1" customWidth="1"/>
    <col min="12809" max="13056" width="9.109375" style="18"/>
    <col min="13057" max="13057" width="20.88671875" style="18" bestFit="1" customWidth="1"/>
    <col min="13058" max="13058" width="9.6640625" style="18" bestFit="1" customWidth="1"/>
    <col min="13059" max="13059" width="9.109375" style="18"/>
    <col min="13060" max="13060" width="9.6640625" style="18" bestFit="1" customWidth="1"/>
    <col min="13061" max="13063" width="9.109375" style="18"/>
    <col min="13064" max="13064" width="9.5546875" style="18" bestFit="1" customWidth="1"/>
    <col min="13065" max="13312" width="9.109375" style="18"/>
    <col min="13313" max="13313" width="20.88671875" style="18" bestFit="1" customWidth="1"/>
    <col min="13314" max="13314" width="9.6640625" style="18" bestFit="1" customWidth="1"/>
    <col min="13315" max="13315" width="9.109375" style="18"/>
    <col min="13316" max="13316" width="9.6640625" style="18" bestFit="1" customWidth="1"/>
    <col min="13317" max="13319" width="9.109375" style="18"/>
    <col min="13320" max="13320" width="9.5546875" style="18" bestFit="1" customWidth="1"/>
    <col min="13321" max="13568" width="9.109375" style="18"/>
    <col min="13569" max="13569" width="20.88671875" style="18" bestFit="1" customWidth="1"/>
    <col min="13570" max="13570" width="9.6640625" style="18" bestFit="1" customWidth="1"/>
    <col min="13571" max="13571" width="9.109375" style="18"/>
    <col min="13572" max="13572" width="9.6640625" style="18" bestFit="1" customWidth="1"/>
    <col min="13573" max="13575" width="9.109375" style="18"/>
    <col min="13576" max="13576" width="9.5546875" style="18" bestFit="1" customWidth="1"/>
    <col min="13577" max="13824" width="9.109375" style="18"/>
    <col min="13825" max="13825" width="20.88671875" style="18" bestFit="1" customWidth="1"/>
    <col min="13826" max="13826" width="9.6640625" style="18" bestFit="1" customWidth="1"/>
    <col min="13827" max="13827" width="9.109375" style="18"/>
    <col min="13828" max="13828" width="9.6640625" style="18" bestFit="1" customWidth="1"/>
    <col min="13829" max="13831" width="9.109375" style="18"/>
    <col min="13832" max="13832" width="9.5546875" style="18" bestFit="1" customWidth="1"/>
    <col min="13833" max="14080" width="9.109375" style="18"/>
    <col min="14081" max="14081" width="20.88671875" style="18" bestFit="1" customWidth="1"/>
    <col min="14082" max="14082" width="9.6640625" style="18" bestFit="1" customWidth="1"/>
    <col min="14083" max="14083" width="9.109375" style="18"/>
    <col min="14084" max="14084" width="9.6640625" style="18" bestFit="1" customWidth="1"/>
    <col min="14085" max="14087" width="9.109375" style="18"/>
    <col min="14088" max="14088" width="9.5546875" style="18" bestFit="1" customWidth="1"/>
    <col min="14089" max="14336" width="9.109375" style="18"/>
    <col min="14337" max="14337" width="20.88671875" style="18" bestFit="1" customWidth="1"/>
    <col min="14338" max="14338" width="9.6640625" style="18" bestFit="1" customWidth="1"/>
    <col min="14339" max="14339" width="9.109375" style="18"/>
    <col min="14340" max="14340" width="9.6640625" style="18" bestFit="1" customWidth="1"/>
    <col min="14341" max="14343" width="9.109375" style="18"/>
    <col min="14344" max="14344" width="9.5546875" style="18" bestFit="1" customWidth="1"/>
    <col min="14345" max="14592" width="9.109375" style="18"/>
    <col min="14593" max="14593" width="20.88671875" style="18" bestFit="1" customWidth="1"/>
    <col min="14594" max="14594" width="9.6640625" style="18" bestFit="1" customWidth="1"/>
    <col min="14595" max="14595" width="9.109375" style="18"/>
    <col min="14596" max="14596" width="9.6640625" style="18" bestFit="1" customWidth="1"/>
    <col min="14597" max="14599" width="9.109375" style="18"/>
    <col min="14600" max="14600" width="9.5546875" style="18" bestFit="1" customWidth="1"/>
    <col min="14601" max="14848" width="9.109375" style="18"/>
    <col min="14849" max="14849" width="20.88671875" style="18" bestFit="1" customWidth="1"/>
    <col min="14850" max="14850" width="9.6640625" style="18" bestFit="1" customWidth="1"/>
    <col min="14851" max="14851" width="9.109375" style="18"/>
    <col min="14852" max="14852" width="9.6640625" style="18" bestFit="1" customWidth="1"/>
    <col min="14853" max="14855" width="9.109375" style="18"/>
    <col min="14856" max="14856" width="9.5546875" style="18" bestFit="1" customWidth="1"/>
    <col min="14857" max="15104" width="9.109375" style="18"/>
    <col min="15105" max="15105" width="20.88671875" style="18" bestFit="1" customWidth="1"/>
    <col min="15106" max="15106" width="9.6640625" style="18" bestFit="1" customWidth="1"/>
    <col min="15107" max="15107" width="9.109375" style="18"/>
    <col min="15108" max="15108" width="9.6640625" style="18" bestFit="1" customWidth="1"/>
    <col min="15109" max="15111" width="9.109375" style="18"/>
    <col min="15112" max="15112" width="9.5546875" style="18" bestFit="1" customWidth="1"/>
    <col min="15113" max="15360" width="9.109375" style="18"/>
    <col min="15361" max="15361" width="20.88671875" style="18" bestFit="1" customWidth="1"/>
    <col min="15362" max="15362" width="9.6640625" style="18" bestFit="1" customWidth="1"/>
    <col min="15363" max="15363" width="9.109375" style="18"/>
    <col min="15364" max="15364" width="9.6640625" style="18" bestFit="1" customWidth="1"/>
    <col min="15365" max="15367" width="9.109375" style="18"/>
    <col min="15368" max="15368" width="9.5546875" style="18" bestFit="1" customWidth="1"/>
    <col min="15369" max="15616" width="9.109375" style="18"/>
    <col min="15617" max="15617" width="20.88671875" style="18" bestFit="1" customWidth="1"/>
    <col min="15618" max="15618" width="9.6640625" style="18" bestFit="1" customWidth="1"/>
    <col min="15619" max="15619" width="9.109375" style="18"/>
    <col min="15620" max="15620" width="9.6640625" style="18" bestFit="1" customWidth="1"/>
    <col min="15621" max="15623" width="9.109375" style="18"/>
    <col min="15624" max="15624" width="9.5546875" style="18" bestFit="1" customWidth="1"/>
    <col min="15625" max="15872" width="9.109375" style="18"/>
    <col min="15873" max="15873" width="20.88671875" style="18" bestFit="1" customWidth="1"/>
    <col min="15874" max="15874" width="9.6640625" style="18" bestFit="1" customWidth="1"/>
    <col min="15875" max="15875" width="9.109375" style="18"/>
    <col min="15876" max="15876" width="9.6640625" style="18" bestFit="1" customWidth="1"/>
    <col min="15877" max="15879" width="9.109375" style="18"/>
    <col min="15880" max="15880" width="9.5546875" style="18" bestFit="1" customWidth="1"/>
    <col min="15881" max="16128" width="9.109375" style="18"/>
    <col min="16129" max="16129" width="20.88671875" style="18" bestFit="1" customWidth="1"/>
    <col min="16130" max="16130" width="9.6640625" style="18" bestFit="1" customWidth="1"/>
    <col min="16131" max="16131" width="9.109375" style="18"/>
    <col min="16132" max="16132" width="9.6640625" style="18" bestFit="1" customWidth="1"/>
    <col min="16133" max="16135" width="9.109375" style="18"/>
    <col min="16136" max="16136" width="9.5546875" style="18" bestFit="1" customWidth="1"/>
    <col min="16137" max="16384" width="9.109375" style="18"/>
  </cols>
  <sheetData>
    <row r="1" spans="1:11" x14ac:dyDescent="0.25">
      <c r="A1" s="18" t="s">
        <v>6</v>
      </c>
    </row>
    <row r="2" spans="1:11" x14ac:dyDescent="0.25">
      <c r="A2" s="18" t="s">
        <v>7</v>
      </c>
      <c r="B2" s="17" t="s">
        <v>8</v>
      </c>
      <c r="C2" s="17"/>
      <c r="D2" s="17" t="s">
        <v>9</v>
      </c>
    </row>
    <row r="3" spans="1:11" x14ac:dyDescent="0.25">
      <c r="B3" s="17" t="s">
        <v>10</v>
      </c>
      <c r="C3" s="17" t="s">
        <v>10</v>
      </c>
      <c r="D3" s="17" t="s">
        <v>10</v>
      </c>
      <c r="H3" s="17"/>
    </row>
    <row r="4" spans="1:11" x14ac:dyDescent="0.25">
      <c r="B4" s="17" t="s">
        <v>11</v>
      </c>
      <c r="C4" s="17" t="s">
        <v>11</v>
      </c>
      <c r="D4" s="17" t="s">
        <v>11</v>
      </c>
      <c r="E4" s="17" t="s">
        <v>12</v>
      </c>
      <c r="F4" s="17" t="s">
        <v>13</v>
      </c>
      <c r="H4" s="17" t="s">
        <v>11</v>
      </c>
    </row>
    <row r="5" spans="1:11" x14ac:dyDescent="0.25">
      <c r="B5" s="17" t="s">
        <v>14</v>
      </c>
      <c r="C5" s="17" t="s">
        <v>14</v>
      </c>
      <c r="D5" s="17" t="s">
        <v>15</v>
      </c>
      <c r="E5" s="17" t="s">
        <v>16</v>
      </c>
      <c r="F5" s="17" t="s">
        <v>17</v>
      </c>
      <c r="H5" s="17" t="s">
        <v>18</v>
      </c>
      <c r="I5" s="19" t="s">
        <v>19</v>
      </c>
    </row>
    <row r="6" spans="1:11" x14ac:dyDescent="0.25">
      <c r="A6" s="18" t="s">
        <v>20</v>
      </c>
      <c r="B6" s="20">
        <v>7</v>
      </c>
      <c r="C6" s="21">
        <v>7</v>
      </c>
      <c r="D6" s="21">
        <v>0.95890410958904115</v>
      </c>
      <c r="E6" s="22">
        <v>4.0468565927700845E-3</v>
      </c>
      <c r="F6" s="23">
        <v>24.128058082715913</v>
      </c>
      <c r="H6" s="21">
        <f>D6*1.044*1000</f>
        <v>1001.095890410959</v>
      </c>
      <c r="I6" s="24">
        <f>H6*41.868</f>
        <v>41913.882739726032</v>
      </c>
    </row>
    <row r="7" spans="1:11" x14ac:dyDescent="0.25">
      <c r="A7" s="18" t="s">
        <v>21</v>
      </c>
      <c r="B7" s="20">
        <v>30</v>
      </c>
      <c r="C7" s="21">
        <v>30</v>
      </c>
      <c r="D7" s="21">
        <v>3.9318479685452163</v>
      </c>
      <c r="E7" s="22">
        <v>1.7343671111871791E-2</v>
      </c>
      <c r="F7" s="23">
        <v>42.653651465901284</v>
      </c>
      <c r="H7" s="21">
        <f>D7*1.044*1000</f>
        <v>4104.8492791612061</v>
      </c>
      <c r="I7" s="24">
        <f>H7*41.868</f>
        <v>171861.82961992139</v>
      </c>
    </row>
    <row r="8" spans="1:11" x14ac:dyDescent="0.25">
      <c r="A8" s="18" t="s">
        <v>22</v>
      </c>
      <c r="B8" s="20">
        <v>106.29916776702999</v>
      </c>
      <c r="C8" s="21">
        <v>106.22318482642999</v>
      </c>
      <c r="D8" s="21">
        <v>14.5511212091</v>
      </c>
      <c r="E8" s="22">
        <v>6.1409999402839054E-2</v>
      </c>
      <c r="F8" s="23">
        <v>25.44391050945891</v>
      </c>
      <c r="H8" s="21"/>
      <c r="I8" s="25"/>
    </row>
    <row r="9" spans="1:11" x14ac:dyDescent="0.25">
      <c r="A9" s="18" t="s">
        <v>23</v>
      </c>
      <c r="B9" s="20">
        <v>0.6</v>
      </c>
      <c r="C9" s="21">
        <v>0.6</v>
      </c>
      <c r="D9" s="21">
        <v>8.2191780821917818E-2</v>
      </c>
      <c r="E9" s="22">
        <v>3.4687342223743581E-4</v>
      </c>
      <c r="F9" s="23">
        <v>7.4207097166773019</v>
      </c>
      <c r="H9" s="21">
        <f>D9*1.044*1000</f>
        <v>85.808219178082211</v>
      </c>
      <c r="I9" s="24">
        <f>H9*41.868</f>
        <v>3592.618520547946</v>
      </c>
    </row>
    <row r="10" spans="1:11" x14ac:dyDescent="0.25">
      <c r="A10" s="18" t="s">
        <v>24</v>
      </c>
      <c r="B10" s="20">
        <v>0.59399999999999997</v>
      </c>
      <c r="C10" s="21">
        <v>0.59399999999999997</v>
      </c>
      <c r="D10" s="21">
        <v>8.136986301369864E-2</v>
      </c>
      <c r="E10" s="22">
        <v>3.4340468801506143E-4</v>
      </c>
      <c r="F10" s="23">
        <v>25.441391001628418</v>
      </c>
      <c r="H10" s="21">
        <f>D10*1.024*1000</f>
        <v>83.322739726027407</v>
      </c>
      <c r="I10" s="24">
        <f>H10*41.868</f>
        <v>3488.5564668493157</v>
      </c>
    </row>
    <row r="11" spans="1:11" x14ac:dyDescent="0.25">
      <c r="A11" s="18" t="s">
        <v>25</v>
      </c>
      <c r="B11" s="20">
        <v>0.25</v>
      </c>
      <c r="C11" s="21">
        <v>0.25</v>
      </c>
      <c r="D11" s="21">
        <v>3.4246575342465752E-2</v>
      </c>
      <c r="E11" s="22">
        <v>1.445305925989316E-4</v>
      </c>
      <c r="F11" s="23">
        <v>18.1074897765881</v>
      </c>
      <c r="I11" s="25"/>
    </row>
    <row r="12" spans="1:11" x14ac:dyDescent="0.25">
      <c r="A12" s="26" t="s">
        <v>26</v>
      </c>
      <c r="B12" s="27">
        <v>144.74316776703</v>
      </c>
      <c r="C12" s="28">
        <v>144.66718482643</v>
      </c>
      <c r="D12" s="28">
        <v>19.639681506412341</v>
      </c>
      <c r="E12" s="29">
        <v>8.3635335810332376E-2</v>
      </c>
      <c r="F12" s="30">
        <v>27.366615255254178</v>
      </c>
      <c r="I12" s="25"/>
    </row>
    <row r="13" spans="1:11" x14ac:dyDescent="0.25">
      <c r="A13" s="31" t="s">
        <v>27</v>
      </c>
      <c r="I13" s="25"/>
    </row>
    <row r="14" spans="1:11" x14ac:dyDescent="0.25">
      <c r="I14" s="25"/>
    </row>
    <row r="15" spans="1:11" x14ac:dyDescent="0.25">
      <c r="A15" s="18" t="s">
        <v>28</v>
      </c>
      <c r="I15" s="25"/>
    </row>
    <row r="16" spans="1:11" x14ac:dyDescent="0.25">
      <c r="A16" s="18" t="s">
        <v>7</v>
      </c>
      <c r="B16" s="17" t="s">
        <v>8</v>
      </c>
      <c r="C16" s="17"/>
      <c r="D16" s="17" t="s">
        <v>9</v>
      </c>
      <c r="I16" s="25"/>
    </row>
    <row r="17" spans="1:11" x14ac:dyDescent="0.25">
      <c r="A17" s="32"/>
      <c r="B17" s="17" t="s">
        <v>29</v>
      </c>
      <c r="C17" s="17" t="s">
        <v>29</v>
      </c>
      <c r="D17" s="17" t="s">
        <v>29</v>
      </c>
      <c r="I17" s="25"/>
    </row>
    <row r="18" spans="1:11" x14ac:dyDescent="0.25">
      <c r="B18" s="17" t="s">
        <v>30</v>
      </c>
      <c r="C18" s="17" t="s">
        <v>30</v>
      </c>
      <c r="D18" s="17" t="s">
        <v>30</v>
      </c>
      <c r="E18" s="17" t="s">
        <v>12</v>
      </c>
      <c r="F18" s="17" t="s">
        <v>13</v>
      </c>
      <c r="H18" s="17" t="s">
        <v>11</v>
      </c>
      <c r="I18" s="25"/>
    </row>
    <row r="19" spans="1:11" x14ac:dyDescent="0.25">
      <c r="B19" s="17" t="s">
        <v>31</v>
      </c>
      <c r="C19" s="17" t="s">
        <v>31</v>
      </c>
      <c r="D19" s="17" t="s">
        <v>32</v>
      </c>
      <c r="E19" s="17" t="s">
        <v>16</v>
      </c>
      <c r="F19" s="17" t="s">
        <v>17</v>
      </c>
      <c r="H19" s="17" t="s">
        <v>18</v>
      </c>
      <c r="I19" s="19" t="s">
        <v>19</v>
      </c>
    </row>
    <row r="20" spans="1:11" x14ac:dyDescent="0.25">
      <c r="A20" s="18" t="s">
        <v>20</v>
      </c>
      <c r="B20" s="20">
        <v>1.3187447912942858</v>
      </c>
      <c r="C20" s="21">
        <v>2.1305063421828914</v>
      </c>
      <c r="D20" s="21">
        <v>75.238112785153859</v>
      </c>
      <c r="E20" s="33">
        <v>1.0822794572034942E-2</v>
      </c>
      <c r="F20" s="23">
        <v>113.57571412392269</v>
      </c>
      <c r="H20" s="34">
        <f>0.859845227858985*C20*1000</f>
        <v>1831.905711249261</v>
      </c>
      <c r="I20" s="24">
        <f>H20*41.868</f>
        <v>76698.228318584064</v>
      </c>
    </row>
    <row r="21" spans="1:11" x14ac:dyDescent="0.25">
      <c r="A21" s="18" t="s">
        <v>21</v>
      </c>
      <c r="B21" s="20">
        <v>0.99125742106413217</v>
      </c>
      <c r="C21" s="21">
        <v>0.99125742106413217</v>
      </c>
      <c r="D21" s="21">
        <v>35.00592144153385</v>
      </c>
      <c r="E21" s="33">
        <v>5.0355050458053482E-3</v>
      </c>
      <c r="F21" s="23">
        <v>40.672713261364898</v>
      </c>
      <c r="H21" s="34">
        <f>0.859845227858985*C21*1000</f>
        <v>852.32796308179854</v>
      </c>
      <c r="I21" s="24">
        <f>H21*41.868</f>
        <v>35685.267158308743</v>
      </c>
    </row>
    <row r="22" spans="1:11" x14ac:dyDescent="0.25">
      <c r="A22" s="18" t="s">
        <v>22</v>
      </c>
      <c r="B22" s="20">
        <v>38.936108891892246</v>
      </c>
      <c r="C22" s="21">
        <v>38.936108891892246</v>
      </c>
      <c r="D22" s="21">
        <v>1375.0155511021439</v>
      </c>
      <c r="E22" s="33">
        <v>0.19779218659334008</v>
      </c>
      <c r="F22" s="23">
        <v>58.158661730357139</v>
      </c>
      <c r="H22" s="34"/>
      <c r="I22" s="25"/>
    </row>
    <row r="23" spans="1:11" x14ac:dyDescent="0.25">
      <c r="A23" s="18" t="s">
        <v>23</v>
      </c>
      <c r="B23" s="20">
        <v>19.485692750614554</v>
      </c>
      <c r="C23" s="21">
        <v>19.485692750614557</v>
      </c>
      <c r="D23" s="21">
        <v>688.13066633046424</v>
      </c>
      <c r="E23" s="33">
        <v>9.8985694413665462E-2</v>
      </c>
      <c r="F23" s="23">
        <v>316.75443800000005</v>
      </c>
      <c r="H23" s="34">
        <f>0.859845227858985*C23*1000</f>
        <v>16754.679923142343</v>
      </c>
      <c r="I23" s="24">
        <f>H23*41.868</f>
        <v>701484.9390221237</v>
      </c>
    </row>
    <row r="24" spans="1:11" x14ac:dyDescent="0.25">
      <c r="A24" s="18" t="s">
        <v>24</v>
      </c>
      <c r="B24" s="20">
        <v>1.210537587846608</v>
      </c>
      <c r="C24" s="21">
        <v>1.210537587846608</v>
      </c>
      <c r="D24" s="21">
        <v>42.749726561129684</v>
      </c>
      <c r="E24" s="33">
        <v>6.1494300090029321E-3</v>
      </c>
      <c r="F24" s="23">
        <v>21.374252844982312</v>
      </c>
      <c r="H24" s="34">
        <f>0.859845227858985*C24*1000</f>
        <v>1040.8749680538326</v>
      </c>
      <c r="I24" s="24">
        <f>H24*41.868</f>
        <v>43579.35316247787</v>
      </c>
    </row>
    <row r="25" spans="1:11" x14ac:dyDescent="0.25">
      <c r="A25" s="18" t="s">
        <v>25</v>
      </c>
      <c r="B25" s="20">
        <v>3.5098459631489387E-2</v>
      </c>
      <c r="C25" s="21">
        <v>3.5098459631489387E-2</v>
      </c>
      <c r="D25" s="21">
        <v>1.2394902620348438</v>
      </c>
      <c r="E25" s="33">
        <v>1.7829724834203843E-4</v>
      </c>
      <c r="F25" s="23">
        <v>113.1105523107088</v>
      </c>
      <c r="I25" s="25"/>
    </row>
    <row r="26" spans="1:11" x14ac:dyDescent="0.25">
      <c r="A26" s="26" t="s">
        <v>26</v>
      </c>
      <c r="B26" s="27">
        <v>61.977439902343313</v>
      </c>
      <c r="C26" s="28">
        <v>62.789201453231925</v>
      </c>
      <c r="D26" s="28">
        <v>2217.3794684824602</v>
      </c>
      <c r="E26" s="35">
        <v>0.31896390788219081</v>
      </c>
      <c r="F26" s="30">
        <v>75.551951866860364</v>
      </c>
      <c r="I26" s="25"/>
    </row>
    <row r="27" spans="1:11" x14ac:dyDescent="0.25">
      <c r="I27" s="25"/>
    </row>
    <row r="28" spans="1:11" x14ac:dyDescent="0.25">
      <c r="A28" s="18" t="s">
        <v>33</v>
      </c>
      <c r="I28" s="25"/>
    </row>
    <row r="29" spans="1:11" x14ac:dyDescent="0.25">
      <c r="A29" s="18" t="s">
        <v>34</v>
      </c>
      <c r="I29" s="25"/>
    </row>
    <row r="30" spans="1:11" x14ac:dyDescent="0.25">
      <c r="B30" s="17" t="s">
        <v>35</v>
      </c>
      <c r="C30" s="17" t="s">
        <v>36</v>
      </c>
      <c r="H30" s="17" t="s">
        <v>11</v>
      </c>
      <c r="I30" s="25"/>
    </row>
    <row r="31" spans="1:11" x14ac:dyDescent="0.25">
      <c r="A31" s="18" t="s">
        <v>37</v>
      </c>
      <c r="B31" s="17" t="s">
        <v>38</v>
      </c>
      <c r="C31" s="17" t="s">
        <v>39</v>
      </c>
      <c r="D31" s="17" t="s">
        <v>40</v>
      </c>
      <c r="E31" s="17" t="s">
        <v>41</v>
      </c>
      <c r="F31" s="17" t="s">
        <v>42</v>
      </c>
      <c r="H31" s="17" t="s">
        <v>18</v>
      </c>
      <c r="J31" s="19" t="s">
        <v>19</v>
      </c>
    </row>
    <row r="32" spans="1:11" x14ac:dyDescent="0.25">
      <c r="A32" s="18" t="s">
        <v>21</v>
      </c>
      <c r="B32" s="36">
        <v>25605</v>
      </c>
      <c r="C32" s="36">
        <v>0</v>
      </c>
      <c r="D32" s="37">
        <v>25605</v>
      </c>
      <c r="E32" s="38">
        <v>2.4275158279151523E-2</v>
      </c>
      <c r="F32" s="39">
        <v>217.37967710140055</v>
      </c>
      <c r="H32" s="34">
        <f>0.429866350339122*B32</f>
        <v>11006.727900433219</v>
      </c>
      <c r="J32" s="24">
        <f>H32*41.868</f>
        <v>460829.68373533804</v>
      </c>
    </row>
    <row r="33" spans="1:10" x14ac:dyDescent="0.25">
      <c r="A33" s="18" t="s">
        <v>22</v>
      </c>
      <c r="B33" s="36">
        <v>69634</v>
      </c>
      <c r="C33" s="36">
        <v>90730</v>
      </c>
      <c r="D33" s="37">
        <v>160364</v>
      </c>
      <c r="E33" s="38">
        <v>0.15203520727505779</v>
      </c>
      <c r="F33" s="39">
        <v>364.13260672116257</v>
      </c>
      <c r="H33" s="34"/>
      <c r="J33" s="24"/>
    </row>
    <row r="34" spans="1:10" x14ac:dyDescent="0.25">
      <c r="A34" s="18" t="s">
        <v>24</v>
      </c>
      <c r="B34" s="36">
        <v>1375</v>
      </c>
      <c r="C34" s="36">
        <v>0</v>
      </c>
      <c r="D34" s="37">
        <v>1375</v>
      </c>
      <c r="E34" s="38">
        <v>1.3035869023172561E-3</v>
      </c>
      <c r="F34" s="39">
        <v>124.63948045969479</v>
      </c>
      <c r="H34" s="34">
        <f>0.429866350339122*B34</f>
        <v>591.0662317162928</v>
      </c>
      <c r="J34" s="24">
        <f>H34*41.868</f>
        <v>24746.760989497747</v>
      </c>
    </row>
    <row r="35" spans="1:10" x14ac:dyDescent="0.25">
      <c r="A35" s="18" t="s">
        <v>25</v>
      </c>
      <c r="B35" s="36">
        <v>1509</v>
      </c>
      <c r="C35" s="36">
        <v>0</v>
      </c>
      <c r="D35" s="37">
        <v>1509</v>
      </c>
      <c r="E35" s="38">
        <v>1.4306273713430833E-3</v>
      </c>
      <c r="F35" s="39">
        <v>358.13840936421104</v>
      </c>
    </row>
    <row r="36" spans="1:10" x14ac:dyDescent="0.25">
      <c r="A36" s="40" t="s">
        <v>26</v>
      </c>
      <c r="B36" s="41">
        <v>98123</v>
      </c>
      <c r="C36" s="41">
        <v>90730</v>
      </c>
      <c r="D36" s="42">
        <v>188853</v>
      </c>
      <c r="E36" s="43">
        <v>0.17904457982786964</v>
      </c>
      <c r="F36" s="44">
        <v>329.33661332466738</v>
      </c>
    </row>
    <row r="40" spans="1:10" x14ac:dyDescent="0.25">
      <c r="A40" s="18" t="s">
        <v>21</v>
      </c>
    </row>
    <row r="41" spans="1:10" x14ac:dyDescent="0.25">
      <c r="A41" s="18" t="s">
        <v>100</v>
      </c>
      <c r="B41" s="18" t="s">
        <v>101</v>
      </c>
      <c r="C41" s="18" t="s">
        <v>102</v>
      </c>
      <c r="D41" s="18" t="s">
        <v>103</v>
      </c>
    </row>
    <row r="42" spans="1:10" x14ac:dyDescent="0.25">
      <c r="A42" s="18" t="s">
        <v>104</v>
      </c>
      <c r="B42" s="18" t="s">
        <v>105</v>
      </c>
      <c r="C42" s="18" t="s">
        <v>106</v>
      </c>
      <c r="D42" s="18" t="s">
        <v>107</v>
      </c>
    </row>
    <row r="43" spans="1:10" x14ac:dyDescent="0.25">
      <c r="A43" s="18" t="s">
        <v>108</v>
      </c>
      <c r="B43" s="18" t="s">
        <v>108</v>
      </c>
      <c r="C43" s="18" t="s">
        <v>108</v>
      </c>
      <c r="D43" s="18" t="s">
        <v>108</v>
      </c>
    </row>
    <row r="44" spans="1:10" x14ac:dyDescent="0.25">
      <c r="A44" s="18">
        <v>6990</v>
      </c>
      <c r="B44" s="18">
        <v>40346</v>
      </c>
      <c r="D44" s="18">
        <v>2133</v>
      </c>
    </row>
    <row r="45" spans="1:10" x14ac:dyDescent="0.25">
      <c r="A45" s="18">
        <f>A44/SUM(A44:D44)</f>
        <v>0.141300612504801</v>
      </c>
      <c r="B45" s="18">
        <f>B44/SUM(A44:D44)</f>
        <v>0.81558147526733915</v>
      </c>
      <c r="D45" s="18">
        <f>1-A45-B45</f>
        <v>4.3117912227859878E-2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3D14-7149-4127-B511-AA88AFA44667}">
  <dimension ref="B3:O28"/>
  <sheetViews>
    <sheetView zoomScale="80" zoomScaleNormal="80" workbookViewId="0">
      <selection sqref="A1:XFD1048576"/>
    </sheetView>
  </sheetViews>
  <sheetFormatPr defaultColWidth="11.44140625" defaultRowHeight="11.4" x14ac:dyDescent="0.2"/>
  <cols>
    <col min="1" max="7" width="11.44140625" style="45"/>
    <col min="8" max="8" width="18.109375" style="45" bestFit="1" customWidth="1"/>
    <col min="9" max="240" width="11.44140625" style="45"/>
    <col min="241" max="241" width="11.33203125" style="45" bestFit="1" customWidth="1"/>
    <col min="242" max="242" width="9.88671875" style="45" bestFit="1" customWidth="1"/>
    <col min="243" max="243" width="10" style="45" bestFit="1" customWidth="1"/>
    <col min="244" max="244" width="5.88671875" style="45" bestFit="1" customWidth="1"/>
    <col min="245" max="245" width="5.6640625" style="45" bestFit="1" customWidth="1"/>
    <col min="246" max="246" width="10.6640625" style="45" bestFit="1" customWidth="1"/>
    <col min="247" max="247" width="13.109375" style="45" bestFit="1" customWidth="1"/>
    <col min="248" max="248" width="10" style="45" bestFit="1" customWidth="1"/>
    <col min="249" max="496" width="11.44140625" style="45"/>
    <col min="497" max="497" width="11.33203125" style="45" bestFit="1" customWidth="1"/>
    <col min="498" max="498" width="9.88671875" style="45" bestFit="1" customWidth="1"/>
    <col min="499" max="499" width="10" style="45" bestFit="1" customWidth="1"/>
    <col min="500" max="500" width="5.88671875" style="45" bestFit="1" customWidth="1"/>
    <col min="501" max="501" width="5.6640625" style="45" bestFit="1" customWidth="1"/>
    <col min="502" max="502" width="10.6640625" style="45" bestFit="1" customWidth="1"/>
    <col min="503" max="503" width="13.109375" style="45" bestFit="1" customWidth="1"/>
    <col min="504" max="504" width="10" style="45" bestFit="1" customWidth="1"/>
    <col min="505" max="752" width="11.44140625" style="45"/>
    <col min="753" max="753" width="11.33203125" style="45" bestFit="1" customWidth="1"/>
    <col min="754" max="754" width="9.88671875" style="45" bestFit="1" customWidth="1"/>
    <col min="755" max="755" width="10" style="45" bestFit="1" customWidth="1"/>
    <col min="756" max="756" width="5.88671875" style="45" bestFit="1" customWidth="1"/>
    <col min="757" max="757" width="5.6640625" style="45" bestFit="1" customWidth="1"/>
    <col min="758" max="758" width="10.6640625" style="45" bestFit="1" customWidth="1"/>
    <col min="759" max="759" width="13.109375" style="45" bestFit="1" customWidth="1"/>
    <col min="760" max="760" width="10" style="45" bestFit="1" customWidth="1"/>
    <col min="761" max="1008" width="11.44140625" style="45"/>
    <col min="1009" max="1009" width="11.33203125" style="45" bestFit="1" customWidth="1"/>
    <col min="1010" max="1010" width="9.88671875" style="45" bestFit="1" customWidth="1"/>
    <col min="1011" max="1011" width="10" style="45" bestFit="1" customWidth="1"/>
    <col min="1012" max="1012" width="5.88671875" style="45" bestFit="1" customWidth="1"/>
    <col min="1013" max="1013" width="5.6640625" style="45" bestFit="1" customWidth="1"/>
    <col min="1014" max="1014" width="10.6640625" style="45" bestFit="1" customWidth="1"/>
    <col min="1015" max="1015" width="13.109375" style="45" bestFit="1" customWidth="1"/>
    <col min="1016" max="1016" width="10" style="45" bestFit="1" customWidth="1"/>
    <col min="1017" max="1264" width="11.44140625" style="45"/>
    <col min="1265" max="1265" width="11.33203125" style="45" bestFit="1" customWidth="1"/>
    <col min="1266" max="1266" width="9.88671875" style="45" bestFit="1" customWidth="1"/>
    <col min="1267" max="1267" width="10" style="45" bestFit="1" customWidth="1"/>
    <col min="1268" max="1268" width="5.88671875" style="45" bestFit="1" customWidth="1"/>
    <col min="1269" max="1269" width="5.6640625" style="45" bestFit="1" customWidth="1"/>
    <col min="1270" max="1270" width="10.6640625" style="45" bestFit="1" customWidth="1"/>
    <col min="1271" max="1271" width="13.109375" style="45" bestFit="1" customWidth="1"/>
    <col min="1272" max="1272" width="10" style="45" bestFit="1" customWidth="1"/>
    <col min="1273" max="1520" width="11.44140625" style="45"/>
    <col min="1521" max="1521" width="11.33203125" style="45" bestFit="1" customWidth="1"/>
    <col min="1522" max="1522" width="9.88671875" style="45" bestFit="1" customWidth="1"/>
    <col min="1523" max="1523" width="10" style="45" bestFit="1" customWidth="1"/>
    <col min="1524" max="1524" width="5.88671875" style="45" bestFit="1" customWidth="1"/>
    <col min="1525" max="1525" width="5.6640625" style="45" bestFit="1" customWidth="1"/>
    <col min="1526" max="1526" width="10.6640625" style="45" bestFit="1" customWidth="1"/>
    <col min="1527" max="1527" width="13.109375" style="45" bestFit="1" customWidth="1"/>
    <col min="1528" max="1528" width="10" style="45" bestFit="1" customWidth="1"/>
    <col min="1529" max="1776" width="11.44140625" style="45"/>
    <col min="1777" max="1777" width="11.33203125" style="45" bestFit="1" customWidth="1"/>
    <col min="1778" max="1778" width="9.88671875" style="45" bestFit="1" customWidth="1"/>
    <col min="1779" max="1779" width="10" style="45" bestFit="1" customWidth="1"/>
    <col min="1780" max="1780" width="5.88671875" style="45" bestFit="1" customWidth="1"/>
    <col min="1781" max="1781" width="5.6640625" style="45" bestFit="1" customWidth="1"/>
    <col min="1782" max="1782" width="10.6640625" style="45" bestFit="1" customWidth="1"/>
    <col min="1783" max="1783" width="13.109375" style="45" bestFit="1" customWidth="1"/>
    <col min="1784" max="1784" width="10" style="45" bestFit="1" customWidth="1"/>
    <col min="1785" max="2032" width="11.44140625" style="45"/>
    <col min="2033" max="2033" width="11.33203125" style="45" bestFit="1" customWidth="1"/>
    <col min="2034" max="2034" width="9.88671875" style="45" bestFit="1" customWidth="1"/>
    <col min="2035" max="2035" width="10" style="45" bestFit="1" customWidth="1"/>
    <col min="2036" max="2036" width="5.88671875" style="45" bestFit="1" customWidth="1"/>
    <col min="2037" max="2037" width="5.6640625" style="45" bestFit="1" customWidth="1"/>
    <col min="2038" max="2038" width="10.6640625" style="45" bestFit="1" customWidth="1"/>
    <col min="2039" max="2039" width="13.109375" style="45" bestFit="1" customWidth="1"/>
    <col min="2040" max="2040" width="10" style="45" bestFit="1" customWidth="1"/>
    <col min="2041" max="2288" width="11.44140625" style="45"/>
    <col min="2289" max="2289" width="11.33203125" style="45" bestFit="1" customWidth="1"/>
    <col min="2290" max="2290" width="9.88671875" style="45" bestFit="1" customWidth="1"/>
    <col min="2291" max="2291" width="10" style="45" bestFit="1" customWidth="1"/>
    <col min="2292" max="2292" width="5.88671875" style="45" bestFit="1" customWidth="1"/>
    <col min="2293" max="2293" width="5.6640625" style="45" bestFit="1" customWidth="1"/>
    <col min="2294" max="2294" width="10.6640625" style="45" bestFit="1" customWidth="1"/>
    <col min="2295" max="2295" width="13.109375" style="45" bestFit="1" customWidth="1"/>
    <col min="2296" max="2296" width="10" style="45" bestFit="1" customWidth="1"/>
    <col min="2297" max="2544" width="11.44140625" style="45"/>
    <col min="2545" max="2545" width="11.33203125" style="45" bestFit="1" customWidth="1"/>
    <col min="2546" max="2546" width="9.88671875" style="45" bestFit="1" customWidth="1"/>
    <col min="2547" max="2547" width="10" style="45" bestFit="1" customWidth="1"/>
    <col min="2548" max="2548" width="5.88671875" style="45" bestFit="1" customWidth="1"/>
    <col min="2549" max="2549" width="5.6640625" style="45" bestFit="1" customWidth="1"/>
    <col min="2550" max="2550" width="10.6640625" style="45" bestFit="1" customWidth="1"/>
    <col min="2551" max="2551" width="13.109375" style="45" bestFit="1" customWidth="1"/>
    <col min="2552" max="2552" width="10" style="45" bestFit="1" customWidth="1"/>
    <col min="2553" max="2800" width="11.44140625" style="45"/>
    <col min="2801" max="2801" width="11.33203125" style="45" bestFit="1" customWidth="1"/>
    <col min="2802" max="2802" width="9.88671875" style="45" bestFit="1" customWidth="1"/>
    <col min="2803" max="2803" width="10" style="45" bestFit="1" customWidth="1"/>
    <col min="2804" max="2804" width="5.88671875" style="45" bestFit="1" customWidth="1"/>
    <col min="2805" max="2805" width="5.6640625" style="45" bestFit="1" customWidth="1"/>
    <col min="2806" max="2806" width="10.6640625" style="45" bestFit="1" customWidth="1"/>
    <col min="2807" max="2807" width="13.109375" style="45" bestFit="1" customWidth="1"/>
    <col min="2808" max="2808" width="10" style="45" bestFit="1" customWidth="1"/>
    <col min="2809" max="3056" width="11.44140625" style="45"/>
    <col min="3057" max="3057" width="11.33203125" style="45" bestFit="1" customWidth="1"/>
    <col min="3058" max="3058" width="9.88671875" style="45" bestFit="1" customWidth="1"/>
    <col min="3059" max="3059" width="10" style="45" bestFit="1" customWidth="1"/>
    <col min="3060" max="3060" width="5.88671875" style="45" bestFit="1" customWidth="1"/>
    <col min="3061" max="3061" width="5.6640625" style="45" bestFit="1" customWidth="1"/>
    <col min="3062" max="3062" width="10.6640625" style="45" bestFit="1" customWidth="1"/>
    <col min="3063" max="3063" width="13.109375" style="45" bestFit="1" customWidth="1"/>
    <col min="3064" max="3064" width="10" style="45" bestFit="1" customWidth="1"/>
    <col min="3065" max="3312" width="11.44140625" style="45"/>
    <col min="3313" max="3313" width="11.33203125" style="45" bestFit="1" customWidth="1"/>
    <col min="3314" max="3314" width="9.88671875" style="45" bestFit="1" customWidth="1"/>
    <col min="3315" max="3315" width="10" style="45" bestFit="1" customWidth="1"/>
    <col min="3316" max="3316" width="5.88671875" style="45" bestFit="1" customWidth="1"/>
    <col min="3317" max="3317" width="5.6640625" style="45" bestFit="1" customWidth="1"/>
    <col min="3318" max="3318" width="10.6640625" style="45" bestFit="1" customWidth="1"/>
    <col min="3319" max="3319" width="13.109375" style="45" bestFit="1" customWidth="1"/>
    <col min="3320" max="3320" width="10" style="45" bestFit="1" customWidth="1"/>
    <col min="3321" max="3568" width="11.44140625" style="45"/>
    <col min="3569" max="3569" width="11.33203125" style="45" bestFit="1" customWidth="1"/>
    <col min="3570" max="3570" width="9.88671875" style="45" bestFit="1" customWidth="1"/>
    <col min="3571" max="3571" width="10" style="45" bestFit="1" customWidth="1"/>
    <col min="3572" max="3572" width="5.88671875" style="45" bestFit="1" customWidth="1"/>
    <col min="3573" max="3573" width="5.6640625" style="45" bestFit="1" customWidth="1"/>
    <col min="3574" max="3574" width="10.6640625" style="45" bestFit="1" customWidth="1"/>
    <col min="3575" max="3575" width="13.109375" style="45" bestFit="1" customWidth="1"/>
    <col min="3576" max="3576" width="10" style="45" bestFit="1" customWidth="1"/>
    <col min="3577" max="3824" width="11.44140625" style="45"/>
    <col min="3825" max="3825" width="11.33203125" style="45" bestFit="1" customWidth="1"/>
    <col min="3826" max="3826" width="9.88671875" style="45" bestFit="1" customWidth="1"/>
    <col min="3827" max="3827" width="10" style="45" bestFit="1" customWidth="1"/>
    <col min="3828" max="3828" width="5.88671875" style="45" bestFit="1" customWidth="1"/>
    <col min="3829" max="3829" width="5.6640625" style="45" bestFit="1" customWidth="1"/>
    <col min="3830" max="3830" width="10.6640625" style="45" bestFit="1" customWidth="1"/>
    <col min="3831" max="3831" width="13.109375" style="45" bestFit="1" customWidth="1"/>
    <col min="3832" max="3832" width="10" style="45" bestFit="1" customWidth="1"/>
    <col min="3833" max="4080" width="11.44140625" style="45"/>
    <col min="4081" max="4081" width="11.33203125" style="45" bestFit="1" customWidth="1"/>
    <col min="4082" max="4082" width="9.88671875" style="45" bestFit="1" customWidth="1"/>
    <col min="4083" max="4083" width="10" style="45" bestFit="1" customWidth="1"/>
    <col min="4084" max="4084" width="5.88671875" style="45" bestFit="1" customWidth="1"/>
    <col min="4085" max="4085" width="5.6640625" style="45" bestFit="1" customWidth="1"/>
    <col min="4086" max="4086" width="10.6640625" style="45" bestFit="1" customWidth="1"/>
    <col min="4087" max="4087" width="13.109375" style="45" bestFit="1" customWidth="1"/>
    <col min="4088" max="4088" width="10" style="45" bestFit="1" customWidth="1"/>
    <col min="4089" max="4336" width="11.44140625" style="45"/>
    <col min="4337" max="4337" width="11.33203125" style="45" bestFit="1" customWidth="1"/>
    <col min="4338" max="4338" width="9.88671875" style="45" bestFit="1" customWidth="1"/>
    <col min="4339" max="4339" width="10" style="45" bestFit="1" customWidth="1"/>
    <col min="4340" max="4340" width="5.88671875" style="45" bestFit="1" customWidth="1"/>
    <col min="4341" max="4341" width="5.6640625" style="45" bestFit="1" customWidth="1"/>
    <col min="4342" max="4342" width="10.6640625" style="45" bestFit="1" customWidth="1"/>
    <col min="4343" max="4343" width="13.109375" style="45" bestFit="1" customWidth="1"/>
    <col min="4344" max="4344" width="10" style="45" bestFit="1" customWidth="1"/>
    <col min="4345" max="4592" width="11.44140625" style="45"/>
    <col min="4593" max="4593" width="11.33203125" style="45" bestFit="1" customWidth="1"/>
    <col min="4594" max="4594" width="9.88671875" style="45" bestFit="1" customWidth="1"/>
    <col min="4595" max="4595" width="10" style="45" bestFit="1" customWidth="1"/>
    <col min="4596" max="4596" width="5.88671875" style="45" bestFit="1" customWidth="1"/>
    <col min="4597" max="4597" width="5.6640625" style="45" bestFit="1" customWidth="1"/>
    <col min="4598" max="4598" width="10.6640625" style="45" bestFit="1" customWidth="1"/>
    <col min="4599" max="4599" width="13.109375" style="45" bestFit="1" customWidth="1"/>
    <col min="4600" max="4600" width="10" style="45" bestFit="1" customWidth="1"/>
    <col min="4601" max="4848" width="11.44140625" style="45"/>
    <col min="4849" max="4849" width="11.33203125" style="45" bestFit="1" customWidth="1"/>
    <col min="4850" max="4850" width="9.88671875" style="45" bestFit="1" customWidth="1"/>
    <col min="4851" max="4851" width="10" style="45" bestFit="1" customWidth="1"/>
    <col min="4852" max="4852" width="5.88671875" style="45" bestFit="1" customWidth="1"/>
    <col min="4853" max="4853" width="5.6640625" style="45" bestFit="1" customWidth="1"/>
    <col min="4854" max="4854" width="10.6640625" style="45" bestFit="1" customWidth="1"/>
    <col min="4855" max="4855" width="13.109375" style="45" bestFit="1" customWidth="1"/>
    <col min="4856" max="4856" width="10" style="45" bestFit="1" customWidth="1"/>
    <col min="4857" max="5104" width="11.44140625" style="45"/>
    <col min="5105" max="5105" width="11.33203125" style="45" bestFit="1" customWidth="1"/>
    <col min="5106" max="5106" width="9.88671875" style="45" bestFit="1" customWidth="1"/>
    <col min="5107" max="5107" width="10" style="45" bestFit="1" customWidth="1"/>
    <col min="5108" max="5108" width="5.88671875" style="45" bestFit="1" customWidth="1"/>
    <col min="5109" max="5109" width="5.6640625" style="45" bestFit="1" customWidth="1"/>
    <col min="5110" max="5110" width="10.6640625" style="45" bestFit="1" customWidth="1"/>
    <col min="5111" max="5111" width="13.109375" style="45" bestFit="1" customWidth="1"/>
    <col min="5112" max="5112" width="10" style="45" bestFit="1" customWidth="1"/>
    <col min="5113" max="5360" width="11.44140625" style="45"/>
    <col min="5361" max="5361" width="11.33203125" style="45" bestFit="1" customWidth="1"/>
    <col min="5362" max="5362" width="9.88671875" style="45" bestFit="1" customWidth="1"/>
    <col min="5363" max="5363" width="10" style="45" bestFit="1" customWidth="1"/>
    <col min="5364" max="5364" width="5.88671875" style="45" bestFit="1" customWidth="1"/>
    <col min="5365" max="5365" width="5.6640625" style="45" bestFit="1" customWidth="1"/>
    <col min="5366" max="5366" width="10.6640625" style="45" bestFit="1" customWidth="1"/>
    <col min="5367" max="5367" width="13.109375" style="45" bestFit="1" customWidth="1"/>
    <col min="5368" max="5368" width="10" style="45" bestFit="1" customWidth="1"/>
    <col min="5369" max="5616" width="11.44140625" style="45"/>
    <col min="5617" max="5617" width="11.33203125" style="45" bestFit="1" customWidth="1"/>
    <col min="5618" max="5618" width="9.88671875" style="45" bestFit="1" customWidth="1"/>
    <col min="5619" max="5619" width="10" style="45" bestFit="1" customWidth="1"/>
    <col min="5620" max="5620" width="5.88671875" style="45" bestFit="1" customWidth="1"/>
    <col min="5621" max="5621" width="5.6640625" style="45" bestFit="1" customWidth="1"/>
    <col min="5622" max="5622" width="10.6640625" style="45" bestFit="1" customWidth="1"/>
    <col min="5623" max="5623" width="13.109375" style="45" bestFit="1" customWidth="1"/>
    <col min="5624" max="5624" width="10" style="45" bestFit="1" customWidth="1"/>
    <col min="5625" max="5872" width="11.44140625" style="45"/>
    <col min="5873" max="5873" width="11.33203125" style="45" bestFit="1" customWidth="1"/>
    <col min="5874" max="5874" width="9.88671875" style="45" bestFit="1" customWidth="1"/>
    <col min="5875" max="5875" width="10" style="45" bestFit="1" customWidth="1"/>
    <col min="5876" max="5876" width="5.88671875" style="45" bestFit="1" customWidth="1"/>
    <col min="5877" max="5877" width="5.6640625" style="45" bestFit="1" customWidth="1"/>
    <col min="5878" max="5878" width="10.6640625" style="45" bestFit="1" customWidth="1"/>
    <col min="5879" max="5879" width="13.109375" style="45" bestFit="1" customWidth="1"/>
    <col min="5880" max="5880" width="10" style="45" bestFit="1" customWidth="1"/>
    <col min="5881" max="6128" width="11.44140625" style="45"/>
    <col min="6129" max="6129" width="11.33203125" style="45" bestFit="1" customWidth="1"/>
    <col min="6130" max="6130" width="9.88671875" style="45" bestFit="1" customWidth="1"/>
    <col min="6131" max="6131" width="10" style="45" bestFit="1" customWidth="1"/>
    <col min="6132" max="6132" width="5.88671875" style="45" bestFit="1" customWidth="1"/>
    <col min="6133" max="6133" width="5.6640625" style="45" bestFit="1" customWidth="1"/>
    <col min="6134" max="6134" width="10.6640625" style="45" bestFit="1" customWidth="1"/>
    <col min="6135" max="6135" width="13.109375" style="45" bestFit="1" customWidth="1"/>
    <col min="6136" max="6136" width="10" style="45" bestFit="1" customWidth="1"/>
    <col min="6137" max="6384" width="11.44140625" style="45"/>
    <col min="6385" max="6385" width="11.33203125" style="45" bestFit="1" customWidth="1"/>
    <col min="6386" max="6386" width="9.88671875" style="45" bestFit="1" customWidth="1"/>
    <col min="6387" max="6387" width="10" style="45" bestFit="1" customWidth="1"/>
    <col min="6388" max="6388" width="5.88671875" style="45" bestFit="1" customWidth="1"/>
    <col min="6389" max="6389" width="5.6640625" style="45" bestFit="1" customWidth="1"/>
    <col min="6390" max="6390" width="10.6640625" style="45" bestFit="1" customWidth="1"/>
    <col min="6391" max="6391" width="13.109375" style="45" bestFit="1" customWidth="1"/>
    <col min="6392" max="6392" width="10" style="45" bestFit="1" customWidth="1"/>
    <col min="6393" max="6640" width="11.44140625" style="45"/>
    <col min="6641" max="6641" width="11.33203125" style="45" bestFit="1" customWidth="1"/>
    <col min="6642" max="6642" width="9.88671875" style="45" bestFit="1" customWidth="1"/>
    <col min="6643" max="6643" width="10" style="45" bestFit="1" customWidth="1"/>
    <col min="6644" max="6644" width="5.88671875" style="45" bestFit="1" customWidth="1"/>
    <col min="6645" max="6645" width="5.6640625" style="45" bestFit="1" customWidth="1"/>
    <col min="6646" max="6646" width="10.6640625" style="45" bestFit="1" customWidth="1"/>
    <col min="6647" max="6647" width="13.109375" style="45" bestFit="1" customWidth="1"/>
    <col min="6648" max="6648" width="10" style="45" bestFit="1" customWidth="1"/>
    <col min="6649" max="6896" width="11.44140625" style="45"/>
    <col min="6897" max="6897" width="11.33203125" style="45" bestFit="1" customWidth="1"/>
    <col min="6898" max="6898" width="9.88671875" style="45" bestFit="1" customWidth="1"/>
    <col min="6899" max="6899" width="10" style="45" bestFit="1" customWidth="1"/>
    <col min="6900" max="6900" width="5.88671875" style="45" bestFit="1" customWidth="1"/>
    <col min="6901" max="6901" width="5.6640625" style="45" bestFit="1" customWidth="1"/>
    <col min="6902" max="6902" width="10.6640625" style="45" bestFit="1" customWidth="1"/>
    <col min="6903" max="6903" width="13.109375" style="45" bestFit="1" customWidth="1"/>
    <col min="6904" max="6904" width="10" style="45" bestFit="1" customWidth="1"/>
    <col min="6905" max="7152" width="11.44140625" style="45"/>
    <col min="7153" max="7153" width="11.33203125" style="45" bestFit="1" customWidth="1"/>
    <col min="7154" max="7154" width="9.88671875" style="45" bestFit="1" customWidth="1"/>
    <col min="7155" max="7155" width="10" style="45" bestFit="1" customWidth="1"/>
    <col min="7156" max="7156" width="5.88671875" style="45" bestFit="1" customWidth="1"/>
    <col min="7157" max="7157" width="5.6640625" style="45" bestFit="1" customWidth="1"/>
    <col min="7158" max="7158" width="10.6640625" style="45" bestFit="1" customWidth="1"/>
    <col min="7159" max="7159" width="13.109375" style="45" bestFit="1" customWidth="1"/>
    <col min="7160" max="7160" width="10" style="45" bestFit="1" customWidth="1"/>
    <col min="7161" max="7408" width="11.44140625" style="45"/>
    <col min="7409" max="7409" width="11.33203125" style="45" bestFit="1" customWidth="1"/>
    <col min="7410" max="7410" width="9.88671875" style="45" bestFit="1" customWidth="1"/>
    <col min="7411" max="7411" width="10" style="45" bestFit="1" customWidth="1"/>
    <col min="7412" max="7412" width="5.88671875" style="45" bestFit="1" customWidth="1"/>
    <col min="7413" max="7413" width="5.6640625" style="45" bestFit="1" customWidth="1"/>
    <col min="7414" max="7414" width="10.6640625" style="45" bestFit="1" customWidth="1"/>
    <col min="7415" max="7415" width="13.109375" style="45" bestFit="1" customWidth="1"/>
    <col min="7416" max="7416" width="10" style="45" bestFit="1" customWidth="1"/>
    <col min="7417" max="7664" width="11.44140625" style="45"/>
    <col min="7665" max="7665" width="11.33203125" style="45" bestFit="1" customWidth="1"/>
    <col min="7666" max="7666" width="9.88671875" style="45" bestFit="1" customWidth="1"/>
    <col min="7667" max="7667" width="10" style="45" bestFit="1" customWidth="1"/>
    <col min="7668" max="7668" width="5.88671875" style="45" bestFit="1" customWidth="1"/>
    <col min="7669" max="7669" width="5.6640625" style="45" bestFit="1" customWidth="1"/>
    <col min="7670" max="7670" width="10.6640625" style="45" bestFit="1" customWidth="1"/>
    <col min="7671" max="7671" width="13.109375" style="45" bestFit="1" customWidth="1"/>
    <col min="7672" max="7672" width="10" style="45" bestFit="1" customWidth="1"/>
    <col min="7673" max="7920" width="11.44140625" style="45"/>
    <col min="7921" max="7921" width="11.33203125" style="45" bestFit="1" customWidth="1"/>
    <col min="7922" max="7922" width="9.88671875" style="45" bestFit="1" customWidth="1"/>
    <col min="7923" max="7923" width="10" style="45" bestFit="1" customWidth="1"/>
    <col min="7924" max="7924" width="5.88671875" style="45" bestFit="1" customWidth="1"/>
    <col min="7925" max="7925" width="5.6640625" style="45" bestFit="1" customWidth="1"/>
    <col min="7926" max="7926" width="10.6640625" style="45" bestFit="1" customWidth="1"/>
    <col min="7927" max="7927" width="13.109375" style="45" bestFit="1" customWidth="1"/>
    <col min="7928" max="7928" width="10" style="45" bestFit="1" customWidth="1"/>
    <col min="7929" max="8176" width="11.44140625" style="45"/>
    <col min="8177" max="8177" width="11.33203125" style="45" bestFit="1" customWidth="1"/>
    <col min="8178" max="8178" width="9.88671875" style="45" bestFit="1" customWidth="1"/>
    <col min="8179" max="8179" width="10" style="45" bestFit="1" customWidth="1"/>
    <col min="8180" max="8180" width="5.88671875" style="45" bestFit="1" customWidth="1"/>
    <col min="8181" max="8181" width="5.6640625" style="45" bestFit="1" customWidth="1"/>
    <col min="8182" max="8182" width="10.6640625" style="45" bestFit="1" customWidth="1"/>
    <col min="8183" max="8183" width="13.109375" style="45" bestFit="1" customWidth="1"/>
    <col min="8184" max="8184" width="10" style="45" bestFit="1" customWidth="1"/>
    <col min="8185" max="8432" width="11.44140625" style="45"/>
    <col min="8433" max="8433" width="11.33203125" style="45" bestFit="1" customWidth="1"/>
    <col min="8434" max="8434" width="9.88671875" style="45" bestFit="1" customWidth="1"/>
    <col min="8435" max="8435" width="10" style="45" bestFit="1" customWidth="1"/>
    <col min="8436" max="8436" width="5.88671875" style="45" bestFit="1" customWidth="1"/>
    <col min="8437" max="8437" width="5.6640625" style="45" bestFit="1" customWidth="1"/>
    <col min="8438" max="8438" width="10.6640625" style="45" bestFit="1" customWidth="1"/>
    <col min="8439" max="8439" width="13.109375" style="45" bestFit="1" customWidth="1"/>
    <col min="8440" max="8440" width="10" style="45" bestFit="1" customWidth="1"/>
    <col min="8441" max="8688" width="11.44140625" style="45"/>
    <col min="8689" max="8689" width="11.33203125" style="45" bestFit="1" customWidth="1"/>
    <col min="8690" max="8690" width="9.88671875" style="45" bestFit="1" customWidth="1"/>
    <col min="8691" max="8691" width="10" style="45" bestFit="1" customWidth="1"/>
    <col min="8692" max="8692" width="5.88671875" style="45" bestFit="1" customWidth="1"/>
    <col min="8693" max="8693" width="5.6640625" style="45" bestFit="1" customWidth="1"/>
    <col min="8694" max="8694" width="10.6640625" style="45" bestFit="1" customWidth="1"/>
    <col min="8695" max="8695" width="13.109375" style="45" bestFit="1" customWidth="1"/>
    <col min="8696" max="8696" width="10" style="45" bestFit="1" customWidth="1"/>
    <col min="8697" max="8944" width="11.44140625" style="45"/>
    <col min="8945" max="8945" width="11.33203125" style="45" bestFit="1" customWidth="1"/>
    <col min="8946" max="8946" width="9.88671875" style="45" bestFit="1" customWidth="1"/>
    <col min="8947" max="8947" width="10" style="45" bestFit="1" customWidth="1"/>
    <col min="8948" max="8948" width="5.88671875" style="45" bestFit="1" customWidth="1"/>
    <col min="8949" max="8949" width="5.6640625" style="45" bestFit="1" customWidth="1"/>
    <col min="8950" max="8950" width="10.6640625" style="45" bestFit="1" customWidth="1"/>
    <col min="8951" max="8951" width="13.109375" style="45" bestFit="1" customWidth="1"/>
    <col min="8952" max="8952" width="10" style="45" bestFit="1" customWidth="1"/>
    <col min="8953" max="9200" width="11.44140625" style="45"/>
    <col min="9201" max="9201" width="11.33203125" style="45" bestFit="1" customWidth="1"/>
    <col min="9202" max="9202" width="9.88671875" style="45" bestFit="1" customWidth="1"/>
    <col min="9203" max="9203" width="10" style="45" bestFit="1" customWidth="1"/>
    <col min="9204" max="9204" width="5.88671875" style="45" bestFit="1" customWidth="1"/>
    <col min="9205" max="9205" width="5.6640625" style="45" bestFit="1" customWidth="1"/>
    <col min="9206" max="9206" width="10.6640625" style="45" bestFit="1" customWidth="1"/>
    <col min="9207" max="9207" width="13.109375" style="45" bestFit="1" customWidth="1"/>
    <col min="9208" max="9208" width="10" style="45" bestFit="1" customWidth="1"/>
    <col min="9209" max="9456" width="11.44140625" style="45"/>
    <col min="9457" max="9457" width="11.33203125" style="45" bestFit="1" customWidth="1"/>
    <col min="9458" max="9458" width="9.88671875" style="45" bestFit="1" customWidth="1"/>
    <col min="9459" max="9459" width="10" style="45" bestFit="1" customWidth="1"/>
    <col min="9460" max="9460" width="5.88671875" style="45" bestFit="1" customWidth="1"/>
    <col min="9461" max="9461" width="5.6640625" style="45" bestFit="1" customWidth="1"/>
    <col min="9462" max="9462" width="10.6640625" style="45" bestFit="1" customWidth="1"/>
    <col min="9463" max="9463" width="13.109375" style="45" bestFit="1" customWidth="1"/>
    <col min="9464" max="9464" width="10" style="45" bestFit="1" customWidth="1"/>
    <col min="9465" max="9712" width="11.44140625" style="45"/>
    <col min="9713" max="9713" width="11.33203125" style="45" bestFit="1" customWidth="1"/>
    <col min="9714" max="9714" width="9.88671875" style="45" bestFit="1" customWidth="1"/>
    <col min="9715" max="9715" width="10" style="45" bestFit="1" customWidth="1"/>
    <col min="9716" max="9716" width="5.88671875" style="45" bestFit="1" customWidth="1"/>
    <col min="9717" max="9717" width="5.6640625" style="45" bestFit="1" customWidth="1"/>
    <col min="9718" max="9718" width="10.6640625" style="45" bestFit="1" customWidth="1"/>
    <col min="9719" max="9719" width="13.109375" style="45" bestFit="1" customWidth="1"/>
    <col min="9720" max="9720" width="10" style="45" bestFit="1" customWidth="1"/>
    <col min="9721" max="9968" width="11.44140625" style="45"/>
    <col min="9969" max="9969" width="11.33203125" style="45" bestFit="1" customWidth="1"/>
    <col min="9970" max="9970" width="9.88671875" style="45" bestFit="1" customWidth="1"/>
    <col min="9971" max="9971" width="10" style="45" bestFit="1" customWidth="1"/>
    <col min="9972" max="9972" width="5.88671875" style="45" bestFit="1" customWidth="1"/>
    <col min="9973" max="9973" width="5.6640625" style="45" bestFit="1" customWidth="1"/>
    <col min="9974" max="9974" width="10.6640625" style="45" bestFit="1" customWidth="1"/>
    <col min="9975" max="9975" width="13.109375" style="45" bestFit="1" customWidth="1"/>
    <col min="9976" max="9976" width="10" style="45" bestFit="1" customWidth="1"/>
    <col min="9977" max="10224" width="11.44140625" style="45"/>
    <col min="10225" max="10225" width="11.33203125" style="45" bestFit="1" customWidth="1"/>
    <col min="10226" max="10226" width="9.88671875" style="45" bestFit="1" customWidth="1"/>
    <col min="10227" max="10227" width="10" style="45" bestFit="1" customWidth="1"/>
    <col min="10228" max="10228" width="5.88671875" style="45" bestFit="1" customWidth="1"/>
    <col min="10229" max="10229" width="5.6640625" style="45" bestFit="1" customWidth="1"/>
    <col min="10230" max="10230" width="10.6640625" style="45" bestFit="1" customWidth="1"/>
    <col min="10231" max="10231" width="13.109375" style="45" bestFit="1" customWidth="1"/>
    <col min="10232" max="10232" width="10" style="45" bestFit="1" customWidth="1"/>
    <col min="10233" max="10480" width="11.44140625" style="45"/>
    <col min="10481" max="10481" width="11.33203125" style="45" bestFit="1" customWidth="1"/>
    <col min="10482" max="10482" width="9.88671875" style="45" bestFit="1" customWidth="1"/>
    <col min="10483" max="10483" width="10" style="45" bestFit="1" customWidth="1"/>
    <col min="10484" max="10484" width="5.88671875" style="45" bestFit="1" customWidth="1"/>
    <col min="10485" max="10485" width="5.6640625" style="45" bestFit="1" customWidth="1"/>
    <col min="10486" max="10486" width="10.6640625" style="45" bestFit="1" customWidth="1"/>
    <col min="10487" max="10487" width="13.109375" style="45" bestFit="1" customWidth="1"/>
    <col min="10488" max="10488" width="10" style="45" bestFit="1" customWidth="1"/>
    <col min="10489" max="10736" width="11.44140625" style="45"/>
    <col min="10737" max="10737" width="11.33203125" style="45" bestFit="1" customWidth="1"/>
    <col min="10738" max="10738" width="9.88671875" style="45" bestFit="1" customWidth="1"/>
    <col min="10739" max="10739" width="10" style="45" bestFit="1" customWidth="1"/>
    <col min="10740" max="10740" width="5.88671875" style="45" bestFit="1" customWidth="1"/>
    <col min="10741" max="10741" width="5.6640625" style="45" bestFit="1" customWidth="1"/>
    <col min="10742" max="10742" width="10.6640625" style="45" bestFit="1" customWidth="1"/>
    <col min="10743" max="10743" width="13.109375" style="45" bestFit="1" customWidth="1"/>
    <col min="10744" max="10744" width="10" style="45" bestFit="1" customWidth="1"/>
    <col min="10745" max="10992" width="11.44140625" style="45"/>
    <col min="10993" max="10993" width="11.33203125" style="45" bestFit="1" customWidth="1"/>
    <col min="10994" max="10994" width="9.88671875" style="45" bestFit="1" customWidth="1"/>
    <col min="10995" max="10995" width="10" style="45" bestFit="1" customWidth="1"/>
    <col min="10996" max="10996" width="5.88671875" style="45" bestFit="1" customWidth="1"/>
    <col min="10997" max="10997" width="5.6640625" style="45" bestFit="1" customWidth="1"/>
    <col min="10998" max="10998" width="10.6640625" style="45" bestFit="1" customWidth="1"/>
    <col min="10999" max="10999" width="13.109375" style="45" bestFit="1" customWidth="1"/>
    <col min="11000" max="11000" width="10" style="45" bestFit="1" customWidth="1"/>
    <col min="11001" max="11248" width="11.44140625" style="45"/>
    <col min="11249" max="11249" width="11.33203125" style="45" bestFit="1" customWidth="1"/>
    <col min="11250" max="11250" width="9.88671875" style="45" bestFit="1" customWidth="1"/>
    <col min="11251" max="11251" width="10" style="45" bestFit="1" customWidth="1"/>
    <col min="11252" max="11252" width="5.88671875" style="45" bestFit="1" customWidth="1"/>
    <col min="11253" max="11253" width="5.6640625" style="45" bestFit="1" customWidth="1"/>
    <col min="11254" max="11254" width="10.6640625" style="45" bestFit="1" customWidth="1"/>
    <col min="11255" max="11255" width="13.109375" style="45" bestFit="1" customWidth="1"/>
    <col min="11256" max="11256" width="10" style="45" bestFit="1" customWidth="1"/>
    <col min="11257" max="11504" width="11.44140625" style="45"/>
    <col min="11505" max="11505" width="11.33203125" style="45" bestFit="1" customWidth="1"/>
    <col min="11506" max="11506" width="9.88671875" style="45" bestFit="1" customWidth="1"/>
    <col min="11507" max="11507" width="10" style="45" bestFit="1" customWidth="1"/>
    <col min="11508" max="11508" width="5.88671875" style="45" bestFit="1" customWidth="1"/>
    <col min="11509" max="11509" width="5.6640625" style="45" bestFit="1" customWidth="1"/>
    <col min="11510" max="11510" width="10.6640625" style="45" bestFit="1" customWidth="1"/>
    <col min="11511" max="11511" width="13.109375" style="45" bestFit="1" customWidth="1"/>
    <col min="11512" max="11512" width="10" style="45" bestFit="1" customWidth="1"/>
    <col min="11513" max="11760" width="11.44140625" style="45"/>
    <col min="11761" max="11761" width="11.33203125" style="45" bestFit="1" customWidth="1"/>
    <col min="11762" max="11762" width="9.88671875" style="45" bestFit="1" customWidth="1"/>
    <col min="11763" max="11763" width="10" style="45" bestFit="1" customWidth="1"/>
    <col min="11764" max="11764" width="5.88671875" style="45" bestFit="1" customWidth="1"/>
    <col min="11765" max="11765" width="5.6640625" style="45" bestFit="1" customWidth="1"/>
    <col min="11766" max="11766" width="10.6640625" style="45" bestFit="1" customWidth="1"/>
    <col min="11767" max="11767" width="13.109375" style="45" bestFit="1" customWidth="1"/>
    <col min="11768" max="11768" width="10" style="45" bestFit="1" customWidth="1"/>
    <col min="11769" max="12016" width="11.44140625" style="45"/>
    <col min="12017" max="12017" width="11.33203125" style="45" bestFit="1" customWidth="1"/>
    <col min="12018" max="12018" width="9.88671875" style="45" bestFit="1" customWidth="1"/>
    <col min="12019" max="12019" width="10" style="45" bestFit="1" customWidth="1"/>
    <col min="12020" max="12020" width="5.88671875" style="45" bestFit="1" customWidth="1"/>
    <col min="12021" max="12021" width="5.6640625" style="45" bestFit="1" customWidth="1"/>
    <col min="12022" max="12022" width="10.6640625" style="45" bestFit="1" customWidth="1"/>
    <col min="12023" max="12023" width="13.109375" style="45" bestFit="1" customWidth="1"/>
    <col min="12024" max="12024" width="10" style="45" bestFit="1" customWidth="1"/>
    <col min="12025" max="12272" width="11.44140625" style="45"/>
    <col min="12273" max="12273" width="11.33203125" style="45" bestFit="1" customWidth="1"/>
    <col min="12274" max="12274" width="9.88671875" style="45" bestFit="1" customWidth="1"/>
    <col min="12275" max="12275" width="10" style="45" bestFit="1" customWidth="1"/>
    <col min="12276" max="12276" width="5.88671875" style="45" bestFit="1" customWidth="1"/>
    <col min="12277" max="12277" width="5.6640625" style="45" bestFit="1" customWidth="1"/>
    <col min="12278" max="12278" width="10.6640625" style="45" bestFit="1" customWidth="1"/>
    <col min="12279" max="12279" width="13.109375" style="45" bestFit="1" customWidth="1"/>
    <col min="12280" max="12280" width="10" style="45" bestFit="1" customWidth="1"/>
    <col min="12281" max="12528" width="11.44140625" style="45"/>
    <col min="12529" max="12529" width="11.33203125" style="45" bestFit="1" customWidth="1"/>
    <col min="12530" max="12530" width="9.88671875" style="45" bestFit="1" customWidth="1"/>
    <col min="12531" max="12531" width="10" style="45" bestFit="1" customWidth="1"/>
    <col min="12532" max="12532" width="5.88671875" style="45" bestFit="1" customWidth="1"/>
    <col min="12533" max="12533" width="5.6640625" style="45" bestFit="1" customWidth="1"/>
    <col min="12534" max="12534" width="10.6640625" style="45" bestFit="1" customWidth="1"/>
    <col min="12535" max="12535" width="13.109375" style="45" bestFit="1" customWidth="1"/>
    <col min="12536" max="12536" width="10" style="45" bestFit="1" customWidth="1"/>
    <col min="12537" max="12784" width="11.44140625" style="45"/>
    <col min="12785" max="12785" width="11.33203125" style="45" bestFit="1" customWidth="1"/>
    <col min="12786" max="12786" width="9.88671875" style="45" bestFit="1" customWidth="1"/>
    <col min="12787" max="12787" width="10" style="45" bestFit="1" customWidth="1"/>
    <col min="12788" max="12788" width="5.88671875" style="45" bestFit="1" customWidth="1"/>
    <col min="12789" max="12789" width="5.6640625" style="45" bestFit="1" customWidth="1"/>
    <col min="12790" max="12790" width="10.6640625" style="45" bestFit="1" customWidth="1"/>
    <col min="12791" max="12791" width="13.109375" style="45" bestFit="1" customWidth="1"/>
    <col min="12792" max="12792" width="10" style="45" bestFit="1" customWidth="1"/>
    <col min="12793" max="13040" width="11.44140625" style="45"/>
    <col min="13041" max="13041" width="11.33203125" style="45" bestFit="1" customWidth="1"/>
    <col min="13042" max="13042" width="9.88671875" style="45" bestFit="1" customWidth="1"/>
    <col min="13043" max="13043" width="10" style="45" bestFit="1" customWidth="1"/>
    <col min="13044" max="13044" width="5.88671875" style="45" bestFit="1" customWidth="1"/>
    <col min="13045" max="13045" width="5.6640625" style="45" bestFit="1" customWidth="1"/>
    <col min="13046" max="13046" width="10.6640625" style="45" bestFit="1" customWidth="1"/>
    <col min="13047" max="13047" width="13.109375" style="45" bestFit="1" customWidth="1"/>
    <col min="13048" max="13048" width="10" style="45" bestFit="1" customWidth="1"/>
    <col min="13049" max="13296" width="11.44140625" style="45"/>
    <col min="13297" max="13297" width="11.33203125" style="45" bestFit="1" customWidth="1"/>
    <col min="13298" max="13298" width="9.88671875" style="45" bestFit="1" customWidth="1"/>
    <col min="13299" max="13299" width="10" style="45" bestFit="1" customWidth="1"/>
    <col min="13300" max="13300" width="5.88671875" style="45" bestFit="1" customWidth="1"/>
    <col min="13301" max="13301" width="5.6640625" style="45" bestFit="1" customWidth="1"/>
    <col min="13302" max="13302" width="10.6640625" style="45" bestFit="1" customWidth="1"/>
    <col min="13303" max="13303" width="13.109375" style="45" bestFit="1" customWidth="1"/>
    <col min="13304" max="13304" width="10" style="45" bestFit="1" customWidth="1"/>
    <col min="13305" max="13552" width="11.44140625" style="45"/>
    <col min="13553" max="13553" width="11.33203125" style="45" bestFit="1" customWidth="1"/>
    <col min="13554" max="13554" width="9.88671875" style="45" bestFit="1" customWidth="1"/>
    <col min="13555" max="13555" width="10" style="45" bestFit="1" customWidth="1"/>
    <col min="13556" max="13556" width="5.88671875" style="45" bestFit="1" customWidth="1"/>
    <col min="13557" max="13557" width="5.6640625" style="45" bestFit="1" customWidth="1"/>
    <col min="13558" max="13558" width="10.6640625" style="45" bestFit="1" customWidth="1"/>
    <col min="13559" max="13559" width="13.109375" style="45" bestFit="1" customWidth="1"/>
    <col min="13560" max="13560" width="10" style="45" bestFit="1" customWidth="1"/>
    <col min="13561" max="13808" width="11.44140625" style="45"/>
    <col min="13809" max="13809" width="11.33203125" style="45" bestFit="1" customWidth="1"/>
    <col min="13810" max="13810" width="9.88671875" style="45" bestFit="1" customWidth="1"/>
    <col min="13811" max="13811" width="10" style="45" bestFit="1" customWidth="1"/>
    <col min="13812" max="13812" width="5.88671875" style="45" bestFit="1" customWidth="1"/>
    <col min="13813" max="13813" width="5.6640625" style="45" bestFit="1" customWidth="1"/>
    <col min="13814" max="13814" width="10.6640625" style="45" bestFit="1" customWidth="1"/>
    <col min="13815" max="13815" width="13.109375" style="45" bestFit="1" customWidth="1"/>
    <col min="13816" max="13816" width="10" style="45" bestFit="1" customWidth="1"/>
    <col min="13817" max="14064" width="11.44140625" style="45"/>
    <col min="14065" max="14065" width="11.33203125" style="45" bestFit="1" customWidth="1"/>
    <col min="14066" max="14066" width="9.88671875" style="45" bestFit="1" customWidth="1"/>
    <col min="14067" max="14067" width="10" style="45" bestFit="1" customWidth="1"/>
    <col min="14068" max="14068" width="5.88671875" style="45" bestFit="1" customWidth="1"/>
    <col min="14069" max="14069" width="5.6640625" style="45" bestFit="1" customWidth="1"/>
    <col min="14070" max="14070" width="10.6640625" style="45" bestFit="1" customWidth="1"/>
    <col min="14071" max="14071" width="13.109375" style="45" bestFit="1" customWidth="1"/>
    <col min="14072" max="14072" width="10" style="45" bestFit="1" customWidth="1"/>
    <col min="14073" max="14320" width="11.44140625" style="45"/>
    <col min="14321" max="14321" width="11.33203125" style="45" bestFit="1" customWidth="1"/>
    <col min="14322" max="14322" width="9.88671875" style="45" bestFit="1" customWidth="1"/>
    <col min="14323" max="14323" width="10" style="45" bestFit="1" customWidth="1"/>
    <col min="14324" max="14324" width="5.88671875" style="45" bestFit="1" customWidth="1"/>
    <col min="14325" max="14325" width="5.6640625" style="45" bestFit="1" customWidth="1"/>
    <col min="14326" max="14326" width="10.6640625" style="45" bestFit="1" customWidth="1"/>
    <col min="14327" max="14327" width="13.109375" style="45" bestFit="1" customWidth="1"/>
    <col min="14328" max="14328" width="10" style="45" bestFit="1" customWidth="1"/>
    <col min="14329" max="14576" width="11.44140625" style="45"/>
    <col min="14577" max="14577" width="11.33203125" style="45" bestFit="1" customWidth="1"/>
    <col min="14578" max="14578" width="9.88671875" style="45" bestFit="1" customWidth="1"/>
    <col min="14579" max="14579" width="10" style="45" bestFit="1" customWidth="1"/>
    <col min="14580" max="14580" width="5.88671875" style="45" bestFit="1" customWidth="1"/>
    <col min="14581" max="14581" width="5.6640625" style="45" bestFit="1" customWidth="1"/>
    <col min="14582" max="14582" width="10.6640625" style="45" bestFit="1" customWidth="1"/>
    <col min="14583" max="14583" width="13.109375" style="45" bestFit="1" customWidth="1"/>
    <col min="14584" max="14584" width="10" style="45" bestFit="1" customWidth="1"/>
    <col min="14585" max="14832" width="11.44140625" style="45"/>
    <col min="14833" max="14833" width="11.33203125" style="45" bestFit="1" customWidth="1"/>
    <col min="14834" max="14834" width="9.88671875" style="45" bestFit="1" customWidth="1"/>
    <col min="14835" max="14835" width="10" style="45" bestFit="1" customWidth="1"/>
    <col min="14836" max="14836" width="5.88671875" style="45" bestFit="1" customWidth="1"/>
    <col min="14837" max="14837" width="5.6640625" style="45" bestFit="1" customWidth="1"/>
    <col min="14838" max="14838" width="10.6640625" style="45" bestFit="1" customWidth="1"/>
    <col min="14839" max="14839" width="13.109375" style="45" bestFit="1" customWidth="1"/>
    <col min="14840" max="14840" width="10" style="45" bestFit="1" customWidth="1"/>
    <col min="14841" max="15088" width="11.44140625" style="45"/>
    <col min="15089" max="15089" width="11.33203125" style="45" bestFit="1" customWidth="1"/>
    <col min="15090" max="15090" width="9.88671875" style="45" bestFit="1" customWidth="1"/>
    <col min="15091" max="15091" width="10" style="45" bestFit="1" customWidth="1"/>
    <col min="15092" max="15092" width="5.88671875" style="45" bestFit="1" customWidth="1"/>
    <col min="15093" max="15093" width="5.6640625" style="45" bestFit="1" customWidth="1"/>
    <col min="15094" max="15094" width="10.6640625" style="45" bestFit="1" customWidth="1"/>
    <col min="15095" max="15095" width="13.109375" style="45" bestFit="1" customWidth="1"/>
    <col min="15096" max="15096" width="10" style="45" bestFit="1" customWidth="1"/>
    <col min="15097" max="15344" width="11.44140625" style="45"/>
    <col min="15345" max="15345" width="11.33203125" style="45" bestFit="1" customWidth="1"/>
    <col min="15346" max="15346" width="9.88671875" style="45" bestFit="1" customWidth="1"/>
    <col min="15347" max="15347" width="10" style="45" bestFit="1" customWidth="1"/>
    <col min="15348" max="15348" width="5.88671875" style="45" bestFit="1" customWidth="1"/>
    <col min="15349" max="15349" width="5.6640625" style="45" bestFit="1" customWidth="1"/>
    <col min="15350" max="15350" width="10.6640625" style="45" bestFit="1" customWidth="1"/>
    <col min="15351" max="15351" width="13.109375" style="45" bestFit="1" customWidth="1"/>
    <col min="15352" max="15352" width="10" style="45" bestFit="1" customWidth="1"/>
    <col min="15353" max="15600" width="11.44140625" style="45"/>
    <col min="15601" max="15601" width="11.33203125" style="45" bestFit="1" customWidth="1"/>
    <col min="15602" max="15602" width="9.88671875" style="45" bestFit="1" customWidth="1"/>
    <col min="15603" max="15603" width="10" style="45" bestFit="1" customWidth="1"/>
    <col min="15604" max="15604" width="5.88671875" style="45" bestFit="1" customWidth="1"/>
    <col min="15605" max="15605" width="5.6640625" style="45" bestFit="1" customWidth="1"/>
    <col min="15606" max="15606" width="10.6640625" style="45" bestFit="1" customWidth="1"/>
    <col min="15607" max="15607" width="13.109375" style="45" bestFit="1" customWidth="1"/>
    <col min="15608" max="15608" width="10" style="45" bestFit="1" customWidth="1"/>
    <col min="15609" max="15856" width="11.44140625" style="45"/>
    <col min="15857" max="15857" width="11.33203125" style="45" bestFit="1" customWidth="1"/>
    <col min="15858" max="15858" width="9.88671875" style="45" bestFit="1" customWidth="1"/>
    <col min="15859" max="15859" width="10" style="45" bestFit="1" customWidth="1"/>
    <col min="15860" max="15860" width="5.88671875" style="45" bestFit="1" customWidth="1"/>
    <col min="15861" max="15861" width="5.6640625" style="45" bestFit="1" customWidth="1"/>
    <col min="15862" max="15862" width="10.6640625" style="45" bestFit="1" customWidth="1"/>
    <col min="15863" max="15863" width="13.109375" style="45" bestFit="1" customWidth="1"/>
    <col min="15864" max="15864" width="10" style="45" bestFit="1" customWidth="1"/>
    <col min="15865" max="16112" width="11.44140625" style="45"/>
    <col min="16113" max="16113" width="11.33203125" style="45" bestFit="1" customWidth="1"/>
    <col min="16114" max="16114" width="9.88671875" style="45" bestFit="1" customWidth="1"/>
    <col min="16115" max="16115" width="10" style="45" bestFit="1" customWidth="1"/>
    <col min="16116" max="16116" width="5.88671875" style="45" bestFit="1" customWidth="1"/>
    <col min="16117" max="16117" width="5.6640625" style="45" bestFit="1" customWidth="1"/>
    <col min="16118" max="16118" width="10.6640625" style="45" bestFit="1" customWidth="1"/>
    <col min="16119" max="16119" width="13.109375" style="45" bestFit="1" customWidth="1"/>
    <col min="16120" max="16120" width="10" style="45" bestFit="1" customWidth="1"/>
    <col min="16121" max="16384" width="11.44140625" style="45"/>
  </cols>
  <sheetData>
    <row r="3" spans="2:15" ht="13.2" x14ac:dyDescent="0.25">
      <c r="B3" s="25" t="s">
        <v>43</v>
      </c>
    </row>
    <row r="4" spans="2:15" ht="13.8" x14ac:dyDescent="0.2">
      <c r="B4" s="46" t="s">
        <v>44</v>
      </c>
      <c r="C4" s="46" t="s">
        <v>3</v>
      </c>
      <c r="D4" s="46" t="s">
        <v>45</v>
      </c>
      <c r="E4" s="46" t="s">
        <v>46</v>
      </c>
      <c r="F4" s="46" t="s">
        <v>47</v>
      </c>
      <c r="G4" s="46" t="s">
        <v>48</v>
      </c>
      <c r="H4" s="46" t="s">
        <v>49</v>
      </c>
      <c r="I4" s="46" t="s">
        <v>50</v>
      </c>
    </row>
    <row r="5" spans="2:15" x14ac:dyDescent="0.2">
      <c r="D5" s="45" t="s">
        <v>51</v>
      </c>
      <c r="G5" s="45">
        <f>O5*0.2*N5</f>
        <v>86400</v>
      </c>
      <c r="H5" s="45" t="s">
        <v>89</v>
      </c>
      <c r="K5" s="45" t="s">
        <v>155</v>
      </c>
      <c r="N5" s="45">
        <v>0.6</v>
      </c>
      <c r="O5" s="45">
        <v>720000</v>
      </c>
    </row>
    <row r="6" spans="2:15" x14ac:dyDescent="0.2">
      <c r="D6" s="45" t="s">
        <v>51</v>
      </c>
      <c r="G6" s="45">
        <f>O5*0.75*N5</f>
        <v>324000</v>
      </c>
      <c r="H6" s="45" t="s">
        <v>90</v>
      </c>
      <c r="N6" s="45">
        <v>0.4</v>
      </c>
    </row>
    <row r="7" spans="2:15" x14ac:dyDescent="0.2">
      <c r="D7" s="45" t="s">
        <v>51</v>
      </c>
      <c r="G7" s="45">
        <f>O5*0.05*N5</f>
        <v>21600</v>
      </c>
      <c r="H7" s="45" t="s">
        <v>91</v>
      </c>
      <c r="K7" s="47"/>
    </row>
    <row r="8" spans="2:15" x14ac:dyDescent="0.2">
      <c r="D8" s="45" t="s">
        <v>51</v>
      </c>
      <c r="G8" s="45">
        <v>9999</v>
      </c>
      <c r="H8" s="45" t="s">
        <v>75</v>
      </c>
    </row>
    <row r="9" spans="2:15" x14ac:dyDescent="0.2">
      <c r="D9" s="45" t="s">
        <v>51</v>
      </c>
      <c r="G9" s="45">
        <f>O5*0.2*N6</f>
        <v>57600</v>
      </c>
      <c r="H9" s="45" t="s">
        <v>92</v>
      </c>
    </row>
    <row r="10" spans="2:15" x14ac:dyDescent="0.2">
      <c r="D10" s="45" t="s">
        <v>51</v>
      </c>
      <c r="G10" s="45">
        <f>O5*0.75*N6</f>
        <v>216000</v>
      </c>
      <c r="H10" s="45" t="s">
        <v>93</v>
      </c>
      <c r="K10" s="47"/>
    </row>
    <row r="11" spans="2:15" x14ac:dyDescent="0.2">
      <c r="D11" s="45" t="s">
        <v>51</v>
      </c>
      <c r="G11" s="45">
        <f>O5*N6*0.05</f>
        <v>14400</v>
      </c>
      <c r="H11" s="45" t="s">
        <v>94</v>
      </c>
    </row>
    <row r="12" spans="2:15" x14ac:dyDescent="0.2">
      <c r="D12" s="45" t="s">
        <v>51</v>
      </c>
      <c r="G12" s="45">
        <v>9999</v>
      </c>
      <c r="H12" s="45" t="s">
        <v>76</v>
      </c>
    </row>
    <row r="13" spans="2:15" x14ac:dyDescent="0.2">
      <c r="D13" s="45" t="s">
        <v>52</v>
      </c>
      <c r="E13" s="45">
        <v>2017</v>
      </c>
      <c r="G13" s="48">
        <v>0.9</v>
      </c>
      <c r="H13" s="45" t="s">
        <v>89</v>
      </c>
      <c r="I13" s="45" t="str">
        <f>MID(H13,4,9)</f>
        <v>RSVCOABIC</v>
      </c>
    </row>
    <row r="14" spans="2:15" x14ac:dyDescent="0.2">
      <c r="D14" s="45" t="s">
        <v>52</v>
      </c>
      <c r="E14" s="45">
        <v>2017</v>
      </c>
      <c r="G14" s="48">
        <v>0.9</v>
      </c>
      <c r="H14" s="45" t="s">
        <v>90</v>
      </c>
      <c r="I14" s="45" t="str">
        <f>MID(H14,4,9)</f>
        <v>RSVCOASUB</v>
      </c>
    </row>
    <row r="15" spans="2:15" x14ac:dyDescent="0.2">
      <c r="D15" s="45" t="s">
        <v>52</v>
      </c>
      <c r="E15" s="45">
        <v>2017</v>
      </c>
      <c r="G15" s="48">
        <v>0.5</v>
      </c>
      <c r="H15" s="45" t="s">
        <v>91</v>
      </c>
      <c r="I15" s="45" t="str">
        <f>MID(H15,4,9)</f>
        <v>RSVCOABCO</v>
      </c>
    </row>
    <row r="16" spans="2:15" x14ac:dyDescent="0.2">
      <c r="D16" s="45" t="s">
        <v>52</v>
      </c>
      <c r="E16" s="45">
        <v>2017</v>
      </c>
      <c r="G16" s="48">
        <v>0.5</v>
      </c>
      <c r="H16" s="45" t="s">
        <v>75</v>
      </c>
      <c r="I16" s="45" t="str">
        <f t="shared" ref="I16:I28" si="0">MID(H16,4,6)</f>
        <v>COACOK</v>
      </c>
    </row>
    <row r="17" spans="4:9" x14ac:dyDescent="0.2">
      <c r="D17" s="45" t="s">
        <v>52</v>
      </c>
      <c r="E17" s="45">
        <v>2017</v>
      </c>
      <c r="G17" s="48">
        <v>1.5</v>
      </c>
      <c r="H17" s="45" t="s">
        <v>92</v>
      </c>
      <c r="I17" s="45" t="str">
        <f>MID(H17,4,9)</f>
        <v>RSVCOABIC</v>
      </c>
    </row>
    <row r="18" spans="4:9" x14ac:dyDescent="0.2">
      <c r="D18" s="45" t="s">
        <v>52</v>
      </c>
      <c r="E18" s="45">
        <v>2017</v>
      </c>
      <c r="G18" s="48">
        <v>1.5</v>
      </c>
      <c r="H18" s="45" t="s">
        <v>93</v>
      </c>
      <c r="I18" s="45" t="str">
        <f>MID(H18,4,9)</f>
        <v>RSVCOASUB</v>
      </c>
    </row>
    <row r="19" spans="4:9" x14ac:dyDescent="0.2">
      <c r="D19" s="45" t="s">
        <v>52</v>
      </c>
      <c r="E19" s="45">
        <v>2017</v>
      </c>
      <c r="G19" s="48">
        <v>2</v>
      </c>
      <c r="H19" s="45" t="s">
        <v>94</v>
      </c>
      <c r="I19" s="45" t="str">
        <f>MID(H19,4,9)</f>
        <v>RSVCOABCO</v>
      </c>
    </row>
    <row r="20" spans="4:9" x14ac:dyDescent="0.2">
      <c r="D20" s="45" t="s">
        <v>52</v>
      </c>
      <c r="E20" s="45">
        <v>2017</v>
      </c>
      <c r="G20" s="48">
        <v>2</v>
      </c>
      <c r="H20" s="45" t="s">
        <v>76</v>
      </c>
      <c r="I20" s="45" t="str">
        <f t="shared" si="0"/>
        <v>COACOK</v>
      </c>
    </row>
    <row r="21" spans="4:9" x14ac:dyDescent="0.2">
      <c r="D21" s="45" t="s">
        <v>52</v>
      </c>
      <c r="E21" s="45">
        <v>2050</v>
      </c>
      <c r="G21" s="48">
        <f t="shared" ref="G21:G28" si="1">G13*1.2</f>
        <v>1.08</v>
      </c>
      <c r="H21" s="45" t="s">
        <v>89</v>
      </c>
      <c r="I21" s="45" t="str">
        <f>MID(H21,4,9)</f>
        <v>RSVCOABIC</v>
      </c>
    </row>
    <row r="22" spans="4:9" x14ac:dyDescent="0.2">
      <c r="D22" s="45" t="s">
        <v>52</v>
      </c>
      <c r="E22" s="45">
        <v>2050</v>
      </c>
      <c r="G22" s="48">
        <f t="shared" si="1"/>
        <v>1.08</v>
      </c>
      <c r="H22" s="45" t="s">
        <v>90</v>
      </c>
      <c r="I22" s="45" t="str">
        <f t="shared" ref="I22:I27" si="2">MID(H22,4,9)</f>
        <v>RSVCOASUB</v>
      </c>
    </row>
    <row r="23" spans="4:9" x14ac:dyDescent="0.2">
      <c r="D23" s="45" t="s">
        <v>52</v>
      </c>
      <c r="E23" s="45">
        <v>2050</v>
      </c>
      <c r="G23" s="48">
        <f t="shared" si="1"/>
        <v>0.6</v>
      </c>
      <c r="H23" s="45" t="s">
        <v>91</v>
      </c>
      <c r="I23" s="45" t="str">
        <f t="shared" si="2"/>
        <v>RSVCOABCO</v>
      </c>
    </row>
    <row r="24" spans="4:9" x14ac:dyDescent="0.2">
      <c r="D24" s="45" t="s">
        <v>52</v>
      </c>
      <c r="E24" s="45">
        <v>2050</v>
      </c>
      <c r="G24" s="48">
        <f t="shared" si="1"/>
        <v>0.6</v>
      </c>
      <c r="H24" s="45" t="s">
        <v>75</v>
      </c>
      <c r="I24" s="45" t="str">
        <f t="shared" si="0"/>
        <v>COACOK</v>
      </c>
    </row>
    <row r="25" spans="4:9" x14ac:dyDescent="0.2">
      <c r="D25" s="45" t="s">
        <v>52</v>
      </c>
      <c r="E25" s="45">
        <v>2050</v>
      </c>
      <c r="G25" s="48">
        <f t="shared" si="1"/>
        <v>1.7999999999999998</v>
      </c>
      <c r="H25" s="45" t="s">
        <v>92</v>
      </c>
      <c r="I25" s="45" t="str">
        <f t="shared" si="2"/>
        <v>RSVCOABIC</v>
      </c>
    </row>
    <row r="26" spans="4:9" x14ac:dyDescent="0.2">
      <c r="D26" s="45" t="s">
        <v>52</v>
      </c>
      <c r="E26" s="45">
        <v>2050</v>
      </c>
      <c r="G26" s="48">
        <f t="shared" si="1"/>
        <v>1.7999999999999998</v>
      </c>
      <c r="H26" s="45" t="s">
        <v>93</v>
      </c>
      <c r="I26" s="45" t="str">
        <f t="shared" si="2"/>
        <v>RSVCOASUB</v>
      </c>
    </row>
    <row r="27" spans="4:9" x14ac:dyDescent="0.2">
      <c r="D27" s="45" t="s">
        <v>52</v>
      </c>
      <c r="E27" s="45">
        <v>2050</v>
      </c>
      <c r="G27" s="48">
        <f t="shared" si="1"/>
        <v>2.4</v>
      </c>
      <c r="H27" s="45" t="s">
        <v>94</v>
      </c>
      <c r="I27" s="45" t="str">
        <f t="shared" si="2"/>
        <v>RSVCOABCO</v>
      </c>
    </row>
    <row r="28" spans="4:9" x14ac:dyDescent="0.2">
      <c r="D28" s="45" t="s">
        <v>52</v>
      </c>
      <c r="E28" s="45">
        <v>2050</v>
      </c>
      <c r="G28" s="48">
        <f t="shared" si="1"/>
        <v>2.4</v>
      </c>
      <c r="H28" s="45" t="s">
        <v>76</v>
      </c>
      <c r="I28" s="45" t="str">
        <f t="shared" si="0"/>
        <v>COACOK</v>
      </c>
    </row>
  </sheetData>
  <pageMargins left="0.75" right="0.75" top="1" bottom="1" header="0.4921259845" footer="0.492125984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E2996-D4C1-4212-B91F-006BEB31CE9D}">
  <dimension ref="B3:O22"/>
  <sheetViews>
    <sheetView zoomScale="80" zoomScaleNormal="80" workbookViewId="0">
      <selection sqref="A1:XFD1048576"/>
    </sheetView>
  </sheetViews>
  <sheetFormatPr defaultColWidth="11.44140625" defaultRowHeight="11.4" x14ac:dyDescent="0.2"/>
  <cols>
    <col min="1" max="7" width="11.44140625" style="45"/>
    <col min="8" max="8" width="17" style="45" bestFit="1" customWidth="1"/>
    <col min="9" max="9" width="12.44140625" style="45" bestFit="1" customWidth="1"/>
    <col min="10" max="238" width="11.44140625" style="45"/>
    <col min="239" max="239" width="7.6640625" style="45" bestFit="1" customWidth="1"/>
    <col min="240" max="240" width="9" style="45" bestFit="1" customWidth="1"/>
    <col min="241" max="241" width="8.33203125" style="45" customWidth="1"/>
    <col min="242" max="242" width="6.44140625" style="45" bestFit="1" customWidth="1"/>
    <col min="243" max="243" width="9.109375" style="45" bestFit="1" customWidth="1"/>
    <col min="244" max="244" width="14.33203125" style="45" bestFit="1" customWidth="1"/>
    <col min="245" max="245" width="11.44140625" style="45"/>
    <col min="246" max="246" width="12.6640625" style="45" bestFit="1" customWidth="1"/>
    <col min="247" max="494" width="11.44140625" style="45"/>
    <col min="495" max="495" width="7.6640625" style="45" bestFit="1" customWidth="1"/>
    <col min="496" max="496" width="9" style="45" bestFit="1" customWidth="1"/>
    <col min="497" max="497" width="8.33203125" style="45" customWidth="1"/>
    <col min="498" max="498" width="6.44140625" style="45" bestFit="1" customWidth="1"/>
    <col min="499" max="499" width="9.109375" style="45" bestFit="1" customWidth="1"/>
    <col min="500" max="500" width="14.33203125" style="45" bestFit="1" customWidth="1"/>
    <col min="501" max="501" width="11.44140625" style="45"/>
    <col min="502" max="502" width="12.6640625" style="45" bestFit="1" customWidth="1"/>
    <col min="503" max="750" width="11.44140625" style="45"/>
    <col min="751" max="751" width="7.6640625" style="45" bestFit="1" customWidth="1"/>
    <col min="752" max="752" width="9" style="45" bestFit="1" customWidth="1"/>
    <col min="753" max="753" width="8.33203125" style="45" customWidth="1"/>
    <col min="754" max="754" width="6.44140625" style="45" bestFit="1" customWidth="1"/>
    <col min="755" max="755" width="9.109375" style="45" bestFit="1" customWidth="1"/>
    <col min="756" max="756" width="14.33203125" style="45" bestFit="1" customWidth="1"/>
    <col min="757" max="757" width="11.44140625" style="45"/>
    <col min="758" max="758" width="12.6640625" style="45" bestFit="1" customWidth="1"/>
    <col min="759" max="1006" width="11.44140625" style="45"/>
    <col min="1007" max="1007" width="7.6640625" style="45" bestFit="1" customWidth="1"/>
    <col min="1008" max="1008" width="9" style="45" bestFit="1" customWidth="1"/>
    <col min="1009" max="1009" width="8.33203125" style="45" customWidth="1"/>
    <col min="1010" max="1010" width="6.44140625" style="45" bestFit="1" customWidth="1"/>
    <col min="1011" max="1011" width="9.109375" style="45" bestFit="1" customWidth="1"/>
    <col min="1012" max="1012" width="14.33203125" style="45" bestFit="1" customWidth="1"/>
    <col min="1013" max="1013" width="11.44140625" style="45"/>
    <col min="1014" max="1014" width="12.6640625" style="45" bestFit="1" customWidth="1"/>
    <col min="1015" max="1262" width="11.44140625" style="45"/>
    <col min="1263" max="1263" width="7.6640625" style="45" bestFit="1" customWidth="1"/>
    <col min="1264" max="1264" width="9" style="45" bestFit="1" customWidth="1"/>
    <col min="1265" max="1265" width="8.33203125" style="45" customWidth="1"/>
    <col min="1266" max="1266" width="6.44140625" style="45" bestFit="1" customWidth="1"/>
    <col min="1267" max="1267" width="9.109375" style="45" bestFit="1" customWidth="1"/>
    <col min="1268" max="1268" width="14.33203125" style="45" bestFit="1" customWidth="1"/>
    <col min="1269" max="1269" width="11.44140625" style="45"/>
    <col min="1270" max="1270" width="12.6640625" style="45" bestFit="1" customWidth="1"/>
    <col min="1271" max="1518" width="11.44140625" style="45"/>
    <col min="1519" max="1519" width="7.6640625" style="45" bestFit="1" customWidth="1"/>
    <col min="1520" max="1520" width="9" style="45" bestFit="1" customWidth="1"/>
    <col min="1521" max="1521" width="8.33203125" style="45" customWidth="1"/>
    <col min="1522" max="1522" width="6.44140625" style="45" bestFit="1" customWidth="1"/>
    <col min="1523" max="1523" width="9.109375" style="45" bestFit="1" customWidth="1"/>
    <col min="1524" max="1524" width="14.33203125" style="45" bestFit="1" customWidth="1"/>
    <col min="1525" max="1525" width="11.44140625" style="45"/>
    <col min="1526" max="1526" width="12.6640625" style="45" bestFit="1" customWidth="1"/>
    <col min="1527" max="1774" width="11.44140625" style="45"/>
    <col min="1775" max="1775" width="7.6640625" style="45" bestFit="1" customWidth="1"/>
    <col min="1776" max="1776" width="9" style="45" bestFit="1" customWidth="1"/>
    <col min="1777" max="1777" width="8.33203125" style="45" customWidth="1"/>
    <col min="1778" max="1778" width="6.44140625" style="45" bestFit="1" customWidth="1"/>
    <col min="1779" max="1779" width="9.109375" style="45" bestFit="1" customWidth="1"/>
    <col min="1780" max="1780" width="14.33203125" style="45" bestFit="1" customWidth="1"/>
    <col min="1781" max="1781" width="11.44140625" style="45"/>
    <col min="1782" max="1782" width="12.6640625" style="45" bestFit="1" customWidth="1"/>
    <col min="1783" max="2030" width="11.44140625" style="45"/>
    <col min="2031" max="2031" width="7.6640625" style="45" bestFit="1" customWidth="1"/>
    <col min="2032" max="2032" width="9" style="45" bestFit="1" customWidth="1"/>
    <col min="2033" max="2033" width="8.33203125" style="45" customWidth="1"/>
    <col min="2034" max="2034" width="6.44140625" style="45" bestFit="1" customWidth="1"/>
    <col min="2035" max="2035" width="9.109375" style="45" bestFit="1" customWidth="1"/>
    <col min="2036" max="2036" width="14.33203125" style="45" bestFit="1" customWidth="1"/>
    <col min="2037" max="2037" width="11.44140625" style="45"/>
    <col min="2038" max="2038" width="12.6640625" style="45" bestFit="1" customWidth="1"/>
    <col min="2039" max="2286" width="11.44140625" style="45"/>
    <col min="2287" max="2287" width="7.6640625" style="45" bestFit="1" customWidth="1"/>
    <col min="2288" max="2288" width="9" style="45" bestFit="1" customWidth="1"/>
    <col min="2289" max="2289" width="8.33203125" style="45" customWidth="1"/>
    <col min="2290" max="2290" width="6.44140625" style="45" bestFit="1" customWidth="1"/>
    <col min="2291" max="2291" width="9.109375" style="45" bestFit="1" customWidth="1"/>
    <col min="2292" max="2292" width="14.33203125" style="45" bestFit="1" customWidth="1"/>
    <col min="2293" max="2293" width="11.44140625" style="45"/>
    <col min="2294" max="2294" width="12.6640625" style="45" bestFit="1" customWidth="1"/>
    <col min="2295" max="2542" width="11.44140625" style="45"/>
    <col min="2543" max="2543" width="7.6640625" style="45" bestFit="1" customWidth="1"/>
    <col min="2544" max="2544" width="9" style="45" bestFit="1" customWidth="1"/>
    <col min="2545" max="2545" width="8.33203125" style="45" customWidth="1"/>
    <col min="2546" max="2546" width="6.44140625" style="45" bestFit="1" customWidth="1"/>
    <col min="2547" max="2547" width="9.109375" style="45" bestFit="1" customWidth="1"/>
    <col min="2548" max="2548" width="14.33203125" style="45" bestFit="1" customWidth="1"/>
    <col min="2549" max="2549" width="11.44140625" style="45"/>
    <col min="2550" max="2550" width="12.6640625" style="45" bestFit="1" customWidth="1"/>
    <col min="2551" max="2798" width="11.44140625" style="45"/>
    <col min="2799" max="2799" width="7.6640625" style="45" bestFit="1" customWidth="1"/>
    <col min="2800" max="2800" width="9" style="45" bestFit="1" customWidth="1"/>
    <col min="2801" max="2801" width="8.33203125" style="45" customWidth="1"/>
    <col min="2802" max="2802" width="6.44140625" style="45" bestFit="1" customWidth="1"/>
    <col min="2803" max="2803" width="9.109375" style="45" bestFit="1" customWidth="1"/>
    <col min="2804" max="2804" width="14.33203125" style="45" bestFit="1" customWidth="1"/>
    <col min="2805" max="2805" width="11.44140625" style="45"/>
    <col min="2806" max="2806" width="12.6640625" style="45" bestFit="1" customWidth="1"/>
    <col min="2807" max="3054" width="11.44140625" style="45"/>
    <col min="3055" max="3055" width="7.6640625" style="45" bestFit="1" customWidth="1"/>
    <col min="3056" max="3056" width="9" style="45" bestFit="1" customWidth="1"/>
    <col min="3057" max="3057" width="8.33203125" style="45" customWidth="1"/>
    <col min="3058" max="3058" width="6.44140625" style="45" bestFit="1" customWidth="1"/>
    <col min="3059" max="3059" width="9.109375" style="45" bestFit="1" customWidth="1"/>
    <col min="3060" max="3060" width="14.33203125" style="45" bestFit="1" customWidth="1"/>
    <col min="3061" max="3061" width="11.44140625" style="45"/>
    <col min="3062" max="3062" width="12.6640625" style="45" bestFit="1" customWidth="1"/>
    <col min="3063" max="3310" width="11.44140625" style="45"/>
    <col min="3311" max="3311" width="7.6640625" style="45" bestFit="1" customWidth="1"/>
    <col min="3312" max="3312" width="9" style="45" bestFit="1" customWidth="1"/>
    <col min="3313" max="3313" width="8.33203125" style="45" customWidth="1"/>
    <col min="3314" max="3314" width="6.44140625" style="45" bestFit="1" customWidth="1"/>
    <col min="3315" max="3315" width="9.109375" style="45" bestFit="1" customWidth="1"/>
    <col min="3316" max="3316" width="14.33203125" style="45" bestFit="1" customWidth="1"/>
    <col min="3317" max="3317" width="11.44140625" style="45"/>
    <col min="3318" max="3318" width="12.6640625" style="45" bestFit="1" customWidth="1"/>
    <col min="3319" max="3566" width="11.44140625" style="45"/>
    <col min="3567" max="3567" width="7.6640625" style="45" bestFit="1" customWidth="1"/>
    <col min="3568" max="3568" width="9" style="45" bestFit="1" customWidth="1"/>
    <col min="3569" max="3569" width="8.33203125" style="45" customWidth="1"/>
    <col min="3570" max="3570" width="6.44140625" style="45" bestFit="1" customWidth="1"/>
    <col min="3571" max="3571" width="9.109375" style="45" bestFit="1" customWidth="1"/>
    <col min="3572" max="3572" width="14.33203125" style="45" bestFit="1" customWidth="1"/>
    <col min="3573" max="3573" width="11.44140625" style="45"/>
    <col min="3574" max="3574" width="12.6640625" style="45" bestFit="1" customWidth="1"/>
    <col min="3575" max="3822" width="11.44140625" style="45"/>
    <col min="3823" max="3823" width="7.6640625" style="45" bestFit="1" customWidth="1"/>
    <col min="3824" max="3824" width="9" style="45" bestFit="1" customWidth="1"/>
    <col min="3825" max="3825" width="8.33203125" style="45" customWidth="1"/>
    <col min="3826" max="3826" width="6.44140625" style="45" bestFit="1" customWidth="1"/>
    <col min="3827" max="3827" width="9.109375" style="45" bestFit="1" customWidth="1"/>
    <col min="3828" max="3828" width="14.33203125" style="45" bestFit="1" customWidth="1"/>
    <col min="3829" max="3829" width="11.44140625" style="45"/>
    <col min="3830" max="3830" width="12.6640625" style="45" bestFit="1" customWidth="1"/>
    <col min="3831" max="4078" width="11.44140625" style="45"/>
    <col min="4079" max="4079" width="7.6640625" style="45" bestFit="1" customWidth="1"/>
    <col min="4080" max="4080" width="9" style="45" bestFit="1" customWidth="1"/>
    <col min="4081" max="4081" width="8.33203125" style="45" customWidth="1"/>
    <col min="4082" max="4082" width="6.44140625" style="45" bestFit="1" customWidth="1"/>
    <col min="4083" max="4083" width="9.109375" style="45" bestFit="1" customWidth="1"/>
    <col min="4084" max="4084" width="14.33203125" style="45" bestFit="1" customWidth="1"/>
    <col min="4085" max="4085" width="11.44140625" style="45"/>
    <col min="4086" max="4086" width="12.6640625" style="45" bestFit="1" customWidth="1"/>
    <col min="4087" max="4334" width="11.44140625" style="45"/>
    <col min="4335" max="4335" width="7.6640625" style="45" bestFit="1" customWidth="1"/>
    <col min="4336" max="4336" width="9" style="45" bestFit="1" customWidth="1"/>
    <col min="4337" max="4337" width="8.33203125" style="45" customWidth="1"/>
    <col min="4338" max="4338" width="6.44140625" style="45" bestFit="1" customWidth="1"/>
    <col min="4339" max="4339" width="9.109375" style="45" bestFit="1" customWidth="1"/>
    <col min="4340" max="4340" width="14.33203125" style="45" bestFit="1" customWidth="1"/>
    <col min="4341" max="4341" width="11.44140625" style="45"/>
    <col min="4342" max="4342" width="12.6640625" style="45" bestFit="1" customWidth="1"/>
    <col min="4343" max="4590" width="11.44140625" style="45"/>
    <col min="4591" max="4591" width="7.6640625" style="45" bestFit="1" customWidth="1"/>
    <col min="4592" max="4592" width="9" style="45" bestFit="1" customWidth="1"/>
    <col min="4593" max="4593" width="8.33203125" style="45" customWidth="1"/>
    <col min="4594" max="4594" width="6.44140625" style="45" bestFit="1" customWidth="1"/>
    <col min="4595" max="4595" width="9.109375" style="45" bestFit="1" customWidth="1"/>
    <col min="4596" max="4596" width="14.33203125" style="45" bestFit="1" customWidth="1"/>
    <col min="4597" max="4597" width="11.44140625" style="45"/>
    <col min="4598" max="4598" width="12.6640625" style="45" bestFit="1" customWidth="1"/>
    <col min="4599" max="4846" width="11.44140625" style="45"/>
    <col min="4847" max="4847" width="7.6640625" style="45" bestFit="1" customWidth="1"/>
    <col min="4848" max="4848" width="9" style="45" bestFit="1" customWidth="1"/>
    <col min="4849" max="4849" width="8.33203125" style="45" customWidth="1"/>
    <col min="4850" max="4850" width="6.44140625" style="45" bestFit="1" customWidth="1"/>
    <col min="4851" max="4851" width="9.109375" style="45" bestFit="1" customWidth="1"/>
    <col min="4852" max="4852" width="14.33203125" style="45" bestFit="1" customWidth="1"/>
    <col min="4853" max="4853" width="11.44140625" style="45"/>
    <col min="4854" max="4854" width="12.6640625" style="45" bestFit="1" customWidth="1"/>
    <col min="4855" max="5102" width="11.44140625" style="45"/>
    <col min="5103" max="5103" width="7.6640625" style="45" bestFit="1" customWidth="1"/>
    <col min="5104" max="5104" width="9" style="45" bestFit="1" customWidth="1"/>
    <col min="5105" max="5105" width="8.33203125" style="45" customWidth="1"/>
    <col min="5106" max="5106" width="6.44140625" style="45" bestFit="1" customWidth="1"/>
    <col min="5107" max="5107" width="9.109375" style="45" bestFit="1" customWidth="1"/>
    <col min="5108" max="5108" width="14.33203125" style="45" bestFit="1" customWidth="1"/>
    <col min="5109" max="5109" width="11.44140625" style="45"/>
    <col min="5110" max="5110" width="12.6640625" style="45" bestFit="1" customWidth="1"/>
    <col min="5111" max="5358" width="11.44140625" style="45"/>
    <col min="5359" max="5359" width="7.6640625" style="45" bestFit="1" customWidth="1"/>
    <col min="5360" max="5360" width="9" style="45" bestFit="1" customWidth="1"/>
    <col min="5361" max="5361" width="8.33203125" style="45" customWidth="1"/>
    <col min="5362" max="5362" width="6.44140625" style="45" bestFit="1" customWidth="1"/>
    <col min="5363" max="5363" width="9.109375" style="45" bestFit="1" customWidth="1"/>
    <col min="5364" max="5364" width="14.33203125" style="45" bestFit="1" customWidth="1"/>
    <col min="5365" max="5365" width="11.44140625" style="45"/>
    <col min="5366" max="5366" width="12.6640625" style="45" bestFit="1" customWidth="1"/>
    <col min="5367" max="5614" width="11.44140625" style="45"/>
    <col min="5615" max="5615" width="7.6640625" style="45" bestFit="1" customWidth="1"/>
    <col min="5616" max="5616" width="9" style="45" bestFit="1" customWidth="1"/>
    <col min="5617" max="5617" width="8.33203125" style="45" customWidth="1"/>
    <col min="5618" max="5618" width="6.44140625" style="45" bestFit="1" customWidth="1"/>
    <col min="5619" max="5619" width="9.109375" style="45" bestFit="1" customWidth="1"/>
    <col min="5620" max="5620" width="14.33203125" style="45" bestFit="1" customWidth="1"/>
    <col min="5621" max="5621" width="11.44140625" style="45"/>
    <col min="5622" max="5622" width="12.6640625" style="45" bestFit="1" customWidth="1"/>
    <col min="5623" max="5870" width="11.44140625" style="45"/>
    <col min="5871" max="5871" width="7.6640625" style="45" bestFit="1" customWidth="1"/>
    <col min="5872" max="5872" width="9" style="45" bestFit="1" customWidth="1"/>
    <col min="5873" max="5873" width="8.33203125" style="45" customWidth="1"/>
    <col min="5874" max="5874" width="6.44140625" style="45" bestFit="1" customWidth="1"/>
    <col min="5875" max="5875" width="9.109375" style="45" bestFit="1" customWidth="1"/>
    <col min="5876" max="5876" width="14.33203125" style="45" bestFit="1" customWidth="1"/>
    <col min="5877" max="5877" width="11.44140625" style="45"/>
    <col min="5878" max="5878" width="12.6640625" style="45" bestFit="1" customWidth="1"/>
    <col min="5879" max="6126" width="11.44140625" style="45"/>
    <col min="6127" max="6127" width="7.6640625" style="45" bestFit="1" customWidth="1"/>
    <col min="6128" max="6128" width="9" style="45" bestFit="1" customWidth="1"/>
    <col min="6129" max="6129" width="8.33203125" style="45" customWidth="1"/>
    <col min="6130" max="6130" width="6.44140625" style="45" bestFit="1" customWidth="1"/>
    <col min="6131" max="6131" width="9.109375" style="45" bestFit="1" customWidth="1"/>
    <col min="6132" max="6132" width="14.33203125" style="45" bestFit="1" customWidth="1"/>
    <col min="6133" max="6133" width="11.44140625" style="45"/>
    <col min="6134" max="6134" width="12.6640625" style="45" bestFit="1" customWidth="1"/>
    <col min="6135" max="6382" width="11.44140625" style="45"/>
    <col min="6383" max="6383" width="7.6640625" style="45" bestFit="1" customWidth="1"/>
    <col min="6384" max="6384" width="9" style="45" bestFit="1" customWidth="1"/>
    <col min="6385" max="6385" width="8.33203125" style="45" customWidth="1"/>
    <col min="6386" max="6386" width="6.44140625" style="45" bestFit="1" customWidth="1"/>
    <col min="6387" max="6387" width="9.109375" style="45" bestFit="1" customWidth="1"/>
    <col min="6388" max="6388" width="14.33203125" style="45" bestFit="1" customWidth="1"/>
    <col min="6389" max="6389" width="11.44140625" style="45"/>
    <col min="6390" max="6390" width="12.6640625" style="45" bestFit="1" customWidth="1"/>
    <col min="6391" max="6638" width="11.44140625" style="45"/>
    <col min="6639" max="6639" width="7.6640625" style="45" bestFit="1" customWidth="1"/>
    <col min="6640" max="6640" width="9" style="45" bestFit="1" customWidth="1"/>
    <col min="6641" max="6641" width="8.33203125" style="45" customWidth="1"/>
    <col min="6642" max="6642" width="6.44140625" style="45" bestFit="1" customWidth="1"/>
    <col min="6643" max="6643" width="9.109375" style="45" bestFit="1" customWidth="1"/>
    <col min="6644" max="6644" width="14.33203125" style="45" bestFit="1" customWidth="1"/>
    <col min="6645" max="6645" width="11.44140625" style="45"/>
    <col min="6646" max="6646" width="12.6640625" style="45" bestFit="1" customWidth="1"/>
    <col min="6647" max="6894" width="11.44140625" style="45"/>
    <col min="6895" max="6895" width="7.6640625" style="45" bestFit="1" customWidth="1"/>
    <col min="6896" max="6896" width="9" style="45" bestFit="1" customWidth="1"/>
    <col min="6897" max="6897" width="8.33203125" style="45" customWidth="1"/>
    <col min="6898" max="6898" width="6.44140625" style="45" bestFit="1" customWidth="1"/>
    <col min="6899" max="6899" width="9.109375" style="45" bestFit="1" customWidth="1"/>
    <col min="6900" max="6900" width="14.33203125" style="45" bestFit="1" customWidth="1"/>
    <col min="6901" max="6901" width="11.44140625" style="45"/>
    <col min="6902" max="6902" width="12.6640625" style="45" bestFit="1" customWidth="1"/>
    <col min="6903" max="7150" width="11.44140625" style="45"/>
    <col min="7151" max="7151" width="7.6640625" style="45" bestFit="1" customWidth="1"/>
    <col min="7152" max="7152" width="9" style="45" bestFit="1" customWidth="1"/>
    <col min="7153" max="7153" width="8.33203125" style="45" customWidth="1"/>
    <col min="7154" max="7154" width="6.44140625" style="45" bestFit="1" customWidth="1"/>
    <col min="7155" max="7155" width="9.109375" style="45" bestFit="1" customWidth="1"/>
    <col min="7156" max="7156" width="14.33203125" style="45" bestFit="1" customWidth="1"/>
    <col min="7157" max="7157" width="11.44140625" style="45"/>
    <col min="7158" max="7158" width="12.6640625" style="45" bestFit="1" customWidth="1"/>
    <col min="7159" max="7406" width="11.44140625" style="45"/>
    <col min="7407" max="7407" width="7.6640625" style="45" bestFit="1" customWidth="1"/>
    <col min="7408" max="7408" width="9" style="45" bestFit="1" customWidth="1"/>
    <col min="7409" max="7409" width="8.33203125" style="45" customWidth="1"/>
    <col min="7410" max="7410" width="6.44140625" style="45" bestFit="1" customWidth="1"/>
    <col min="7411" max="7411" width="9.109375" style="45" bestFit="1" customWidth="1"/>
    <col min="7412" max="7412" width="14.33203125" style="45" bestFit="1" customWidth="1"/>
    <col min="7413" max="7413" width="11.44140625" style="45"/>
    <col min="7414" max="7414" width="12.6640625" style="45" bestFit="1" customWidth="1"/>
    <col min="7415" max="7662" width="11.44140625" style="45"/>
    <col min="7663" max="7663" width="7.6640625" style="45" bestFit="1" customWidth="1"/>
    <col min="7664" max="7664" width="9" style="45" bestFit="1" customWidth="1"/>
    <col min="7665" max="7665" width="8.33203125" style="45" customWidth="1"/>
    <col min="7666" max="7666" width="6.44140625" style="45" bestFit="1" customWidth="1"/>
    <col min="7667" max="7667" width="9.109375" style="45" bestFit="1" customWidth="1"/>
    <col min="7668" max="7668" width="14.33203125" style="45" bestFit="1" customWidth="1"/>
    <col min="7669" max="7669" width="11.44140625" style="45"/>
    <col min="7670" max="7670" width="12.6640625" style="45" bestFit="1" customWidth="1"/>
    <col min="7671" max="7918" width="11.44140625" style="45"/>
    <col min="7919" max="7919" width="7.6640625" style="45" bestFit="1" customWidth="1"/>
    <col min="7920" max="7920" width="9" style="45" bestFit="1" customWidth="1"/>
    <col min="7921" max="7921" width="8.33203125" style="45" customWidth="1"/>
    <col min="7922" max="7922" width="6.44140625" style="45" bestFit="1" customWidth="1"/>
    <col min="7923" max="7923" width="9.109375" style="45" bestFit="1" customWidth="1"/>
    <col min="7924" max="7924" width="14.33203125" style="45" bestFit="1" customWidth="1"/>
    <col min="7925" max="7925" width="11.44140625" style="45"/>
    <col min="7926" max="7926" width="12.6640625" style="45" bestFit="1" customWidth="1"/>
    <col min="7927" max="8174" width="11.44140625" style="45"/>
    <col min="8175" max="8175" width="7.6640625" style="45" bestFit="1" customWidth="1"/>
    <col min="8176" max="8176" width="9" style="45" bestFit="1" customWidth="1"/>
    <col min="8177" max="8177" width="8.33203125" style="45" customWidth="1"/>
    <col min="8178" max="8178" width="6.44140625" style="45" bestFit="1" customWidth="1"/>
    <col min="8179" max="8179" width="9.109375" style="45" bestFit="1" customWidth="1"/>
    <col min="8180" max="8180" width="14.33203125" style="45" bestFit="1" customWidth="1"/>
    <col min="8181" max="8181" width="11.44140625" style="45"/>
    <col min="8182" max="8182" width="12.6640625" style="45" bestFit="1" customWidth="1"/>
    <col min="8183" max="8430" width="11.44140625" style="45"/>
    <col min="8431" max="8431" width="7.6640625" style="45" bestFit="1" customWidth="1"/>
    <col min="8432" max="8432" width="9" style="45" bestFit="1" customWidth="1"/>
    <col min="8433" max="8433" width="8.33203125" style="45" customWidth="1"/>
    <col min="8434" max="8434" width="6.44140625" style="45" bestFit="1" customWidth="1"/>
    <col min="8435" max="8435" width="9.109375" style="45" bestFit="1" customWidth="1"/>
    <col min="8436" max="8436" width="14.33203125" style="45" bestFit="1" customWidth="1"/>
    <col min="8437" max="8437" width="11.44140625" style="45"/>
    <col min="8438" max="8438" width="12.6640625" style="45" bestFit="1" customWidth="1"/>
    <col min="8439" max="8686" width="11.44140625" style="45"/>
    <col min="8687" max="8687" width="7.6640625" style="45" bestFit="1" customWidth="1"/>
    <col min="8688" max="8688" width="9" style="45" bestFit="1" customWidth="1"/>
    <col min="8689" max="8689" width="8.33203125" style="45" customWidth="1"/>
    <col min="8690" max="8690" width="6.44140625" style="45" bestFit="1" customWidth="1"/>
    <col min="8691" max="8691" width="9.109375" style="45" bestFit="1" customWidth="1"/>
    <col min="8692" max="8692" width="14.33203125" style="45" bestFit="1" customWidth="1"/>
    <col min="8693" max="8693" width="11.44140625" style="45"/>
    <col min="8694" max="8694" width="12.6640625" style="45" bestFit="1" customWidth="1"/>
    <col min="8695" max="8942" width="11.44140625" style="45"/>
    <col min="8943" max="8943" width="7.6640625" style="45" bestFit="1" customWidth="1"/>
    <col min="8944" max="8944" width="9" style="45" bestFit="1" customWidth="1"/>
    <col min="8945" max="8945" width="8.33203125" style="45" customWidth="1"/>
    <col min="8946" max="8946" width="6.44140625" style="45" bestFit="1" customWidth="1"/>
    <col min="8947" max="8947" width="9.109375" style="45" bestFit="1" customWidth="1"/>
    <col min="8948" max="8948" width="14.33203125" style="45" bestFit="1" customWidth="1"/>
    <col min="8949" max="8949" width="11.44140625" style="45"/>
    <col min="8950" max="8950" width="12.6640625" style="45" bestFit="1" customWidth="1"/>
    <col min="8951" max="9198" width="11.44140625" style="45"/>
    <col min="9199" max="9199" width="7.6640625" style="45" bestFit="1" customWidth="1"/>
    <col min="9200" max="9200" width="9" style="45" bestFit="1" customWidth="1"/>
    <col min="9201" max="9201" width="8.33203125" style="45" customWidth="1"/>
    <col min="9202" max="9202" width="6.44140625" style="45" bestFit="1" customWidth="1"/>
    <col min="9203" max="9203" width="9.109375" style="45" bestFit="1" customWidth="1"/>
    <col min="9204" max="9204" width="14.33203125" style="45" bestFit="1" customWidth="1"/>
    <col min="9205" max="9205" width="11.44140625" style="45"/>
    <col min="9206" max="9206" width="12.6640625" style="45" bestFit="1" customWidth="1"/>
    <col min="9207" max="9454" width="11.44140625" style="45"/>
    <col min="9455" max="9455" width="7.6640625" style="45" bestFit="1" customWidth="1"/>
    <col min="9456" max="9456" width="9" style="45" bestFit="1" customWidth="1"/>
    <col min="9457" max="9457" width="8.33203125" style="45" customWidth="1"/>
    <col min="9458" max="9458" width="6.44140625" style="45" bestFit="1" customWidth="1"/>
    <col min="9459" max="9459" width="9.109375" style="45" bestFit="1" customWidth="1"/>
    <col min="9460" max="9460" width="14.33203125" style="45" bestFit="1" customWidth="1"/>
    <col min="9461" max="9461" width="11.44140625" style="45"/>
    <col min="9462" max="9462" width="12.6640625" style="45" bestFit="1" customWidth="1"/>
    <col min="9463" max="9710" width="11.44140625" style="45"/>
    <col min="9711" max="9711" width="7.6640625" style="45" bestFit="1" customWidth="1"/>
    <col min="9712" max="9712" width="9" style="45" bestFit="1" customWidth="1"/>
    <col min="9713" max="9713" width="8.33203125" style="45" customWidth="1"/>
    <col min="9714" max="9714" width="6.44140625" style="45" bestFit="1" customWidth="1"/>
    <col min="9715" max="9715" width="9.109375" style="45" bestFit="1" customWidth="1"/>
    <col min="9716" max="9716" width="14.33203125" style="45" bestFit="1" customWidth="1"/>
    <col min="9717" max="9717" width="11.44140625" style="45"/>
    <col min="9718" max="9718" width="12.6640625" style="45" bestFit="1" customWidth="1"/>
    <col min="9719" max="9966" width="11.44140625" style="45"/>
    <col min="9967" max="9967" width="7.6640625" style="45" bestFit="1" customWidth="1"/>
    <col min="9968" max="9968" width="9" style="45" bestFit="1" customWidth="1"/>
    <col min="9969" max="9969" width="8.33203125" style="45" customWidth="1"/>
    <col min="9970" max="9970" width="6.44140625" style="45" bestFit="1" customWidth="1"/>
    <col min="9971" max="9971" width="9.109375" style="45" bestFit="1" customWidth="1"/>
    <col min="9972" max="9972" width="14.33203125" style="45" bestFit="1" customWidth="1"/>
    <col min="9973" max="9973" width="11.44140625" style="45"/>
    <col min="9974" max="9974" width="12.6640625" style="45" bestFit="1" customWidth="1"/>
    <col min="9975" max="10222" width="11.44140625" style="45"/>
    <col min="10223" max="10223" width="7.6640625" style="45" bestFit="1" customWidth="1"/>
    <col min="10224" max="10224" width="9" style="45" bestFit="1" customWidth="1"/>
    <col min="10225" max="10225" width="8.33203125" style="45" customWidth="1"/>
    <col min="10226" max="10226" width="6.44140625" style="45" bestFit="1" customWidth="1"/>
    <col min="10227" max="10227" width="9.109375" style="45" bestFit="1" customWidth="1"/>
    <col min="10228" max="10228" width="14.33203125" style="45" bestFit="1" customWidth="1"/>
    <col min="10229" max="10229" width="11.44140625" style="45"/>
    <col min="10230" max="10230" width="12.6640625" style="45" bestFit="1" customWidth="1"/>
    <col min="10231" max="10478" width="11.44140625" style="45"/>
    <col min="10479" max="10479" width="7.6640625" style="45" bestFit="1" customWidth="1"/>
    <col min="10480" max="10480" width="9" style="45" bestFit="1" customWidth="1"/>
    <col min="10481" max="10481" width="8.33203125" style="45" customWidth="1"/>
    <col min="10482" max="10482" width="6.44140625" style="45" bestFit="1" customWidth="1"/>
    <col min="10483" max="10483" width="9.109375" style="45" bestFit="1" customWidth="1"/>
    <col min="10484" max="10484" width="14.33203125" style="45" bestFit="1" customWidth="1"/>
    <col min="10485" max="10485" width="11.44140625" style="45"/>
    <col min="10486" max="10486" width="12.6640625" style="45" bestFit="1" customWidth="1"/>
    <col min="10487" max="10734" width="11.44140625" style="45"/>
    <col min="10735" max="10735" width="7.6640625" style="45" bestFit="1" customWidth="1"/>
    <col min="10736" max="10736" width="9" style="45" bestFit="1" customWidth="1"/>
    <col min="10737" max="10737" width="8.33203125" style="45" customWidth="1"/>
    <col min="10738" max="10738" width="6.44140625" style="45" bestFit="1" customWidth="1"/>
    <col min="10739" max="10739" width="9.109375" style="45" bestFit="1" customWidth="1"/>
    <col min="10740" max="10740" width="14.33203125" style="45" bestFit="1" customWidth="1"/>
    <col min="10741" max="10741" width="11.44140625" style="45"/>
    <col min="10742" max="10742" width="12.6640625" style="45" bestFit="1" customWidth="1"/>
    <col min="10743" max="10990" width="11.44140625" style="45"/>
    <col min="10991" max="10991" width="7.6640625" style="45" bestFit="1" customWidth="1"/>
    <col min="10992" max="10992" width="9" style="45" bestFit="1" customWidth="1"/>
    <col min="10993" max="10993" width="8.33203125" style="45" customWidth="1"/>
    <col min="10994" max="10994" width="6.44140625" style="45" bestFit="1" customWidth="1"/>
    <col min="10995" max="10995" width="9.109375" style="45" bestFit="1" customWidth="1"/>
    <col min="10996" max="10996" width="14.33203125" style="45" bestFit="1" customWidth="1"/>
    <col min="10997" max="10997" width="11.44140625" style="45"/>
    <col min="10998" max="10998" width="12.6640625" style="45" bestFit="1" customWidth="1"/>
    <col min="10999" max="11246" width="11.44140625" style="45"/>
    <col min="11247" max="11247" width="7.6640625" style="45" bestFit="1" customWidth="1"/>
    <col min="11248" max="11248" width="9" style="45" bestFit="1" customWidth="1"/>
    <col min="11249" max="11249" width="8.33203125" style="45" customWidth="1"/>
    <col min="11250" max="11250" width="6.44140625" style="45" bestFit="1" customWidth="1"/>
    <col min="11251" max="11251" width="9.109375" style="45" bestFit="1" customWidth="1"/>
    <col min="11252" max="11252" width="14.33203125" style="45" bestFit="1" customWidth="1"/>
    <col min="11253" max="11253" width="11.44140625" style="45"/>
    <col min="11254" max="11254" width="12.6640625" style="45" bestFit="1" customWidth="1"/>
    <col min="11255" max="11502" width="11.44140625" style="45"/>
    <col min="11503" max="11503" width="7.6640625" style="45" bestFit="1" customWidth="1"/>
    <col min="11504" max="11504" width="9" style="45" bestFit="1" customWidth="1"/>
    <col min="11505" max="11505" width="8.33203125" style="45" customWidth="1"/>
    <col min="11506" max="11506" width="6.44140625" style="45" bestFit="1" customWidth="1"/>
    <col min="11507" max="11507" width="9.109375" style="45" bestFit="1" customWidth="1"/>
    <col min="11508" max="11508" width="14.33203125" style="45" bestFit="1" customWidth="1"/>
    <col min="11509" max="11509" width="11.44140625" style="45"/>
    <col min="11510" max="11510" width="12.6640625" style="45" bestFit="1" customWidth="1"/>
    <col min="11511" max="11758" width="11.44140625" style="45"/>
    <col min="11759" max="11759" width="7.6640625" style="45" bestFit="1" customWidth="1"/>
    <col min="11760" max="11760" width="9" style="45" bestFit="1" customWidth="1"/>
    <col min="11761" max="11761" width="8.33203125" style="45" customWidth="1"/>
    <col min="11762" max="11762" width="6.44140625" style="45" bestFit="1" customWidth="1"/>
    <col min="11763" max="11763" width="9.109375" style="45" bestFit="1" customWidth="1"/>
    <col min="11764" max="11764" width="14.33203125" style="45" bestFit="1" customWidth="1"/>
    <col min="11765" max="11765" width="11.44140625" style="45"/>
    <col min="11766" max="11766" width="12.6640625" style="45" bestFit="1" customWidth="1"/>
    <col min="11767" max="12014" width="11.44140625" style="45"/>
    <col min="12015" max="12015" width="7.6640625" style="45" bestFit="1" customWidth="1"/>
    <col min="12016" max="12016" width="9" style="45" bestFit="1" customWidth="1"/>
    <col min="12017" max="12017" width="8.33203125" style="45" customWidth="1"/>
    <col min="12018" max="12018" width="6.44140625" style="45" bestFit="1" customWidth="1"/>
    <col min="12019" max="12019" width="9.109375" style="45" bestFit="1" customWidth="1"/>
    <col min="12020" max="12020" width="14.33203125" style="45" bestFit="1" customWidth="1"/>
    <col min="12021" max="12021" width="11.44140625" style="45"/>
    <col min="12022" max="12022" width="12.6640625" style="45" bestFit="1" customWidth="1"/>
    <col min="12023" max="12270" width="11.44140625" style="45"/>
    <col min="12271" max="12271" width="7.6640625" style="45" bestFit="1" customWidth="1"/>
    <col min="12272" max="12272" width="9" style="45" bestFit="1" customWidth="1"/>
    <col min="12273" max="12273" width="8.33203125" style="45" customWidth="1"/>
    <col min="12274" max="12274" width="6.44140625" style="45" bestFit="1" customWidth="1"/>
    <col min="12275" max="12275" width="9.109375" style="45" bestFit="1" customWidth="1"/>
    <col min="12276" max="12276" width="14.33203125" style="45" bestFit="1" customWidth="1"/>
    <col min="12277" max="12277" width="11.44140625" style="45"/>
    <col min="12278" max="12278" width="12.6640625" style="45" bestFit="1" customWidth="1"/>
    <col min="12279" max="12526" width="11.44140625" style="45"/>
    <col min="12527" max="12527" width="7.6640625" style="45" bestFit="1" customWidth="1"/>
    <col min="12528" max="12528" width="9" style="45" bestFit="1" customWidth="1"/>
    <col min="12529" max="12529" width="8.33203125" style="45" customWidth="1"/>
    <col min="12530" max="12530" width="6.44140625" style="45" bestFit="1" customWidth="1"/>
    <col min="12531" max="12531" width="9.109375" style="45" bestFit="1" customWidth="1"/>
    <col min="12532" max="12532" width="14.33203125" style="45" bestFit="1" customWidth="1"/>
    <col min="12533" max="12533" width="11.44140625" style="45"/>
    <col min="12534" max="12534" width="12.6640625" style="45" bestFit="1" customWidth="1"/>
    <col min="12535" max="12782" width="11.44140625" style="45"/>
    <col min="12783" max="12783" width="7.6640625" style="45" bestFit="1" customWidth="1"/>
    <col min="12784" max="12784" width="9" style="45" bestFit="1" customWidth="1"/>
    <col min="12785" max="12785" width="8.33203125" style="45" customWidth="1"/>
    <col min="12786" max="12786" width="6.44140625" style="45" bestFit="1" customWidth="1"/>
    <col min="12787" max="12787" width="9.109375" style="45" bestFit="1" customWidth="1"/>
    <col min="12788" max="12788" width="14.33203125" style="45" bestFit="1" customWidth="1"/>
    <col min="12789" max="12789" width="11.44140625" style="45"/>
    <col min="12790" max="12790" width="12.6640625" style="45" bestFit="1" customWidth="1"/>
    <col min="12791" max="13038" width="11.44140625" style="45"/>
    <col min="13039" max="13039" width="7.6640625" style="45" bestFit="1" customWidth="1"/>
    <col min="13040" max="13040" width="9" style="45" bestFit="1" customWidth="1"/>
    <col min="13041" max="13041" width="8.33203125" style="45" customWidth="1"/>
    <col min="13042" max="13042" width="6.44140625" style="45" bestFit="1" customWidth="1"/>
    <col min="13043" max="13043" width="9.109375" style="45" bestFit="1" customWidth="1"/>
    <col min="13044" max="13044" width="14.33203125" style="45" bestFit="1" customWidth="1"/>
    <col min="13045" max="13045" width="11.44140625" style="45"/>
    <col min="13046" max="13046" width="12.6640625" style="45" bestFit="1" customWidth="1"/>
    <col min="13047" max="13294" width="11.44140625" style="45"/>
    <col min="13295" max="13295" width="7.6640625" style="45" bestFit="1" customWidth="1"/>
    <col min="13296" max="13296" width="9" style="45" bestFit="1" customWidth="1"/>
    <col min="13297" max="13297" width="8.33203125" style="45" customWidth="1"/>
    <col min="13298" max="13298" width="6.44140625" style="45" bestFit="1" customWidth="1"/>
    <col min="13299" max="13299" width="9.109375" style="45" bestFit="1" customWidth="1"/>
    <col min="13300" max="13300" width="14.33203125" style="45" bestFit="1" customWidth="1"/>
    <col min="13301" max="13301" width="11.44140625" style="45"/>
    <col min="13302" max="13302" width="12.6640625" style="45" bestFit="1" customWidth="1"/>
    <col min="13303" max="13550" width="11.44140625" style="45"/>
    <col min="13551" max="13551" width="7.6640625" style="45" bestFit="1" customWidth="1"/>
    <col min="13552" max="13552" width="9" style="45" bestFit="1" customWidth="1"/>
    <col min="13553" max="13553" width="8.33203125" style="45" customWidth="1"/>
    <col min="13554" max="13554" width="6.44140625" style="45" bestFit="1" customWidth="1"/>
    <col min="13555" max="13555" width="9.109375" style="45" bestFit="1" customWidth="1"/>
    <col min="13556" max="13556" width="14.33203125" style="45" bestFit="1" customWidth="1"/>
    <col min="13557" max="13557" width="11.44140625" style="45"/>
    <col min="13558" max="13558" width="12.6640625" style="45" bestFit="1" customWidth="1"/>
    <col min="13559" max="13806" width="11.44140625" style="45"/>
    <col min="13807" max="13807" width="7.6640625" style="45" bestFit="1" customWidth="1"/>
    <col min="13808" max="13808" width="9" style="45" bestFit="1" customWidth="1"/>
    <col min="13809" max="13809" width="8.33203125" style="45" customWidth="1"/>
    <col min="13810" max="13810" width="6.44140625" style="45" bestFit="1" customWidth="1"/>
    <col min="13811" max="13811" width="9.109375" style="45" bestFit="1" customWidth="1"/>
    <col min="13812" max="13812" width="14.33203125" style="45" bestFit="1" customWidth="1"/>
    <col min="13813" max="13813" width="11.44140625" style="45"/>
    <col min="13814" max="13814" width="12.6640625" style="45" bestFit="1" customWidth="1"/>
    <col min="13815" max="14062" width="11.44140625" style="45"/>
    <col min="14063" max="14063" width="7.6640625" style="45" bestFit="1" customWidth="1"/>
    <col min="14064" max="14064" width="9" style="45" bestFit="1" customWidth="1"/>
    <col min="14065" max="14065" width="8.33203125" style="45" customWidth="1"/>
    <col min="14066" max="14066" width="6.44140625" style="45" bestFit="1" customWidth="1"/>
    <col min="14067" max="14067" width="9.109375" style="45" bestFit="1" customWidth="1"/>
    <col min="14068" max="14068" width="14.33203125" style="45" bestFit="1" customWidth="1"/>
    <col min="14069" max="14069" width="11.44140625" style="45"/>
    <col min="14070" max="14070" width="12.6640625" style="45" bestFit="1" customWidth="1"/>
    <col min="14071" max="14318" width="11.44140625" style="45"/>
    <col min="14319" max="14319" width="7.6640625" style="45" bestFit="1" customWidth="1"/>
    <col min="14320" max="14320" width="9" style="45" bestFit="1" customWidth="1"/>
    <col min="14321" max="14321" width="8.33203125" style="45" customWidth="1"/>
    <col min="14322" max="14322" width="6.44140625" style="45" bestFit="1" customWidth="1"/>
    <col min="14323" max="14323" width="9.109375" style="45" bestFit="1" customWidth="1"/>
    <col min="14324" max="14324" width="14.33203125" style="45" bestFit="1" customWidth="1"/>
    <col min="14325" max="14325" width="11.44140625" style="45"/>
    <col min="14326" max="14326" width="12.6640625" style="45" bestFit="1" customWidth="1"/>
    <col min="14327" max="14574" width="11.44140625" style="45"/>
    <col min="14575" max="14575" width="7.6640625" style="45" bestFit="1" customWidth="1"/>
    <col min="14576" max="14576" width="9" style="45" bestFit="1" customWidth="1"/>
    <col min="14577" max="14577" width="8.33203125" style="45" customWidth="1"/>
    <col min="14578" max="14578" width="6.44140625" style="45" bestFit="1" customWidth="1"/>
    <col min="14579" max="14579" width="9.109375" style="45" bestFit="1" customWidth="1"/>
    <col min="14580" max="14580" width="14.33203125" style="45" bestFit="1" customWidth="1"/>
    <col min="14581" max="14581" width="11.44140625" style="45"/>
    <col min="14582" max="14582" width="12.6640625" style="45" bestFit="1" customWidth="1"/>
    <col min="14583" max="14830" width="11.44140625" style="45"/>
    <col min="14831" max="14831" width="7.6640625" style="45" bestFit="1" customWidth="1"/>
    <col min="14832" max="14832" width="9" style="45" bestFit="1" customWidth="1"/>
    <col min="14833" max="14833" width="8.33203125" style="45" customWidth="1"/>
    <col min="14834" max="14834" width="6.44140625" style="45" bestFit="1" customWidth="1"/>
    <col min="14835" max="14835" width="9.109375" style="45" bestFit="1" customWidth="1"/>
    <col min="14836" max="14836" width="14.33203125" style="45" bestFit="1" customWidth="1"/>
    <col min="14837" max="14837" width="11.44140625" style="45"/>
    <col min="14838" max="14838" width="12.6640625" style="45" bestFit="1" customWidth="1"/>
    <col min="14839" max="15086" width="11.44140625" style="45"/>
    <col min="15087" max="15087" width="7.6640625" style="45" bestFit="1" customWidth="1"/>
    <col min="15088" max="15088" width="9" style="45" bestFit="1" customWidth="1"/>
    <col min="15089" max="15089" width="8.33203125" style="45" customWidth="1"/>
    <col min="15090" max="15090" width="6.44140625" style="45" bestFit="1" customWidth="1"/>
    <col min="15091" max="15091" width="9.109375" style="45" bestFit="1" customWidth="1"/>
    <col min="15092" max="15092" width="14.33203125" style="45" bestFit="1" customWidth="1"/>
    <col min="15093" max="15093" width="11.44140625" style="45"/>
    <col min="15094" max="15094" width="12.6640625" style="45" bestFit="1" customWidth="1"/>
    <col min="15095" max="15342" width="11.44140625" style="45"/>
    <col min="15343" max="15343" width="7.6640625" style="45" bestFit="1" customWidth="1"/>
    <col min="15344" max="15344" width="9" style="45" bestFit="1" customWidth="1"/>
    <col min="15345" max="15345" width="8.33203125" style="45" customWidth="1"/>
    <col min="15346" max="15346" width="6.44140625" style="45" bestFit="1" customWidth="1"/>
    <col min="15347" max="15347" width="9.109375" style="45" bestFit="1" customWidth="1"/>
    <col min="15348" max="15348" width="14.33203125" style="45" bestFit="1" customWidth="1"/>
    <col min="15349" max="15349" width="11.44140625" style="45"/>
    <col min="15350" max="15350" width="12.6640625" style="45" bestFit="1" customWidth="1"/>
    <col min="15351" max="15598" width="11.44140625" style="45"/>
    <col min="15599" max="15599" width="7.6640625" style="45" bestFit="1" customWidth="1"/>
    <col min="15600" max="15600" width="9" style="45" bestFit="1" customWidth="1"/>
    <col min="15601" max="15601" width="8.33203125" style="45" customWidth="1"/>
    <col min="15602" max="15602" width="6.44140625" style="45" bestFit="1" customWidth="1"/>
    <col min="15603" max="15603" width="9.109375" style="45" bestFit="1" customWidth="1"/>
    <col min="15604" max="15604" width="14.33203125" style="45" bestFit="1" customWidth="1"/>
    <col min="15605" max="15605" width="11.44140625" style="45"/>
    <col min="15606" max="15606" width="12.6640625" style="45" bestFit="1" customWidth="1"/>
    <col min="15607" max="15854" width="11.44140625" style="45"/>
    <col min="15855" max="15855" width="7.6640625" style="45" bestFit="1" customWidth="1"/>
    <col min="15856" max="15856" width="9" style="45" bestFit="1" customWidth="1"/>
    <col min="15857" max="15857" width="8.33203125" style="45" customWidth="1"/>
    <col min="15858" max="15858" width="6.44140625" style="45" bestFit="1" customWidth="1"/>
    <col min="15859" max="15859" width="9.109375" style="45" bestFit="1" customWidth="1"/>
    <col min="15860" max="15860" width="14.33203125" style="45" bestFit="1" customWidth="1"/>
    <col min="15861" max="15861" width="11.44140625" style="45"/>
    <col min="15862" max="15862" width="12.6640625" style="45" bestFit="1" customWidth="1"/>
    <col min="15863" max="16110" width="11.44140625" style="45"/>
    <col min="16111" max="16111" width="7.6640625" style="45" bestFit="1" customWidth="1"/>
    <col min="16112" max="16112" width="9" style="45" bestFit="1" customWidth="1"/>
    <col min="16113" max="16113" width="8.33203125" style="45" customWidth="1"/>
    <col min="16114" max="16114" width="6.44140625" style="45" bestFit="1" customWidth="1"/>
    <col min="16115" max="16115" width="9.109375" style="45" bestFit="1" customWidth="1"/>
    <col min="16116" max="16116" width="14.33203125" style="45" bestFit="1" customWidth="1"/>
    <col min="16117" max="16117" width="11.44140625" style="45"/>
    <col min="16118" max="16118" width="12.6640625" style="45" bestFit="1" customWidth="1"/>
    <col min="16119" max="16384" width="11.44140625" style="45"/>
  </cols>
  <sheetData>
    <row r="3" spans="2:15" ht="13.2" x14ac:dyDescent="0.25">
      <c r="B3" s="25" t="s">
        <v>43</v>
      </c>
    </row>
    <row r="4" spans="2:15" ht="13.8" x14ac:dyDescent="0.2">
      <c r="B4" s="46" t="s">
        <v>44</v>
      </c>
      <c r="C4" s="46" t="s">
        <v>3</v>
      </c>
      <c r="D4" s="46" t="s">
        <v>45</v>
      </c>
      <c r="E4" s="46" t="s">
        <v>46</v>
      </c>
      <c r="F4" s="46" t="s">
        <v>47</v>
      </c>
      <c r="G4" s="46" t="s">
        <v>48</v>
      </c>
      <c r="H4" s="46" t="s">
        <v>49</v>
      </c>
      <c r="I4" s="46" t="s">
        <v>50</v>
      </c>
    </row>
    <row r="5" spans="2:15" x14ac:dyDescent="0.2">
      <c r="D5" s="45" t="s">
        <v>51</v>
      </c>
      <c r="G5" s="49">
        <f>O5*N5</f>
        <v>10500</v>
      </c>
      <c r="H5" s="45" t="s">
        <v>77</v>
      </c>
      <c r="K5" s="45" t="s">
        <v>55</v>
      </c>
      <c r="N5" s="45">
        <v>0.3</v>
      </c>
      <c r="O5" s="45">
        <f>70000/2</f>
        <v>35000</v>
      </c>
    </row>
    <row r="6" spans="2:15" x14ac:dyDescent="0.2">
      <c r="D6" s="45" t="s">
        <v>51</v>
      </c>
      <c r="G6" s="49">
        <f>O5*N6</f>
        <v>17500</v>
      </c>
      <c r="H6" s="45" t="s">
        <v>78</v>
      </c>
      <c r="N6" s="45">
        <v>0.5</v>
      </c>
    </row>
    <row r="7" spans="2:15" x14ac:dyDescent="0.2">
      <c r="D7" s="45" t="s">
        <v>51</v>
      </c>
      <c r="G7" s="49">
        <f>O5*N7+O7</f>
        <v>42000</v>
      </c>
      <c r="H7" s="45" t="s">
        <v>79</v>
      </c>
      <c r="K7" s="47" t="s">
        <v>153</v>
      </c>
      <c r="N7" s="45">
        <v>0.2</v>
      </c>
      <c r="O7" s="45">
        <f>O5</f>
        <v>35000</v>
      </c>
    </row>
    <row r="8" spans="2:15" x14ac:dyDescent="0.2">
      <c r="D8" s="45" t="s">
        <v>51</v>
      </c>
      <c r="G8" s="49">
        <f>O8*N8</f>
        <v>10500</v>
      </c>
      <c r="H8" s="45" t="s">
        <v>80</v>
      </c>
      <c r="K8" s="45" t="s">
        <v>56</v>
      </c>
      <c r="N8" s="45">
        <v>0.3</v>
      </c>
      <c r="O8" s="45">
        <f>70000/2</f>
        <v>35000</v>
      </c>
    </row>
    <row r="9" spans="2:15" x14ac:dyDescent="0.2">
      <c r="D9" s="45" t="s">
        <v>51</v>
      </c>
      <c r="G9" s="49">
        <f>O8*N9</f>
        <v>17500</v>
      </c>
      <c r="H9" s="45" t="s">
        <v>81</v>
      </c>
      <c r="N9" s="45">
        <v>0.5</v>
      </c>
    </row>
    <row r="10" spans="2:15" x14ac:dyDescent="0.2">
      <c r="D10" s="45" t="s">
        <v>51</v>
      </c>
      <c r="G10" s="49">
        <f>O8*N10+O10</f>
        <v>42000</v>
      </c>
      <c r="H10" s="45" t="s">
        <v>82</v>
      </c>
      <c r="K10" s="47" t="s">
        <v>153</v>
      </c>
      <c r="N10" s="45">
        <v>0.2</v>
      </c>
      <c r="O10" s="45">
        <f>O8</f>
        <v>35000</v>
      </c>
    </row>
    <row r="11" spans="2:15" x14ac:dyDescent="0.2">
      <c r="D11" s="45" t="s">
        <v>52</v>
      </c>
      <c r="E11" s="45">
        <v>2017</v>
      </c>
      <c r="G11" s="48">
        <v>3</v>
      </c>
      <c r="H11" s="45" t="s">
        <v>77</v>
      </c>
      <c r="I11" s="45" t="str">
        <f>MID(H11,4,9)</f>
        <v>RSVGASNAT</v>
      </c>
    </row>
    <row r="12" spans="2:15" x14ac:dyDescent="0.2">
      <c r="D12" s="45" t="s">
        <v>52</v>
      </c>
      <c r="E12" s="45">
        <v>2017</v>
      </c>
      <c r="G12" s="48">
        <v>4</v>
      </c>
      <c r="H12" s="45" t="s">
        <v>78</v>
      </c>
      <c r="I12" s="45" t="str">
        <f t="shared" ref="I12:I22" si="0">MID(H12,4,9)</f>
        <v>RSVGASNAT</v>
      </c>
    </row>
    <row r="13" spans="2:15" x14ac:dyDescent="0.2">
      <c r="D13" s="45" t="s">
        <v>52</v>
      </c>
      <c r="E13" s="45">
        <v>2017</v>
      </c>
      <c r="G13" s="48">
        <v>5</v>
      </c>
      <c r="H13" s="45" t="s">
        <v>79</v>
      </c>
      <c r="I13" s="45" t="str">
        <f t="shared" si="0"/>
        <v>RSVGASNAT</v>
      </c>
    </row>
    <row r="14" spans="2:15" x14ac:dyDescent="0.2">
      <c r="D14" s="45" t="s">
        <v>52</v>
      </c>
      <c r="E14" s="45">
        <v>2017</v>
      </c>
      <c r="G14" s="48">
        <f>G11/5</f>
        <v>0.6</v>
      </c>
      <c r="H14" s="45" t="s">
        <v>80</v>
      </c>
      <c r="I14" s="45" t="str">
        <f t="shared" si="0"/>
        <v>RSVGASNAA</v>
      </c>
    </row>
    <row r="15" spans="2:15" x14ac:dyDescent="0.2">
      <c r="D15" s="45" t="s">
        <v>52</v>
      </c>
      <c r="E15" s="45">
        <v>2017</v>
      </c>
      <c r="G15" s="48">
        <f>G12/5</f>
        <v>0.8</v>
      </c>
      <c r="H15" s="45" t="s">
        <v>81</v>
      </c>
      <c r="I15" s="45" t="str">
        <f t="shared" si="0"/>
        <v>RSVGASNAA</v>
      </c>
    </row>
    <row r="16" spans="2:15" x14ac:dyDescent="0.2">
      <c r="D16" s="45" t="s">
        <v>52</v>
      </c>
      <c r="E16" s="45">
        <v>2017</v>
      </c>
      <c r="G16" s="48">
        <f>G13/5</f>
        <v>1</v>
      </c>
      <c r="H16" s="45" t="s">
        <v>82</v>
      </c>
      <c r="I16" s="45" t="str">
        <f t="shared" si="0"/>
        <v>RSVGASNAA</v>
      </c>
    </row>
    <row r="17" spans="4:9" x14ac:dyDescent="0.2">
      <c r="D17" s="45" t="s">
        <v>52</v>
      </c>
      <c r="E17" s="45">
        <v>2050</v>
      </c>
      <c r="G17" s="48">
        <f>G11*1.2</f>
        <v>3.5999999999999996</v>
      </c>
      <c r="H17" s="45" t="s">
        <v>77</v>
      </c>
      <c r="I17" s="45" t="str">
        <f t="shared" si="0"/>
        <v>RSVGASNAT</v>
      </c>
    </row>
    <row r="18" spans="4:9" x14ac:dyDescent="0.2">
      <c r="D18" s="45" t="s">
        <v>52</v>
      </c>
      <c r="E18" s="45">
        <v>2050</v>
      </c>
      <c r="G18" s="48">
        <f>G12*1.2</f>
        <v>4.8</v>
      </c>
      <c r="H18" s="45" t="s">
        <v>78</v>
      </c>
      <c r="I18" s="45" t="str">
        <f t="shared" si="0"/>
        <v>RSVGASNAT</v>
      </c>
    </row>
    <row r="19" spans="4:9" x14ac:dyDescent="0.2">
      <c r="D19" s="45" t="s">
        <v>52</v>
      </c>
      <c r="E19" s="45">
        <v>2050</v>
      </c>
      <c r="G19" s="48">
        <f>G13*1.2</f>
        <v>6</v>
      </c>
      <c r="H19" s="45" t="s">
        <v>79</v>
      </c>
      <c r="I19" s="45" t="str">
        <f t="shared" si="0"/>
        <v>RSVGASNAT</v>
      </c>
    </row>
    <row r="20" spans="4:9" x14ac:dyDescent="0.2">
      <c r="D20" s="45" t="s">
        <v>52</v>
      </c>
      <c r="E20" s="45">
        <v>2050</v>
      </c>
      <c r="G20" s="48">
        <f>G17/5</f>
        <v>0.72</v>
      </c>
      <c r="H20" s="45" t="s">
        <v>80</v>
      </c>
      <c r="I20" s="45" t="str">
        <f t="shared" si="0"/>
        <v>RSVGASNAA</v>
      </c>
    </row>
    <row r="21" spans="4:9" x14ac:dyDescent="0.2">
      <c r="D21" s="45" t="s">
        <v>52</v>
      </c>
      <c r="E21" s="45">
        <v>2050</v>
      </c>
      <c r="G21" s="48">
        <f>G18/5</f>
        <v>0.96</v>
      </c>
      <c r="H21" s="45" t="s">
        <v>81</v>
      </c>
      <c r="I21" s="45" t="str">
        <f t="shared" si="0"/>
        <v>RSVGASNAA</v>
      </c>
    </row>
    <row r="22" spans="4:9" x14ac:dyDescent="0.2">
      <c r="D22" s="45" t="s">
        <v>52</v>
      </c>
      <c r="E22" s="45">
        <v>2050</v>
      </c>
      <c r="G22" s="48">
        <f>G19/5</f>
        <v>1.2</v>
      </c>
      <c r="H22" s="45" t="s">
        <v>82</v>
      </c>
      <c r="I22" s="45" t="str">
        <f t="shared" si="0"/>
        <v>RSVGASNAA</v>
      </c>
    </row>
  </sheetData>
  <pageMargins left="0.75" right="0.75" top="1" bottom="1" header="0.4921259845" footer="0.4921259845"/>
  <pageSetup paperSize="9" orientation="portrait" verticalDpi="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90284-FBE7-4A4F-8A03-DFAE3E7F855F}">
  <dimension ref="B3:P22"/>
  <sheetViews>
    <sheetView zoomScale="80" zoomScaleNormal="80" workbookViewId="0">
      <selection sqref="A1:XFD1048576"/>
    </sheetView>
  </sheetViews>
  <sheetFormatPr defaultColWidth="11.44140625" defaultRowHeight="11.4" x14ac:dyDescent="0.2"/>
  <cols>
    <col min="1" max="7" width="11.44140625" style="45"/>
    <col min="8" max="8" width="15.88671875" style="45" bestFit="1" customWidth="1"/>
    <col min="9" max="235" width="11.44140625" style="45"/>
    <col min="236" max="236" width="9.109375" style="45" bestFit="1" customWidth="1"/>
    <col min="237" max="237" width="7.6640625" style="45" bestFit="1" customWidth="1"/>
    <col min="238" max="238" width="9" style="45" bestFit="1" customWidth="1"/>
    <col min="239" max="239" width="6.5546875" style="45" customWidth="1"/>
    <col min="240" max="240" width="4.88671875" style="45" bestFit="1" customWidth="1"/>
    <col min="241" max="241" width="10.33203125" style="45" customWidth="1"/>
    <col min="242" max="242" width="12.6640625" style="45" bestFit="1" customWidth="1"/>
    <col min="243" max="491" width="11.44140625" style="45"/>
    <col min="492" max="492" width="9.109375" style="45" bestFit="1" customWidth="1"/>
    <col min="493" max="493" width="7.6640625" style="45" bestFit="1" customWidth="1"/>
    <col min="494" max="494" width="9" style="45" bestFit="1" customWidth="1"/>
    <col min="495" max="495" width="6.5546875" style="45" customWidth="1"/>
    <col min="496" max="496" width="4.88671875" style="45" bestFit="1" customWidth="1"/>
    <col min="497" max="497" width="10.33203125" style="45" customWidth="1"/>
    <col min="498" max="498" width="12.6640625" style="45" bestFit="1" customWidth="1"/>
    <col min="499" max="747" width="11.44140625" style="45"/>
    <col min="748" max="748" width="9.109375" style="45" bestFit="1" customWidth="1"/>
    <col min="749" max="749" width="7.6640625" style="45" bestFit="1" customWidth="1"/>
    <col min="750" max="750" width="9" style="45" bestFit="1" customWidth="1"/>
    <col min="751" max="751" width="6.5546875" style="45" customWidth="1"/>
    <col min="752" max="752" width="4.88671875" style="45" bestFit="1" customWidth="1"/>
    <col min="753" max="753" width="10.33203125" style="45" customWidth="1"/>
    <col min="754" max="754" width="12.6640625" style="45" bestFit="1" customWidth="1"/>
    <col min="755" max="1003" width="11.44140625" style="45"/>
    <col min="1004" max="1004" width="9.109375" style="45" bestFit="1" customWidth="1"/>
    <col min="1005" max="1005" width="7.6640625" style="45" bestFit="1" customWidth="1"/>
    <col min="1006" max="1006" width="9" style="45" bestFit="1" customWidth="1"/>
    <col min="1007" max="1007" width="6.5546875" style="45" customWidth="1"/>
    <col min="1008" max="1008" width="4.88671875" style="45" bestFit="1" customWidth="1"/>
    <col min="1009" max="1009" width="10.33203125" style="45" customWidth="1"/>
    <col min="1010" max="1010" width="12.6640625" style="45" bestFit="1" customWidth="1"/>
    <col min="1011" max="1259" width="11.44140625" style="45"/>
    <col min="1260" max="1260" width="9.109375" style="45" bestFit="1" customWidth="1"/>
    <col min="1261" max="1261" width="7.6640625" style="45" bestFit="1" customWidth="1"/>
    <col min="1262" max="1262" width="9" style="45" bestFit="1" customWidth="1"/>
    <col min="1263" max="1263" width="6.5546875" style="45" customWidth="1"/>
    <col min="1264" max="1264" width="4.88671875" style="45" bestFit="1" customWidth="1"/>
    <col min="1265" max="1265" width="10.33203125" style="45" customWidth="1"/>
    <col min="1266" max="1266" width="12.6640625" style="45" bestFit="1" customWidth="1"/>
    <col min="1267" max="1515" width="11.44140625" style="45"/>
    <col min="1516" max="1516" width="9.109375" style="45" bestFit="1" customWidth="1"/>
    <col min="1517" max="1517" width="7.6640625" style="45" bestFit="1" customWidth="1"/>
    <col min="1518" max="1518" width="9" style="45" bestFit="1" customWidth="1"/>
    <col min="1519" max="1519" width="6.5546875" style="45" customWidth="1"/>
    <col min="1520" max="1520" width="4.88671875" style="45" bestFit="1" customWidth="1"/>
    <col min="1521" max="1521" width="10.33203125" style="45" customWidth="1"/>
    <col min="1522" max="1522" width="12.6640625" style="45" bestFit="1" customWidth="1"/>
    <col min="1523" max="1771" width="11.44140625" style="45"/>
    <col min="1772" max="1772" width="9.109375" style="45" bestFit="1" customWidth="1"/>
    <col min="1773" max="1773" width="7.6640625" style="45" bestFit="1" customWidth="1"/>
    <col min="1774" max="1774" width="9" style="45" bestFit="1" customWidth="1"/>
    <col min="1775" max="1775" width="6.5546875" style="45" customWidth="1"/>
    <col min="1776" max="1776" width="4.88671875" style="45" bestFit="1" customWidth="1"/>
    <col min="1777" max="1777" width="10.33203125" style="45" customWidth="1"/>
    <col min="1778" max="1778" width="12.6640625" style="45" bestFit="1" customWidth="1"/>
    <col min="1779" max="2027" width="11.44140625" style="45"/>
    <col min="2028" max="2028" width="9.109375" style="45" bestFit="1" customWidth="1"/>
    <col min="2029" max="2029" width="7.6640625" style="45" bestFit="1" customWidth="1"/>
    <col min="2030" max="2030" width="9" style="45" bestFit="1" customWidth="1"/>
    <col min="2031" max="2031" width="6.5546875" style="45" customWidth="1"/>
    <col min="2032" max="2032" width="4.88671875" style="45" bestFit="1" customWidth="1"/>
    <col min="2033" max="2033" width="10.33203125" style="45" customWidth="1"/>
    <col min="2034" max="2034" width="12.6640625" style="45" bestFit="1" customWidth="1"/>
    <col min="2035" max="2283" width="11.44140625" style="45"/>
    <col min="2284" max="2284" width="9.109375" style="45" bestFit="1" customWidth="1"/>
    <col min="2285" max="2285" width="7.6640625" style="45" bestFit="1" customWidth="1"/>
    <col min="2286" max="2286" width="9" style="45" bestFit="1" customWidth="1"/>
    <col min="2287" max="2287" width="6.5546875" style="45" customWidth="1"/>
    <col min="2288" max="2288" width="4.88671875" style="45" bestFit="1" customWidth="1"/>
    <col min="2289" max="2289" width="10.33203125" style="45" customWidth="1"/>
    <col min="2290" max="2290" width="12.6640625" style="45" bestFit="1" customWidth="1"/>
    <col min="2291" max="2539" width="11.44140625" style="45"/>
    <col min="2540" max="2540" width="9.109375" style="45" bestFit="1" customWidth="1"/>
    <col min="2541" max="2541" width="7.6640625" style="45" bestFit="1" customWidth="1"/>
    <col min="2542" max="2542" width="9" style="45" bestFit="1" customWidth="1"/>
    <col min="2543" max="2543" width="6.5546875" style="45" customWidth="1"/>
    <col min="2544" max="2544" width="4.88671875" style="45" bestFit="1" customWidth="1"/>
    <col min="2545" max="2545" width="10.33203125" style="45" customWidth="1"/>
    <col min="2546" max="2546" width="12.6640625" style="45" bestFit="1" customWidth="1"/>
    <col min="2547" max="2795" width="11.44140625" style="45"/>
    <col min="2796" max="2796" width="9.109375" style="45" bestFit="1" customWidth="1"/>
    <col min="2797" max="2797" width="7.6640625" style="45" bestFit="1" customWidth="1"/>
    <col min="2798" max="2798" width="9" style="45" bestFit="1" customWidth="1"/>
    <col min="2799" max="2799" width="6.5546875" style="45" customWidth="1"/>
    <col min="2800" max="2800" width="4.88671875" style="45" bestFit="1" customWidth="1"/>
    <col min="2801" max="2801" width="10.33203125" style="45" customWidth="1"/>
    <col min="2802" max="2802" width="12.6640625" style="45" bestFit="1" customWidth="1"/>
    <col min="2803" max="3051" width="11.44140625" style="45"/>
    <col min="3052" max="3052" width="9.109375" style="45" bestFit="1" customWidth="1"/>
    <col min="3053" max="3053" width="7.6640625" style="45" bestFit="1" customWidth="1"/>
    <col min="3054" max="3054" width="9" style="45" bestFit="1" customWidth="1"/>
    <col min="3055" max="3055" width="6.5546875" style="45" customWidth="1"/>
    <col min="3056" max="3056" width="4.88671875" style="45" bestFit="1" customWidth="1"/>
    <col min="3057" max="3057" width="10.33203125" style="45" customWidth="1"/>
    <col min="3058" max="3058" width="12.6640625" style="45" bestFit="1" customWidth="1"/>
    <col min="3059" max="3307" width="11.44140625" style="45"/>
    <col min="3308" max="3308" width="9.109375" style="45" bestFit="1" customWidth="1"/>
    <col min="3309" max="3309" width="7.6640625" style="45" bestFit="1" customWidth="1"/>
    <col min="3310" max="3310" width="9" style="45" bestFit="1" customWidth="1"/>
    <col min="3311" max="3311" width="6.5546875" style="45" customWidth="1"/>
    <col min="3312" max="3312" width="4.88671875" style="45" bestFit="1" customWidth="1"/>
    <col min="3313" max="3313" width="10.33203125" style="45" customWidth="1"/>
    <col min="3314" max="3314" width="12.6640625" style="45" bestFit="1" customWidth="1"/>
    <col min="3315" max="3563" width="11.44140625" style="45"/>
    <col min="3564" max="3564" width="9.109375" style="45" bestFit="1" customWidth="1"/>
    <col min="3565" max="3565" width="7.6640625" style="45" bestFit="1" customWidth="1"/>
    <col min="3566" max="3566" width="9" style="45" bestFit="1" customWidth="1"/>
    <col min="3567" max="3567" width="6.5546875" style="45" customWidth="1"/>
    <col min="3568" max="3568" width="4.88671875" style="45" bestFit="1" customWidth="1"/>
    <col min="3569" max="3569" width="10.33203125" style="45" customWidth="1"/>
    <col min="3570" max="3570" width="12.6640625" style="45" bestFit="1" customWidth="1"/>
    <col min="3571" max="3819" width="11.44140625" style="45"/>
    <col min="3820" max="3820" width="9.109375" style="45" bestFit="1" customWidth="1"/>
    <col min="3821" max="3821" width="7.6640625" style="45" bestFit="1" customWidth="1"/>
    <col min="3822" max="3822" width="9" style="45" bestFit="1" customWidth="1"/>
    <col min="3823" max="3823" width="6.5546875" style="45" customWidth="1"/>
    <col min="3824" max="3824" width="4.88671875" style="45" bestFit="1" customWidth="1"/>
    <col min="3825" max="3825" width="10.33203125" style="45" customWidth="1"/>
    <col min="3826" max="3826" width="12.6640625" style="45" bestFit="1" customWidth="1"/>
    <col min="3827" max="4075" width="11.44140625" style="45"/>
    <col min="4076" max="4076" width="9.109375" style="45" bestFit="1" customWidth="1"/>
    <col min="4077" max="4077" width="7.6640625" style="45" bestFit="1" customWidth="1"/>
    <col min="4078" max="4078" width="9" style="45" bestFit="1" customWidth="1"/>
    <col min="4079" max="4079" width="6.5546875" style="45" customWidth="1"/>
    <col min="4080" max="4080" width="4.88671875" style="45" bestFit="1" customWidth="1"/>
    <col min="4081" max="4081" width="10.33203125" style="45" customWidth="1"/>
    <col min="4082" max="4082" width="12.6640625" style="45" bestFit="1" customWidth="1"/>
    <col min="4083" max="4331" width="11.44140625" style="45"/>
    <col min="4332" max="4332" width="9.109375" style="45" bestFit="1" customWidth="1"/>
    <col min="4333" max="4333" width="7.6640625" style="45" bestFit="1" customWidth="1"/>
    <col min="4334" max="4334" width="9" style="45" bestFit="1" customWidth="1"/>
    <col min="4335" max="4335" width="6.5546875" style="45" customWidth="1"/>
    <col min="4336" max="4336" width="4.88671875" style="45" bestFit="1" customWidth="1"/>
    <col min="4337" max="4337" width="10.33203125" style="45" customWidth="1"/>
    <col min="4338" max="4338" width="12.6640625" style="45" bestFit="1" customWidth="1"/>
    <col min="4339" max="4587" width="11.44140625" style="45"/>
    <col min="4588" max="4588" width="9.109375" style="45" bestFit="1" customWidth="1"/>
    <col min="4589" max="4589" width="7.6640625" style="45" bestFit="1" customWidth="1"/>
    <col min="4590" max="4590" width="9" style="45" bestFit="1" customWidth="1"/>
    <col min="4591" max="4591" width="6.5546875" style="45" customWidth="1"/>
    <col min="4592" max="4592" width="4.88671875" style="45" bestFit="1" customWidth="1"/>
    <col min="4593" max="4593" width="10.33203125" style="45" customWidth="1"/>
    <col min="4594" max="4594" width="12.6640625" style="45" bestFit="1" customWidth="1"/>
    <col min="4595" max="4843" width="11.44140625" style="45"/>
    <col min="4844" max="4844" width="9.109375" style="45" bestFit="1" customWidth="1"/>
    <col min="4845" max="4845" width="7.6640625" style="45" bestFit="1" customWidth="1"/>
    <col min="4846" max="4846" width="9" style="45" bestFit="1" customWidth="1"/>
    <col min="4847" max="4847" width="6.5546875" style="45" customWidth="1"/>
    <col min="4848" max="4848" width="4.88671875" style="45" bestFit="1" customWidth="1"/>
    <col min="4849" max="4849" width="10.33203125" style="45" customWidth="1"/>
    <col min="4850" max="4850" width="12.6640625" style="45" bestFit="1" customWidth="1"/>
    <col min="4851" max="5099" width="11.44140625" style="45"/>
    <col min="5100" max="5100" width="9.109375" style="45" bestFit="1" customWidth="1"/>
    <col min="5101" max="5101" width="7.6640625" style="45" bestFit="1" customWidth="1"/>
    <col min="5102" max="5102" width="9" style="45" bestFit="1" customWidth="1"/>
    <col min="5103" max="5103" width="6.5546875" style="45" customWidth="1"/>
    <col min="5104" max="5104" width="4.88671875" style="45" bestFit="1" customWidth="1"/>
    <col min="5105" max="5105" width="10.33203125" style="45" customWidth="1"/>
    <col min="5106" max="5106" width="12.6640625" style="45" bestFit="1" customWidth="1"/>
    <col min="5107" max="5355" width="11.44140625" style="45"/>
    <col min="5356" max="5356" width="9.109375" style="45" bestFit="1" customWidth="1"/>
    <col min="5357" max="5357" width="7.6640625" style="45" bestFit="1" customWidth="1"/>
    <col min="5358" max="5358" width="9" style="45" bestFit="1" customWidth="1"/>
    <col min="5359" max="5359" width="6.5546875" style="45" customWidth="1"/>
    <col min="5360" max="5360" width="4.88671875" style="45" bestFit="1" customWidth="1"/>
    <col min="5361" max="5361" width="10.33203125" style="45" customWidth="1"/>
    <col min="5362" max="5362" width="12.6640625" style="45" bestFit="1" customWidth="1"/>
    <col min="5363" max="5611" width="11.44140625" style="45"/>
    <col min="5612" max="5612" width="9.109375" style="45" bestFit="1" customWidth="1"/>
    <col min="5613" max="5613" width="7.6640625" style="45" bestFit="1" customWidth="1"/>
    <col min="5614" max="5614" width="9" style="45" bestFit="1" customWidth="1"/>
    <col min="5615" max="5615" width="6.5546875" style="45" customWidth="1"/>
    <col min="5616" max="5616" width="4.88671875" style="45" bestFit="1" customWidth="1"/>
    <col min="5617" max="5617" width="10.33203125" style="45" customWidth="1"/>
    <col min="5618" max="5618" width="12.6640625" style="45" bestFit="1" customWidth="1"/>
    <col min="5619" max="5867" width="11.44140625" style="45"/>
    <col min="5868" max="5868" width="9.109375" style="45" bestFit="1" customWidth="1"/>
    <col min="5869" max="5869" width="7.6640625" style="45" bestFit="1" customWidth="1"/>
    <col min="5870" max="5870" width="9" style="45" bestFit="1" customWidth="1"/>
    <col min="5871" max="5871" width="6.5546875" style="45" customWidth="1"/>
    <col min="5872" max="5872" width="4.88671875" style="45" bestFit="1" customWidth="1"/>
    <col min="5873" max="5873" width="10.33203125" style="45" customWidth="1"/>
    <col min="5874" max="5874" width="12.6640625" style="45" bestFit="1" customWidth="1"/>
    <col min="5875" max="6123" width="11.44140625" style="45"/>
    <col min="6124" max="6124" width="9.109375" style="45" bestFit="1" customWidth="1"/>
    <col min="6125" max="6125" width="7.6640625" style="45" bestFit="1" customWidth="1"/>
    <col min="6126" max="6126" width="9" style="45" bestFit="1" customWidth="1"/>
    <col min="6127" max="6127" width="6.5546875" style="45" customWidth="1"/>
    <col min="6128" max="6128" width="4.88671875" style="45" bestFit="1" customWidth="1"/>
    <col min="6129" max="6129" width="10.33203125" style="45" customWidth="1"/>
    <col min="6130" max="6130" width="12.6640625" style="45" bestFit="1" customWidth="1"/>
    <col min="6131" max="6379" width="11.44140625" style="45"/>
    <col min="6380" max="6380" width="9.109375" style="45" bestFit="1" customWidth="1"/>
    <col min="6381" max="6381" width="7.6640625" style="45" bestFit="1" customWidth="1"/>
    <col min="6382" max="6382" width="9" style="45" bestFit="1" customWidth="1"/>
    <col min="6383" max="6383" width="6.5546875" style="45" customWidth="1"/>
    <col min="6384" max="6384" width="4.88671875" style="45" bestFit="1" customWidth="1"/>
    <col min="6385" max="6385" width="10.33203125" style="45" customWidth="1"/>
    <col min="6386" max="6386" width="12.6640625" style="45" bestFit="1" customWidth="1"/>
    <col min="6387" max="6635" width="11.44140625" style="45"/>
    <col min="6636" max="6636" width="9.109375" style="45" bestFit="1" customWidth="1"/>
    <col min="6637" max="6637" width="7.6640625" style="45" bestFit="1" customWidth="1"/>
    <col min="6638" max="6638" width="9" style="45" bestFit="1" customWidth="1"/>
    <col min="6639" max="6639" width="6.5546875" style="45" customWidth="1"/>
    <col min="6640" max="6640" width="4.88671875" style="45" bestFit="1" customWidth="1"/>
    <col min="6641" max="6641" width="10.33203125" style="45" customWidth="1"/>
    <col min="6642" max="6642" width="12.6640625" style="45" bestFit="1" customWidth="1"/>
    <col min="6643" max="6891" width="11.44140625" style="45"/>
    <col min="6892" max="6892" width="9.109375" style="45" bestFit="1" customWidth="1"/>
    <col min="6893" max="6893" width="7.6640625" style="45" bestFit="1" customWidth="1"/>
    <col min="6894" max="6894" width="9" style="45" bestFit="1" customWidth="1"/>
    <col min="6895" max="6895" width="6.5546875" style="45" customWidth="1"/>
    <col min="6896" max="6896" width="4.88671875" style="45" bestFit="1" customWidth="1"/>
    <col min="6897" max="6897" width="10.33203125" style="45" customWidth="1"/>
    <col min="6898" max="6898" width="12.6640625" style="45" bestFit="1" customWidth="1"/>
    <col min="6899" max="7147" width="11.44140625" style="45"/>
    <col min="7148" max="7148" width="9.109375" style="45" bestFit="1" customWidth="1"/>
    <col min="7149" max="7149" width="7.6640625" style="45" bestFit="1" customWidth="1"/>
    <col min="7150" max="7150" width="9" style="45" bestFit="1" customWidth="1"/>
    <col min="7151" max="7151" width="6.5546875" style="45" customWidth="1"/>
    <col min="7152" max="7152" width="4.88671875" style="45" bestFit="1" customWidth="1"/>
    <col min="7153" max="7153" width="10.33203125" style="45" customWidth="1"/>
    <col min="7154" max="7154" width="12.6640625" style="45" bestFit="1" customWidth="1"/>
    <col min="7155" max="7403" width="11.44140625" style="45"/>
    <col min="7404" max="7404" width="9.109375" style="45" bestFit="1" customWidth="1"/>
    <col min="7405" max="7405" width="7.6640625" style="45" bestFit="1" customWidth="1"/>
    <col min="7406" max="7406" width="9" style="45" bestFit="1" customWidth="1"/>
    <col min="7407" max="7407" width="6.5546875" style="45" customWidth="1"/>
    <col min="7408" max="7408" width="4.88671875" style="45" bestFit="1" customWidth="1"/>
    <col min="7409" max="7409" width="10.33203125" style="45" customWidth="1"/>
    <col min="7410" max="7410" width="12.6640625" style="45" bestFit="1" customWidth="1"/>
    <col min="7411" max="7659" width="11.44140625" style="45"/>
    <col min="7660" max="7660" width="9.109375" style="45" bestFit="1" customWidth="1"/>
    <col min="7661" max="7661" width="7.6640625" style="45" bestFit="1" customWidth="1"/>
    <col min="7662" max="7662" width="9" style="45" bestFit="1" customWidth="1"/>
    <col min="7663" max="7663" width="6.5546875" style="45" customWidth="1"/>
    <col min="7664" max="7664" width="4.88671875" style="45" bestFit="1" customWidth="1"/>
    <col min="7665" max="7665" width="10.33203125" style="45" customWidth="1"/>
    <col min="7666" max="7666" width="12.6640625" style="45" bestFit="1" customWidth="1"/>
    <col min="7667" max="7915" width="11.44140625" style="45"/>
    <col min="7916" max="7916" width="9.109375" style="45" bestFit="1" customWidth="1"/>
    <col min="7917" max="7917" width="7.6640625" style="45" bestFit="1" customWidth="1"/>
    <col min="7918" max="7918" width="9" style="45" bestFit="1" customWidth="1"/>
    <col min="7919" max="7919" width="6.5546875" style="45" customWidth="1"/>
    <col min="7920" max="7920" width="4.88671875" style="45" bestFit="1" customWidth="1"/>
    <col min="7921" max="7921" width="10.33203125" style="45" customWidth="1"/>
    <col min="7922" max="7922" width="12.6640625" style="45" bestFit="1" customWidth="1"/>
    <col min="7923" max="8171" width="11.44140625" style="45"/>
    <col min="8172" max="8172" width="9.109375" style="45" bestFit="1" customWidth="1"/>
    <col min="8173" max="8173" width="7.6640625" style="45" bestFit="1" customWidth="1"/>
    <col min="8174" max="8174" width="9" style="45" bestFit="1" customWidth="1"/>
    <col min="8175" max="8175" width="6.5546875" style="45" customWidth="1"/>
    <col min="8176" max="8176" width="4.88671875" style="45" bestFit="1" customWidth="1"/>
    <col min="8177" max="8177" width="10.33203125" style="45" customWidth="1"/>
    <col min="8178" max="8178" width="12.6640625" style="45" bestFit="1" customWidth="1"/>
    <col min="8179" max="8427" width="11.44140625" style="45"/>
    <col min="8428" max="8428" width="9.109375" style="45" bestFit="1" customWidth="1"/>
    <col min="8429" max="8429" width="7.6640625" style="45" bestFit="1" customWidth="1"/>
    <col min="8430" max="8430" width="9" style="45" bestFit="1" customWidth="1"/>
    <col min="8431" max="8431" width="6.5546875" style="45" customWidth="1"/>
    <col min="8432" max="8432" width="4.88671875" style="45" bestFit="1" customWidth="1"/>
    <col min="8433" max="8433" width="10.33203125" style="45" customWidth="1"/>
    <col min="8434" max="8434" width="12.6640625" style="45" bestFit="1" customWidth="1"/>
    <col min="8435" max="8683" width="11.44140625" style="45"/>
    <col min="8684" max="8684" width="9.109375" style="45" bestFit="1" customWidth="1"/>
    <col min="8685" max="8685" width="7.6640625" style="45" bestFit="1" customWidth="1"/>
    <col min="8686" max="8686" width="9" style="45" bestFit="1" customWidth="1"/>
    <col min="8687" max="8687" width="6.5546875" style="45" customWidth="1"/>
    <col min="8688" max="8688" width="4.88671875" style="45" bestFit="1" customWidth="1"/>
    <col min="8689" max="8689" width="10.33203125" style="45" customWidth="1"/>
    <col min="8690" max="8690" width="12.6640625" style="45" bestFit="1" customWidth="1"/>
    <col min="8691" max="8939" width="11.44140625" style="45"/>
    <col min="8940" max="8940" width="9.109375" style="45" bestFit="1" customWidth="1"/>
    <col min="8941" max="8941" width="7.6640625" style="45" bestFit="1" customWidth="1"/>
    <col min="8942" max="8942" width="9" style="45" bestFit="1" customWidth="1"/>
    <col min="8943" max="8943" width="6.5546875" style="45" customWidth="1"/>
    <col min="8944" max="8944" width="4.88671875" style="45" bestFit="1" customWidth="1"/>
    <col min="8945" max="8945" width="10.33203125" style="45" customWidth="1"/>
    <col min="8946" max="8946" width="12.6640625" style="45" bestFit="1" customWidth="1"/>
    <col min="8947" max="9195" width="11.44140625" style="45"/>
    <col min="9196" max="9196" width="9.109375" style="45" bestFit="1" customWidth="1"/>
    <col min="9197" max="9197" width="7.6640625" style="45" bestFit="1" customWidth="1"/>
    <col min="9198" max="9198" width="9" style="45" bestFit="1" customWidth="1"/>
    <col min="9199" max="9199" width="6.5546875" style="45" customWidth="1"/>
    <col min="9200" max="9200" width="4.88671875" style="45" bestFit="1" customWidth="1"/>
    <col min="9201" max="9201" width="10.33203125" style="45" customWidth="1"/>
    <col min="9202" max="9202" width="12.6640625" style="45" bestFit="1" customWidth="1"/>
    <col min="9203" max="9451" width="11.44140625" style="45"/>
    <col min="9452" max="9452" width="9.109375" style="45" bestFit="1" customWidth="1"/>
    <col min="9453" max="9453" width="7.6640625" style="45" bestFit="1" customWidth="1"/>
    <col min="9454" max="9454" width="9" style="45" bestFit="1" customWidth="1"/>
    <col min="9455" max="9455" width="6.5546875" style="45" customWidth="1"/>
    <col min="9456" max="9456" width="4.88671875" style="45" bestFit="1" customWidth="1"/>
    <col min="9457" max="9457" width="10.33203125" style="45" customWidth="1"/>
    <col min="9458" max="9458" width="12.6640625" style="45" bestFit="1" customWidth="1"/>
    <col min="9459" max="9707" width="11.44140625" style="45"/>
    <col min="9708" max="9708" width="9.109375" style="45" bestFit="1" customWidth="1"/>
    <col min="9709" max="9709" width="7.6640625" style="45" bestFit="1" customWidth="1"/>
    <col min="9710" max="9710" width="9" style="45" bestFit="1" customWidth="1"/>
    <col min="9711" max="9711" width="6.5546875" style="45" customWidth="1"/>
    <col min="9712" max="9712" width="4.88671875" style="45" bestFit="1" customWidth="1"/>
    <col min="9713" max="9713" width="10.33203125" style="45" customWidth="1"/>
    <col min="9714" max="9714" width="12.6640625" style="45" bestFit="1" customWidth="1"/>
    <col min="9715" max="9963" width="11.44140625" style="45"/>
    <col min="9964" max="9964" width="9.109375" style="45" bestFit="1" customWidth="1"/>
    <col min="9965" max="9965" width="7.6640625" style="45" bestFit="1" customWidth="1"/>
    <col min="9966" max="9966" width="9" style="45" bestFit="1" customWidth="1"/>
    <col min="9967" max="9967" width="6.5546875" style="45" customWidth="1"/>
    <col min="9968" max="9968" width="4.88671875" style="45" bestFit="1" customWidth="1"/>
    <col min="9969" max="9969" width="10.33203125" style="45" customWidth="1"/>
    <col min="9970" max="9970" width="12.6640625" style="45" bestFit="1" customWidth="1"/>
    <col min="9971" max="10219" width="11.44140625" style="45"/>
    <col min="10220" max="10220" width="9.109375" style="45" bestFit="1" customWidth="1"/>
    <col min="10221" max="10221" width="7.6640625" style="45" bestFit="1" customWidth="1"/>
    <col min="10222" max="10222" width="9" style="45" bestFit="1" customWidth="1"/>
    <col min="10223" max="10223" width="6.5546875" style="45" customWidth="1"/>
    <col min="10224" max="10224" width="4.88671875" style="45" bestFit="1" customWidth="1"/>
    <col min="10225" max="10225" width="10.33203125" style="45" customWidth="1"/>
    <col min="10226" max="10226" width="12.6640625" style="45" bestFit="1" customWidth="1"/>
    <col min="10227" max="10475" width="11.44140625" style="45"/>
    <col min="10476" max="10476" width="9.109375" style="45" bestFit="1" customWidth="1"/>
    <col min="10477" max="10477" width="7.6640625" style="45" bestFit="1" customWidth="1"/>
    <col min="10478" max="10478" width="9" style="45" bestFit="1" customWidth="1"/>
    <col min="10479" max="10479" width="6.5546875" style="45" customWidth="1"/>
    <col min="10480" max="10480" width="4.88671875" style="45" bestFit="1" customWidth="1"/>
    <col min="10481" max="10481" width="10.33203125" style="45" customWidth="1"/>
    <col min="10482" max="10482" width="12.6640625" style="45" bestFit="1" customWidth="1"/>
    <col min="10483" max="10731" width="11.44140625" style="45"/>
    <col min="10732" max="10732" width="9.109375" style="45" bestFit="1" customWidth="1"/>
    <col min="10733" max="10733" width="7.6640625" style="45" bestFit="1" customWidth="1"/>
    <col min="10734" max="10734" width="9" style="45" bestFit="1" customWidth="1"/>
    <col min="10735" max="10735" width="6.5546875" style="45" customWidth="1"/>
    <col min="10736" max="10736" width="4.88671875" style="45" bestFit="1" customWidth="1"/>
    <col min="10737" max="10737" width="10.33203125" style="45" customWidth="1"/>
    <col min="10738" max="10738" width="12.6640625" style="45" bestFit="1" customWidth="1"/>
    <col min="10739" max="10987" width="11.44140625" style="45"/>
    <col min="10988" max="10988" width="9.109375" style="45" bestFit="1" customWidth="1"/>
    <col min="10989" max="10989" width="7.6640625" style="45" bestFit="1" customWidth="1"/>
    <col min="10990" max="10990" width="9" style="45" bestFit="1" customWidth="1"/>
    <col min="10991" max="10991" width="6.5546875" style="45" customWidth="1"/>
    <col min="10992" max="10992" width="4.88671875" style="45" bestFit="1" customWidth="1"/>
    <col min="10993" max="10993" width="10.33203125" style="45" customWidth="1"/>
    <col min="10994" max="10994" width="12.6640625" style="45" bestFit="1" customWidth="1"/>
    <col min="10995" max="11243" width="11.44140625" style="45"/>
    <col min="11244" max="11244" width="9.109375" style="45" bestFit="1" customWidth="1"/>
    <col min="11245" max="11245" width="7.6640625" style="45" bestFit="1" customWidth="1"/>
    <col min="11246" max="11246" width="9" style="45" bestFit="1" customWidth="1"/>
    <col min="11247" max="11247" width="6.5546875" style="45" customWidth="1"/>
    <col min="11248" max="11248" width="4.88671875" style="45" bestFit="1" customWidth="1"/>
    <col min="11249" max="11249" width="10.33203125" style="45" customWidth="1"/>
    <col min="11250" max="11250" width="12.6640625" style="45" bestFit="1" customWidth="1"/>
    <col min="11251" max="11499" width="11.44140625" style="45"/>
    <col min="11500" max="11500" width="9.109375" style="45" bestFit="1" customWidth="1"/>
    <col min="11501" max="11501" width="7.6640625" style="45" bestFit="1" customWidth="1"/>
    <col min="11502" max="11502" width="9" style="45" bestFit="1" customWidth="1"/>
    <col min="11503" max="11503" width="6.5546875" style="45" customWidth="1"/>
    <col min="11504" max="11504" width="4.88671875" style="45" bestFit="1" customWidth="1"/>
    <col min="11505" max="11505" width="10.33203125" style="45" customWidth="1"/>
    <col min="11506" max="11506" width="12.6640625" style="45" bestFit="1" customWidth="1"/>
    <col min="11507" max="11755" width="11.44140625" style="45"/>
    <col min="11756" max="11756" width="9.109375" style="45" bestFit="1" customWidth="1"/>
    <col min="11757" max="11757" width="7.6640625" style="45" bestFit="1" customWidth="1"/>
    <col min="11758" max="11758" width="9" style="45" bestFit="1" customWidth="1"/>
    <col min="11759" max="11759" width="6.5546875" style="45" customWidth="1"/>
    <col min="11760" max="11760" width="4.88671875" style="45" bestFit="1" customWidth="1"/>
    <col min="11761" max="11761" width="10.33203125" style="45" customWidth="1"/>
    <col min="11762" max="11762" width="12.6640625" style="45" bestFit="1" customWidth="1"/>
    <col min="11763" max="12011" width="11.44140625" style="45"/>
    <col min="12012" max="12012" width="9.109375" style="45" bestFit="1" customWidth="1"/>
    <col min="12013" max="12013" width="7.6640625" style="45" bestFit="1" customWidth="1"/>
    <col min="12014" max="12014" width="9" style="45" bestFit="1" customWidth="1"/>
    <col min="12015" max="12015" width="6.5546875" style="45" customWidth="1"/>
    <col min="12016" max="12016" width="4.88671875" style="45" bestFit="1" customWidth="1"/>
    <col min="12017" max="12017" width="10.33203125" style="45" customWidth="1"/>
    <col min="12018" max="12018" width="12.6640625" style="45" bestFit="1" customWidth="1"/>
    <col min="12019" max="12267" width="11.44140625" style="45"/>
    <col min="12268" max="12268" width="9.109375" style="45" bestFit="1" customWidth="1"/>
    <col min="12269" max="12269" width="7.6640625" style="45" bestFit="1" customWidth="1"/>
    <col min="12270" max="12270" width="9" style="45" bestFit="1" customWidth="1"/>
    <col min="12271" max="12271" width="6.5546875" style="45" customWidth="1"/>
    <col min="12272" max="12272" width="4.88671875" style="45" bestFit="1" customWidth="1"/>
    <col min="12273" max="12273" width="10.33203125" style="45" customWidth="1"/>
    <col min="12274" max="12274" width="12.6640625" style="45" bestFit="1" customWidth="1"/>
    <col min="12275" max="12523" width="11.44140625" style="45"/>
    <col min="12524" max="12524" width="9.109375" style="45" bestFit="1" customWidth="1"/>
    <col min="12525" max="12525" width="7.6640625" style="45" bestFit="1" customWidth="1"/>
    <col min="12526" max="12526" width="9" style="45" bestFit="1" customWidth="1"/>
    <col min="12527" max="12527" width="6.5546875" style="45" customWidth="1"/>
    <col min="12528" max="12528" width="4.88671875" style="45" bestFit="1" customWidth="1"/>
    <col min="12529" max="12529" width="10.33203125" style="45" customWidth="1"/>
    <col min="12530" max="12530" width="12.6640625" style="45" bestFit="1" customWidth="1"/>
    <col min="12531" max="12779" width="11.44140625" style="45"/>
    <col min="12780" max="12780" width="9.109375" style="45" bestFit="1" customWidth="1"/>
    <col min="12781" max="12781" width="7.6640625" style="45" bestFit="1" customWidth="1"/>
    <col min="12782" max="12782" width="9" style="45" bestFit="1" customWidth="1"/>
    <col min="12783" max="12783" width="6.5546875" style="45" customWidth="1"/>
    <col min="12784" max="12784" width="4.88671875" style="45" bestFit="1" customWidth="1"/>
    <col min="12785" max="12785" width="10.33203125" style="45" customWidth="1"/>
    <col min="12786" max="12786" width="12.6640625" style="45" bestFit="1" customWidth="1"/>
    <col min="12787" max="13035" width="11.44140625" style="45"/>
    <col min="13036" max="13036" width="9.109375" style="45" bestFit="1" customWidth="1"/>
    <col min="13037" max="13037" width="7.6640625" style="45" bestFit="1" customWidth="1"/>
    <col min="13038" max="13038" width="9" style="45" bestFit="1" customWidth="1"/>
    <col min="13039" max="13039" width="6.5546875" style="45" customWidth="1"/>
    <col min="13040" max="13040" width="4.88671875" style="45" bestFit="1" customWidth="1"/>
    <col min="13041" max="13041" width="10.33203125" style="45" customWidth="1"/>
    <col min="13042" max="13042" width="12.6640625" style="45" bestFit="1" customWidth="1"/>
    <col min="13043" max="13291" width="11.44140625" style="45"/>
    <col min="13292" max="13292" width="9.109375" style="45" bestFit="1" customWidth="1"/>
    <col min="13293" max="13293" width="7.6640625" style="45" bestFit="1" customWidth="1"/>
    <col min="13294" max="13294" width="9" style="45" bestFit="1" customWidth="1"/>
    <col min="13295" max="13295" width="6.5546875" style="45" customWidth="1"/>
    <col min="13296" max="13296" width="4.88671875" style="45" bestFit="1" customWidth="1"/>
    <col min="13297" max="13297" width="10.33203125" style="45" customWidth="1"/>
    <col min="13298" max="13298" width="12.6640625" style="45" bestFit="1" customWidth="1"/>
    <col min="13299" max="13547" width="11.44140625" style="45"/>
    <col min="13548" max="13548" width="9.109375" style="45" bestFit="1" customWidth="1"/>
    <col min="13549" max="13549" width="7.6640625" style="45" bestFit="1" customWidth="1"/>
    <col min="13550" max="13550" width="9" style="45" bestFit="1" customWidth="1"/>
    <col min="13551" max="13551" width="6.5546875" style="45" customWidth="1"/>
    <col min="13552" max="13552" width="4.88671875" style="45" bestFit="1" customWidth="1"/>
    <col min="13553" max="13553" width="10.33203125" style="45" customWidth="1"/>
    <col min="13554" max="13554" width="12.6640625" style="45" bestFit="1" customWidth="1"/>
    <col min="13555" max="13803" width="11.44140625" style="45"/>
    <col min="13804" max="13804" width="9.109375" style="45" bestFit="1" customWidth="1"/>
    <col min="13805" max="13805" width="7.6640625" style="45" bestFit="1" customWidth="1"/>
    <col min="13806" max="13806" width="9" style="45" bestFit="1" customWidth="1"/>
    <col min="13807" max="13807" width="6.5546875" style="45" customWidth="1"/>
    <col min="13808" max="13808" width="4.88671875" style="45" bestFit="1" customWidth="1"/>
    <col min="13809" max="13809" width="10.33203125" style="45" customWidth="1"/>
    <col min="13810" max="13810" width="12.6640625" style="45" bestFit="1" customWidth="1"/>
    <col min="13811" max="14059" width="11.44140625" style="45"/>
    <col min="14060" max="14060" width="9.109375" style="45" bestFit="1" customWidth="1"/>
    <col min="14061" max="14061" width="7.6640625" style="45" bestFit="1" customWidth="1"/>
    <col min="14062" max="14062" width="9" style="45" bestFit="1" customWidth="1"/>
    <col min="14063" max="14063" width="6.5546875" style="45" customWidth="1"/>
    <col min="14064" max="14064" width="4.88671875" style="45" bestFit="1" customWidth="1"/>
    <col min="14065" max="14065" width="10.33203125" style="45" customWidth="1"/>
    <col min="14066" max="14066" width="12.6640625" style="45" bestFit="1" customWidth="1"/>
    <col min="14067" max="14315" width="11.44140625" style="45"/>
    <col min="14316" max="14316" width="9.109375" style="45" bestFit="1" customWidth="1"/>
    <col min="14317" max="14317" width="7.6640625" style="45" bestFit="1" customWidth="1"/>
    <col min="14318" max="14318" width="9" style="45" bestFit="1" customWidth="1"/>
    <col min="14319" max="14319" width="6.5546875" style="45" customWidth="1"/>
    <col min="14320" max="14320" width="4.88671875" style="45" bestFit="1" customWidth="1"/>
    <col min="14321" max="14321" width="10.33203125" style="45" customWidth="1"/>
    <col min="14322" max="14322" width="12.6640625" style="45" bestFit="1" customWidth="1"/>
    <col min="14323" max="14571" width="11.44140625" style="45"/>
    <col min="14572" max="14572" width="9.109375" style="45" bestFit="1" customWidth="1"/>
    <col min="14573" max="14573" width="7.6640625" style="45" bestFit="1" customWidth="1"/>
    <col min="14574" max="14574" width="9" style="45" bestFit="1" customWidth="1"/>
    <col min="14575" max="14575" width="6.5546875" style="45" customWidth="1"/>
    <col min="14576" max="14576" width="4.88671875" style="45" bestFit="1" customWidth="1"/>
    <col min="14577" max="14577" width="10.33203125" style="45" customWidth="1"/>
    <col min="14578" max="14578" width="12.6640625" style="45" bestFit="1" customWidth="1"/>
    <col min="14579" max="14827" width="11.44140625" style="45"/>
    <col min="14828" max="14828" width="9.109375" style="45" bestFit="1" customWidth="1"/>
    <col min="14829" max="14829" width="7.6640625" style="45" bestFit="1" customWidth="1"/>
    <col min="14830" max="14830" width="9" style="45" bestFit="1" customWidth="1"/>
    <col min="14831" max="14831" width="6.5546875" style="45" customWidth="1"/>
    <col min="14832" max="14832" width="4.88671875" style="45" bestFit="1" customWidth="1"/>
    <col min="14833" max="14833" width="10.33203125" style="45" customWidth="1"/>
    <col min="14834" max="14834" width="12.6640625" style="45" bestFit="1" customWidth="1"/>
    <col min="14835" max="15083" width="11.44140625" style="45"/>
    <col min="15084" max="15084" width="9.109375" style="45" bestFit="1" customWidth="1"/>
    <col min="15085" max="15085" width="7.6640625" style="45" bestFit="1" customWidth="1"/>
    <col min="15086" max="15086" width="9" style="45" bestFit="1" customWidth="1"/>
    <col min="15087" max="15087" width="6.5546875" style="45" customWidth="1"/>
    <col min="15088" max="15088" width="4.88671875" style="45" bestFit="1" customWidth="1"/>
    <col min="15089" max="15089" width="10.33203125" style="45" customWidth="1"/>
    <col min="15090" max="15090" width="12.6640625" style="45" bestFit="1" customWidth="1"/>
    <col min="15091" max="15339" width="11.44140625" style="45"/>
    <col min="15340" max="15340" width="9.109375" style="45" bestFit="1" customWidth="1"/>
    <col min="15341" max="15341" width="7.6640625" style="45" bestFit="1" customWidth="1"/>
    <col min="15342" max="15342" width="9" style="45" bestFit="1" customWidth="1"/>
    <col min="15343" max="15343" width="6.5546875" style="45" customWidth="1"/>
    <col min="15344" max="15344" width="4.88671875" style="45" bestFit="1" customWidth="1"/>
    <col min="15345" max="15345" width="10.33203125" style="45" customWidth="1"/>
    <col min="15346" max="15346" width="12.6640625" style="45" bestFit="1" customWidth="1"/>
    <col min="15347" max="15595" width="11.44140625" style="45"/>
    <col min="15596" max="15596" width="9.109375" style="45" bestFit="1" customWidth="1"/>
    <col min="15597" max="15597" width="7.6640625" style="45" bestFit="1" customWidth="1"/>
    <col min="15598" max="15598" width="9" style="45" bestFit="1" customWidth="1"/>
    <col min="15599" max="15599" width="6.5546875" style="45" customWidth="1"/>
    <col min="15600" max="15600" width="4.88671875" style="45" bestFit="1" customWidth="1"/>
    <col min="15601" max="15601" width="10.33203125" style="45" customWidth="1"/>
    <col min="15602" max="15602" width="12.6640625" style="45" bestFit="1" customWidth="1"/>
    <col min="15603" max="15851" width="11.44140625" style="45"/>
    <col min="15852" max="15852" width="9.109375" style="45" bestFit="1" customWidth="1"/>
    <col min="15853" max="15853" width="7.6640625" style="45" bestFit="1" customWidth="1"/>
    <col min="15854" max="15854" width="9" style="45" bestFit="1" customWidth="1"/>
    <col min="15855" max="15855" width="6.5546875" style="45" customWidth="1"/>
    <col min="15856" max="15856" width="4.88671875" style="45" bestFit="1" customWidth="1"/>
    <col min="15857" max="15857" width="10.33203125" style="45" customWidth="1"/>
    <col min="15858" max="15858" width="12.6640625" style="45" bestFit="1" customWidth="1"/>
    <col min="15859" max="16107" width="11.44140625" style="45"/>
    <col min="16108" max="16108" width="9.109375" style="45" bestFit="1" customWidth="1"/>
    <col min="16109" max="16109" width="7.6640625" style="45" bestFit="1" customWidth="1"/>
    <col min="16110" max="16110" width="9" style="45" bestFit="1" customWidth="1"/>
    <col min="16111" max="16111" width="6.5546875" style="45" customWidth="1"/>
    <col min="16112" max="16112" width="4.88671875" style="45" bestFit="1" customWidth="1"/>
    <col min="16113" max="16113" width="10.33203125" style="45" customWidth="1"/>
    <col min="16114" max="16114" width="12.6640625" style="45" bestFit="1" customWidth="1"/>
    <col min="16115" max="16384" width="11.44140625" style="45"/>
  </cols>
  <sheetData>
    <row r="3" spans="2:16" ht="13.2" x14ac:dyDescent="0.25">
      <c r="B3" s="25" t="s">
        <v>43</v>
      </c>
    </row>
    <row r="4" spans="2:16" ht="13.8" x14ac:dyDescent="0.2">
      <c r="B4" s="46" t="s">
        <v>44</v>
      </c>
      <c r="C4" s="46" t="s">
        <v>3</v>
      </c>
      <c r="D4" s="46" t="s">
        <v>45</v>
      </c>
      <c r="E4" s="46" t="s">
        <v>46</v>
      </c>
      <c r="F4" s="46" t="s">
        <v>47</v>
      </c>
      <c r="G4" s="46" t="s">
        <v>48</v>
      </c>
      <c r="H4" s="46" t="s">
        <v>49</v>
      </c>
      <c r="I4" s="46" t="s">
        <v>50</v>
      </c>
    </row>
    <row r="5" spans="2:16" x14ac:dyDescent="0.2">
      <c r="D5" s="45" t="s">
        <v>51</v>
      </c>
      <c r="G5" s="49">
        <f>O5*N5</f>
        <v>51000</v>
      </c>
      <c r="H5" s="45" t="s">
        <v>83</v>
      </c>
      <c r="K5" s="45" t="s">
        <v>57</v>
      </c>
      <c r="L5" s="45" t="s">
        <v>152</v>
      </c>
      <c r="N5" s="45">
        <v>0.3</v>
      </c>
      <c r="O5" s="45">
        <v>170000</v>
      </c>
      <c r="P5" s="45" t="s">
        <v>152</v>
      </c>
    </row>
    <row r="6" spans="2:16" x14ac:dyDescent="0.2">
      <c r="D6" s="45" t="s">
        <v>51</v>
      </c>
      <c r="G6" s="49">
        <f>O5*N6</f>
        <v>85000</v>
      </c>
      <c r="H6" s="45" t="s">
        <v>84</v>
      </c>
      <c r="N6" s="45">
        <v>0.5</v>
      </c>
    </row>
    <row r="7" spans="2:16" x14ac:dyDescent="0.2">
      <c r="D7" s="45" t="s">
        <v>51</v>
      </c>
      <c r="G7" s="49">
        <f>O5*N7+O7</f>
        <v>374000</v>
      </c>
      <c r="H7" s="45" t="s">
        <v>85</v>
      </c>
      <c r="K7" s="47" t="s">
        <v>154</v>
      </c>
      <c r="N7" s="45">
        <v>0.2</v>
      </c>
      <c r="O7" s="45">
        <f>O5*2</f>
        <v>340000</v>
      </c>
    </row>
    <row r="8" spans="2:16" x14ac:dyDescent="0.2">
      <c r="D8" s="45" t="s">
        <v>51</v>
      </c>
      <c r="G8" s="45">
        <v>99999</v>
      </c>
      <c r="H8" s="45" t="s">
        <v>86</v>
      </c>
      <c r="K8" s="45" t="s">
        <v>58</v>
      </c>
    </row>
    <row r="9" spans="2:16" x14ac:dyDescent="0.2">
      <c r="D9" s="45" t="s">
        <v>51</v>
      </c>
      <c r="G9" s="45">
        <v>99999</v>
      </c>
      <c r="H9" s="45" t="s">
        <v>87</v>
      </c>
    </row>
    <row r="10" spans="2:16" x14ac:dyDescent="0.2">
      <c r="D10" s="45" t="s">
        <v>51</v>
      </c>
      <c r="G10" s="45">
        <v>99999</v>
      </c>
      <c r="H10" s="45" t="s">
        <v>88</v>
      </c>
      <c r="K10" s="47" t="s">
        <v>153</v>
      </c>
    </row>
    <row r="11" spans="2:16" x14ac:dyDescent="0.2">
      <c r="D11" s="45" t="s">
        <v>52</v>
      </c>
      <c r="E11" s="45">
        <v>2017</v>
      </c>
      <c r="G11" s="48">
        <v>2</v>
      </c>
      <c r="H11" s="45" t="s">
        <v>83</v>
      </c>
      <c r="I11" s="45" t="str">
        <f>MID(H11,4,6)</f>
        <v>RSVOIL</v>
      </c>
    </row>
    <row r="12" spans="2:16" x14ac:dyDescent="0.2">
      <c r="D12" s="45" t="s">
        <v>52</v>
      </c>
      <c r="E12" s="45">
        <v>2017</v>
      </c>
      <c r="G12" s="48">
        <v>3</v>
      </c>
      <c r="H12" s="45" t="s">
        <v>84</v>
      </c>
      <c r="I12" s="45" t="str">
        <f t="shared" ref="I12:I22" si="0">MID(H12,4,6)</f>
        <v>RSVOIL</v>
      </c>
    </row>
    <row r="13" spans="2:16" x14ac:dyDescent="0.2">
      <c r="D13" s="45" t="s">
        <v>52</v>
      </c>
      <c r="E13" s="45">
        <v>2017</v>
      </c>
      <c r="G13" s="48">
        <v>3.5</v>
      </c>
      <c r="H13" s="45" t="s">
        <v>85</v>
      </c>
      <c r="I13" s="45" t="str">
        <f t="shared" si="0"/>
        <v>RSVOIL</v>
      </c>
    </row>
    <row r="14" spans="2:16" x14ac:dyDescent="0.2">
      <c r="D14" s="45" t="s">
        <v>52</v>
      </c>
      <c r="E14" s="45">
        <v>2017</v>
      </c>
      <c r="G14" s="48">
        <f>G11/10</f>
        <v>0.2</v>
      </c>
      <c r="H14" s="45" t="s">
        <v>86</v>
      </c>
      <c r="I14" s="45" t="str">
        <f t="shared" si="0"/>
        <v>OILNGL</v>
      </c>
    </row>
    <row r="15" spans="2:16" x14ac:dyDescent="0.2">
      <c r="D15" s="45" t="s">
        <v>52</v>
      </c>
      <c r="E15" s="45">
        <v>2017</v>
      </c>
      <c r="G15" s="48">
        <f t="shared" ref="G15:G16" si="1">G12/10</f>
        <v>0.3</v>
      </c>
      <c r="H15" s="45" t="s">
        <v>87</v>
      </c>
      <c r="I15" s="45" t="str">
        <f t="shared" si="0"/>
        <v>OILNGL</v>
      </c>
    </row>
    <row r="16" spans="2:16" x14ac:dyDescent="0.2">
      <c r="D16" s="45" t="s">
        <v>52</v>
      </c>
      <c r="E16" s="45">
        <v>2017</v>
      </c>
      <c r="G16" s="48">
        <f t="shared" si="1"/>
        <v>0.35</v>
      </c>
      <c r="H16" s="45" t="s">
        <v>88</v>
      </c>
      <c r="I16" s="45" t="str">
        <f t="shared" si="0"/>
        <v>OILNGL</v>
      </c>
    </row>
    <row r="17" spans="4:9" x14ac:dyDescent="0.2">
      <c r="D17" s="45" t="s">
        <v>52</v>
      </c>
      <c r="E17" s="45">
        <v>2050</v>
      </c>
      <c r="G17" s="48">
        <f>G11*1.1</f>
        <v>2.2000000000000002</v>
      </c>
      <c r="H17" s="45" t="s">
        <v>83</v>
      </c>
      <c r="I17" s="45" t="str">
        <f t="shared" si="0"/>
        <v>RSVOIL</v>
      </c>
    </row>
    <row r="18" spans="4:9" x14ac:dyDescent="0.2">
      <c r="D18" s="45" t="s">
        <v>52</v>
      </c>
      <c r="E18" s="45">
        <v>2050</v>
      </c>
      <c r="G18" s="48">
        <f>G12*1.1</f>
        <v>3.3000000000000003</v>
      </c>
      <c r="H18" s="45" t="s">
        <v>84</v>
      </c>
      <c r="I18" s="45" t="str">
        <f t="shared" si="0"/>
        <v>RSVOIL</v>
      </c>
    </row>
    <row r="19" spans="4:9" x14ac:dyDescent="0.2">
      <c r="D19" s="45" t="s">
        <v>52</v>
      </c>
      <c r="E19" s="45">
        <v>2050</v>
      </c>
      <c r="G19" s="48">
        <f>G13*1.1</f>
        <v>3.8500000000000005</v>
      </c>
      <c r="H19" s="45" t="s">
        <v>85</v>
      </c>
      <c r="I19" s="45" t="str">
        <f t="shared" si="0"/>
        <v>RSVOIL</v>
      </c>
    </row>
    <row r="20" spans="4:9" x14ac:dyDescent="0.2">
      <c r="D20" s="45" t="s">
        <v>52</v>
      </c>
      <c r="E20" s="45">
        <v>2050</v>
      </c>
      <c r="G20" s="48">
        <f>G17/10</f>
        <v>0.22000000000000003</v>
      </c>
      <c r="H20" s="45" t="s">
        <v>86</v>
      </c>
      <c r="I20" s="45" t="str">
        <f t="shared" si="0"/>
        <v>OILNGL</v>
      </c>
    </row>
    <row r="21" spans="4:9" x14ac:dyDescent="0.2">
      <c r="D21" s="45" t="s">
        <v>52</v>
      </c>
      <c r="E21" s="45">
        <v>2050</v>
      </c>
      <c r="G21" s="48">
        <f t="shared" ref="G21:G22" si="2">G18/10</f>
        <v>0.33</v>
      </c>
      <c r="H21" s="45" t="s">
        <v>87</v>
      </c>
      <c r="I21" s="45" t="str">
        <f t="shared" si="0"/>
        <v>OILNGL</v>
      </c>
    </row>
    <row r="22" spans="4:9" x14ac:dyDescent="0.2">
      <c r="D22" s="45" t="s">
        <v>52</v>
      </c>
      <c r="E22" s="45">
        <v>2050</v>
      </c>
      <c r="G22" s="48">
        <f t="shared" si="2"/>
        <v>0.38500000000000006</v>
      </c>
      <c r="H22" s="45" t="s">
        <v>88</v>
      </c>
      <c r="I22" s="45" t="str">
        <f t="shared" si="0"/>
        <v>OILNGL</v>
      </c>
    </row>
  </sheetData>
  <pageMargins left="0.75" right="0.75" top="1" bottom="1" header="0.4921259845" footer="0.492125984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5FEEF-50B4-43B5-AE23-188034BA584F}">
  <dimension ref="B2:AE74"/>
  <sheetViews>
    <sheetView zoomScale="70" zoomScaleNormal="70" workbookViewId="0">
      <selection sqref="A1:XFD1048576"/>
    </sheetView>
  </sheetViews>
  <sheetFormatPr defaultColWidth="8.88671875" defaultRowHeight="13.2" x14ac:dyDescent="0.25"/>
  <cols>
    <col min="1" max="1" width="8.88671875" style="53"/>
    <col min="2" max="2" width="34" style="53" customWidth="1"/>
    <col min="3" max="3" width="19.33203125" style="53" customWidth="1"/>
    <col min="4" max="6" width="8.88671875" style="53"/>
    <col min="7" max="7" width="13.109375" style="53" customWidth="1"/>
    <col min="8" max="8" width="15.33203125" style="53" bestFit="1" customWidth="1"/>
    <col min="9" max="9" width="15.44140625" style="53" customWidth="1"/>
    <col min="10" max="10" width="17" style="53" customWidth="1"/>
    <col min="11" max="11" width="12.88671875" style="53" customWidth="1"/>
    <col min="12" max="12" width="15.6640625" style="53" customWidth="1"/>
    <col min="13" max="257" width="8.88671875" style="53"/>
    <col min="258" max="258" width="34" style="53" customWidth="1"/>
    <col min="259" max="259" width="19.33203125" style="53" customWidth="1"/>
    <col min="260" max="262" width="8.88671875" style="53"/>
    <col min="263" max="263" width="13.109375" style="53" customWidth="1"/>
    <col min="264" max="264" width="15.33203125" style="53" bestFit="1" customWidth="1"/>
    <col min="265" max="265" width="15.44140625" style="53" customWidth="1"/>
    <col min="266" max="266" width="17" style="53" customWidth="1"/>
    <col min="267" max="267" width="12.88671875" style="53" customWidth="1"/>
    <col min="268" max="268" width="15.6640625" style="53" customWidth="1"/>
    <col min="269" max="513" width="8.88671875" style="53"/>
    <col min="514" max="514" width="34" style="53" customWidth="1"/>
    <col min="515" max="515" width="19.33203125" style="53" customWidth="1"/>
    <col min="516" max="518" width="8.88671875" style="53"/>
    <col min="519" max="519" width="13.109375" style="53" customWidth="1"/>
    <col min="520" max="520" width="15.33203125" style="53" bestFit="1" customWidth="1"/>
    <col min="521" max="521" width="15.44140625" style="53" customWidth="1"/>
    <col min="522" max="522" width="17" style="53" customWidth="1"/>
    <col min="523" max="523" width="12.88671875" style="53" customWidth="1"/>
    <col min="524" max="524" width="15.6640625" style="53" customWidth="1"/>
    <col min="525" max="769" width="8.88671875" style="53"/>
    <col min="770" max="770" width="34" style="53" customWidth="1"/>
    <col min="771" max="771" width="19.33203125" style="53" customWidth="1"/>
    <col min="772" max="774" width="8.88671875" style="53"/>
    <col min="775" max="775" width="13.109375" style="53" customWidth="1"/>
    <col min="776" max="776" width="15.33203125" style="53" bestFit="1" customWidth="1"/>
    <col min="777" max="777" width="15.44140625" style="53" customWidth="1"/>
    <col min="778" max="778" width="17" style="53" customWidth="1"/>
    <col min="779" max="779" width="12.88671875" style="53" customWidth="1"/>
    <col min="780" max="780" width="15.6640625" style="53" customWidth="1"/>
    <col min="781" max="1025" width="8.88671875" style="53"/>
    <col min="1026" max="1026" width="34" style="53" customWidth="1"/>
    <col min="1027" max="1027" width="19.33203125" style="53" customWidth="1"/>
    <col min="1028" max="1030" width="8.88671875" style="53"/>
    <col min="1031" max="1031" width="13.109375" style="53" customWidth="1"/>
    <col min="1032" max="1032" width="15.33203125" style="53" bestFit="1" customWidth="1"/>
    <col min="1033" max="1033" width="15.44140625" style="53" customWidth="1"/>
    <col min="1034" max="1034" width="17" style="53" customWidth="1"/>
    <col min="1035" max="1035" width="12.88671875" style="53" customWidth="1"/>
    <col min="1036" max="1036" width="15.6640625" style="53" customWidth="1"/>
    <col min="1037" max="1281" width="8.88671875" style="53"/>
    <col min="1282" max="1282" width="34" style="53" customWidth="1"/>
    <col min="1283" max="1283" width="19.33203125" style="53" customWidth="1"/>
    <col min="1284" max="1286" width="8.88671875" style="53"/>
    <col min="1287" max="1287" width="13.109375" style="53" customWidth="1"/>
    <col min="1288" max="1288" width="15.33203125" style="53" bestFit="1" customWidth="1"/>
    <col min="1289" max="1289" width="15.44140625" style="53" customWidth="1"/>
    <col min="1290" max="1290" width="17" style="53" customWidth="1"/>
    <col min="1291" max="1291" width="12.88671875" style="53" customWidth="1"/>
    <col min="1292" max="1292" width="15.6640625" style="53" customWidth="1"/>
    <col min="1293" max="1537" width="8.88671875" style="53"/>
    <col min="1538" max="1538" width="34" style="53" customWidth="1"/>
    <col min="1539" max="1539" width="19.33203125" style="53" customWidth="1"/>
    <col min="1540" max="1542" width="8.88671875" style="53"/>
    <col min="1543" max="1543" width="13.109375" style="53" customWidth="1"/>
    <col min="1544" max="1544" width="15.33203125" style="53" bestFit="1" customWidth="1"/>
    <col min="1545" max="1545" width="15.44140625" style="53" customWidth="1"/>
    <col min="1546" max="1546" width="17" style="53" customWidth="1"/>
    <col min="1547" max="1547" width="12.88671875" style="53" customWidth="1"/>
    <col min="1548" max="1548" width="15.6640625" style="53" customWidth="1"/>
    <col min="1549" max="1793" width="8.88671875" style="53"/>
    <col min="1794" max="1794" width="34" style="53" customWidth="1"/>
    <col min="1795" max="1795" width="19.33203125" style="53" customWidth="1"/>
    <col min="1796" max="1798" width="8.88671875" style="53"/>
    <col min="1799" max="1799" width="13.109375" style="53" customWidth="1"/>
    <col min="1800" max="1800" width="15.33203125" style="53" bestFit="1" customWidth="1"/>
    <col min="1801" max="1801" width="15.44140625" style="53" customWidth="1"/>
    <col min="1802" max="1802" width="17" style="53" customWidth="1"/>
    <col min="1803" max="1803" width="12.88671875" style="53" customWidth="1"/>
    <col min="1804" max="1804" width="15.6640625" style="53" customWidth="1"/>
    <col min="1805" max="2049" width="8.88671875" style="53"/>
    <col min="2050" max="2050" width="34" style="53" customWidth="1"/>
    <col min="2051" max="2051" width="19.33203125" style="53" customWidth="1"/>
    <col min="2052" max="2054" width="8.88671875" style="53"/>
    <col min="2055" max="2055" width="13.109375" style="53" customWidth="1"/>
    <col min="2056" max="2056" width="15.33203125" style="53" bestFit="1" customWidth="1"/>
    <col min="2057" max="2057" width="15.44140625" style="53" customWidth="1"/>
    <col min="2058" max="2058" width="17" style="53" customWidth="1"/>
    <col min="2059" max="2059" width="12.88671875" style="53" customWidth="1"/>
    <col min="2060" max="2060" width="15.6640625" style="53" customWidth="1"/>
    <col min="2061" max="2305" width="8.88671875" style="53"/>
    <col min="2306" max="2306" width="34" style="53" customWidth="1"/>
    <col min="2307" max="2307" width="19.33203125" style="53" customWidth="1"/>
    <col min="2308" max="2310" width="8.88671875" style="53"/>
    <col min="2311" max="2311" width="13.109375" style="53" customWidth="1"/>
    <col min="2312" max="2312" width="15.33203125" style="53" bestFit="1" customWidth="1"/>
    <col min="2313" max="2313" width="15.44140625" style="53" customWidth="1"/>
    <col min="2314" max="2314" width="17" style="53" customWidth="1"/>
    <col min="2315" max="2315" width="12.88671875" style="53" customWidth="1"/>
    <col min="2316" max="2316" width="15.6640625" style="53" customWidth="1"/>
    <col min="2317" max="2561" width="8.88671875" style="53"/>
    <col min="2562" max="2562" width="34" style="53" customWidth="1"/>
    <col min="2563" max="2563" width="19.33203125" style="53" customWidth="1"/>
    <col min="2564" max="2566" width="8.88671875" style="53"/>
    <col min="2567" max="2567" width="13.109375" style="53" customWidth="1"/>
    <col min="2568" max="2568" width="15.33203125" style="53" bestFit="1" customWidth="1"/>
    <col min="2569" max="2569" width="15.44140625" style="53" customWidth="1"/>
    <col min="2570" max="2570" width="17" style="53" customWidth="1"/>
    <col min="2571" max="2571" width="12.88671875" style="53" customWidth="1"/>
    <col min="2572" max="2572" width="15.6640625" style="53" customWidth="1"/>
    <col min="2573" max="2817" width="8.88671875" style="53"/>
    <col min="2818" max="2818" width="34" style="53" customWidth="1"/>
    <col min="2819" max="2819" width="19.33203125" style="53" customWidth="1"/>
    <col min="2820" max="2822" width="8.88671875" style="53"/>
    <col min="2823" max="2823" width="13.109375" style="53" customWidth="1"/>
    <col min="2824" max="2824" width="15.33203125" style="53" bestFit="1" customWidth="1"/>
    <col min="2825" max="2825" width="15.44140625" style="53" customWidth="1"/>
    <col min="2826" max="2826" width="17" style="53" customWidth="1"/>
    <col min="2827" max="2827" width="12.88671875" style="53" customWidth="1"/>
    <col min="2828" max="2828" width="15.6640625" style="53" customWidth="1"/>
    <col min="2829" max="3073" width="8.88671875" style="53"/>
    <col min="3074" max="3074" width="34" style="53" customWidth="1"/>
    <col min="3075" max="3075" width="19.33203125" style="53" customWidth="1"/>
    <col min="3076" max="3078" width="8.88671875" style="53"/>
    <col min="3079" max="3079" width="13.109375" style="53" customWidth="1"/>
    <col min="3080" max="3080" width="15.33203125" style="53" bestFit="1" customWidth="1"/>
    <col min="3081" max="3081" width="15.44140625" style="53" customWidth="1"/>
    <col min="3082" max="3082" width="17" style="53" customWidth="1"/>
    <col min="3083" max="3083" width="12.88671875" style="53" customWidth="1"/>
    <col min="3084" max="3084" width="15.6640625" style="53" customWidth="1"/>
    <col min="3085" max="3329" width="8.88671875" style="53"/>
    <col min="3330" max="3330" width="34" style="53" customWidth="1"/>
    <col min="3331" max="3331" width="19.33203125" style="53" customWidth="1"/>
    <col min="3332" max="3334" width="8.88671875" style="53"/>
    <col min="3335" max="3335" width="13.109375" style="53" customWidth="1"/>
    <col min="3336" max="3336" width="15.33203125" style="53" bestFit="1" customWidth="1"/>
    <col min="3337" max="3337" width="15.44140625" style="53" customWidth="1"/>
    <col min="3338" max="3338" width="17" style="53" customWidth="1"/>
    <col min="3339" max="3339" width="12.88671875" style="53" customWidth="1"/>
    <col min="3340" max="3340" width="15.6640625" style="53" customWidth="1"/>
    <col min="3341" max="3585" width="8.88671875" style="53"/>
    <col min="3586" max="3586" width="34" style="53" customWidth="1"/>
    <col min="3587" max="3587" width="19.33203125" style="53" customWidth="1"/>
    <col min="3588" max="3590" width="8.88671875" style="53"/>
    <col min="3591" max="3591" width="13.109375" style="53" customWidth="1"/>
    <col min="3592" max="3592" width="15.33203125" style="53" bestFit="1" customWidth="1"/>
    <col min="3593" max="3593" width="15.44140625" style="53" customWidth="1"/>
    <col min="3594" max="3594" width="17" style="53" customWidth="1"/>
    <col min="3595" max="3595" width="12.88671875" style="53" customWidth="1"/>
    <col min="3596" max="3596" width="15.6640625" style="53" customWidth="1"/>
    <col min="3597" max="3841" width="8.88671875" style="53"/>
    <col min="3842" max="3842" width="34" style="53" customWidth="1"/>
    <col min="3843" max="3843" width="19.33203125" style="53" customWidth="1"/>
    <col min="3844" max="3846" width="8.88671875" style="53"/>
    <col min="3847" max="3847" width="13.109375" style="53" customWidth="1"/>
    <col min="3848" max="3848" width="15.33203125" style="53" bestFit="1" customWidth="1"/>
    <col min="3849" max="3849" width="15.44140625" style="53" customWidth="1"/>
    <col min="3850" max="3850" width="17" style="53" customWidth="1"/>
    <col min="3851" max="3851" width="12.88671875" style="53" customWidth="1"/>
    <col min="3852" max="3852" width="15.6640625" style="53" customWidth="1"/>
    <col min="3853" max="4097" width="8.88671875" style="53"/>
    <col min="4098" max="4098" width="34" style="53" customWidth="1"/>
    <col min="4099" max="4099" width="19.33203125" style="53" customWidth="1"/>
    <col min="4100" max="4102" width="8.88671875" style="53"/>
    <col min="4103" max="4103" width="13.109375" style="53" customWidth="1"/>
    <col min="4104" max="4104" width="15.33203125" style="53" bestFit="1" customWidth="1"/>
    <col min="4105" max="4105" width="15.44140625" style="53" customWidth="1"/>
    <col min="4106" max="4106" width="17" style="53" customWidth="1"/>
    <col min="4107" max="4107" width="12.88671875" style="53" customWidth="1"/>
    <col min="4108" max="4108" width="15.6640625" style="53" customWidth="1"/>
    <col min="4109" max="4353" width="8.88671875" style="53"/>
    <col min="4354" max="4354" width="34" style="53" customWidth="1"/>
    <col min="4355" max="4355" width="19.33203125" style="53" customWidth="1"/>
    <col min="4356" max="4358" width="8.88671875" style="53"/>
    <col min="4359" max="4359" width="13.109375" style="53" customWidth="1"/>
    <col min="4360" max="4360" width="15.33203125" style="53" bestFit="1" customWidth="1"/>
    <col min="4361" max="4361" width="15.44140625" style="53" customWidth="1"/>
    <col min="4362" max="4362" width="17" style="53" customWidth="1"/>
    <col min="4363" max="4363" width="12.88671875" style="53" customWidth="1"/>
    <col min="4364" max="4364" width="15.6640625" style="53" customWidth="1"/>
    <col min="4365" max="4609" width="8.88671875" style="53"/>
    <col min="4610" max="4610" width="34" style="53" customWidth="1"/>
    <col min="4611" max="4611" width="19.33203125" style="53" customWidth="1"/>
    <col min="4612" max="4614" width="8.88671875" style="53"/>
    <col min="4615" max="4615" width="13.109375" style="53" customWidth="1"/>
    <col min="4616" max="4616" width="15.33203125" style="53" bestFit="1" customWidth="1"/>
    <col min="4617" max="4617" width="15.44140625" style="53" customWidth="1"/>
    <col min="4618" max="4618" width="17" style="53" customWidth="1"/>
    <col min="4619" max="4619" width="12.88671875" style="53" customWidth="1"/>
    <col min="4620" max="4620" width="15.6640625" style="53" customWidth="1"/>
    <col min="4621" max="4865" width="8.88671875" style="53"/>
    <col min="4866" max="4866" width="34" style="53" customWidth="1"/>
    <col min="4867" max="4867" width="19.33203125" style="53" customWidth="1"/>
    <col min="4868" max="4870" width="8.88671875" style="53"/>
    <col min="4871" max="4871" width="13.109375" style="53" customWidth="1"/>
    <col min="4872" max="4872" width="15.33203125" style="53" bestFit="1" customWidth="1"/>
    <col min="4873" max="4873" width="15.44140625" style="53" customWidth="1"/>
    <col min="4874" max="4874" width="17" style="53" customWidth="1"/>
    <col min="4875" max="4875" width="12.88671875" style="53" customWidth="1"/>
    <col min="4876" max="4876" width="15.6640625" style="53" customWidth="1"/>
    <col min="4877" max="5121" width="8.88671875" style="53"/>
    <col min="5122" max="5122" width="34" style="53" customWidth="1"/>
    <col min="5123" max="5123" width="19.33203125" style="53" customWidth="1"/>
    <col min="5124" max="5126" width="8.88671875" style="53"/>
    <col min="5127" max="5127" width="13.109375" style="53" customWidth="1"/>
    <col min="5128" max="5128" width="15.33203125" style="53" bestFit="1" customWidth="1"/>
    <col min="5129" max="5129" width="15.44140625" style="53" customWidth="1"/>
    <col min="5130" max="5130" width="17" style="53" customWidth="1"/>
    <col min="5131" max="5131" width="12.88671875" style="53" customWidth="1"/>
    <col min="5132" max="5132" width="15.6640625" style="53" customWidth="1"/>
    <col min="5133" max="5377" width="8.88671875" style="53"/>
    <col min="5378" max="5378" width="34" style="53" customWidth="1"/>
    <col min="5379" max="5379" width="19.33203125" style="53" customWidth="1"/>
    <col min="5380" max="5382" width="8.88671875" style="53"/>
    <col min="5383" max="5383" width="13.109375" style="53" customWidth="1"/>
    <col min="5384" max="5384" width="15.33203125" style="53" bestFit="1" customWidth="1"/>
    <col min="5385" max="5385" width="15.44140625" style="53" customWidth="1"/>
    <col min="5386" max="5386" width="17" style="53" customWidth="1"/>
    <col min="5387" max="5387" width="12.88671875" style="53" customWidth="1"/>
    <col min="5388" max="5388" width="15.6640625" style="53" customWidth="1"/>
    <col min="5389" max="5633" width="8.88671875" style="53"/>
    <col min="5634" max="5634" width="34" style="53" customWidth="1"/>
    <col min="5635" max="5635" width="19.33203125" style="53" customWidth="1"/>
    <col min="5636" max="5638" width="8.88671875" style="53"/>
    <col min="5639" max="5639" width="13.109375" style="53" customWidth="1"/>
    <col min="5640" max="5640" width="15.33203125" style="53" bestFit="1" customWidth="1"/>
    <col min="5641" max="5641" width="15.44140625" style="53" customWidth="1"/>
    <col min="5642" max="5642" width="17" style="53" customWidth="1"/>
    <col min="5643" max="5643" width="12.88671875" style="53" customWidth="1"/>
    <col min="5644" max="5644" width="15.6640625" style="53" customWidth="1"/>
    <col min="5645" max="5889" width="8.88671875" style="53"/>
    <col min="5890" max="5890" width="34" style="53" customWidth="1"/>
    <col min="5891" max="5891" width="19.33203125" style="53" customWidth="1"/>
    <col min="5892" max="5894" width="8.88671875" style="53"/>
    <col min="5895" max="5895" width="13.109375" style="53" customWidth="1"/>
    <col min="5896" max="5896" width="15.33203125" style="53" bestFit="1" customWidth="1"/>
    <col min="5897" max="5897" width="15.44140625" style="53" customWidth="1"/>
    <col min="5898" max="5898" width="17" style="53" customWidth="1"/>
    <col min="5899" max="5899" width="12.88671875" style="53" customWidth="1"/>
    <col min="5900" max="5900" width="15.6640625" style="53" customWidth="1"/>
    <col min="5901" max="6145" width="8.88671875" style="53"/>
    <col min="6146" max="6146" width="34" style="53" customWidth="1"/>
    <col min="6147" max="6147" width="19.33203125" style="53" customWidth="1"/>
    <col min="6148" max="6150" width="8.88671875" style="53"/>
    <col min="6151" max="6151" width="13.109375" style="53" customWidth="1"/>
    <col min="6152" max="6152" width="15.33203125" style="53" bestFit="1" customWidth="1"/>
    <col min="6153" max="6153" width="15.44140625" style="53" customWidth="1"/>
    <col min="6154" max="6154" width="17" style="53" customWidth="1"/>
    <col min="6155" max="6155" width="12.88671875" style="53" customWidth="1"/>
    <col min="6156" max="6156" width="15.6640625" style="53" customWidth="1"/>
    <col min="6157" max="6401" width="8.88671875" style="53"/>
    <col min="6402" max="6402" width="34" style="53" customWidth="1"/>
    <col min="6403" max="6403" width="19.33203125" style="53" customWidth="1"/>
    <col min="6404" max="6406" width="8.88671875" style="53"/>
    <col min="6407" max="6407" width="13.109375" style="53" customWidth="1"/>
    <col min="6408" max="6408" width="15.33203125" style="53" bestFit="1" customWidth="1"/>
    <col min="6409" max="6409" width="15.44140625" style="53" customWidth="1"/>
    <col min="6410" max="6410" width="17" style="53" customWidth="1"/>
    <col min="6411" max="6411" width="12.88671875" style="53" customWidth="1"/>
    <col min="6412" max="6412" width="15.6640625" style="53" customWidth="1"/>
    <col min="6413" max="6657" width="8.88671875" style="53"/>
    <col min="6658" max="6658" width="34" style="53" customWidth="1"/>
    <col min="6659" max="6659" width="19.33203125" style="53" customWidth="1"/>
    <col min="6660" max="6662" width="8.88671875" style="53"/>
    <col min="6663" max="6663" width="13.109375" style="53" customWidth="1"/>
    <col min="6664" max="6664" width="15.33203125" style="53" bestFit="1" customWidth="1"/>
    <col min="6665" max="6665" width="15.44140625" style="53" customWidth="1"/>
    <col min="6666" max="6666" width="17" style="53" customWidth="1"/>
    <col min="6667" max="6667" width="12.88671875" style="53" customWidth="1"/>
    <col min="6668" max="6668" width="15.6640625" style="53" customWidth="1"/>
    <col min="6669" max="6913" width="8.88671875" style="53"/>
    <col min="6914" max="6914" width="34" style="53" customWidth="1"/>
    <col min="6915" max="6915" width="19.33203125" style="53" customWidth="1"/>
    <col min="6916" max="6918" width="8.88671875" style="53"/>
    <col min="6919" max="6919" width="13.109375" style="53" customWidth="1"/>
    <col min="6920" max="6920" width="15.33203125" style="53" bestFit="1" customWidth="1"/>
    <col min="6921" max="6921" width="15.44140625" style="53" customWidth="1"/>
    <col min="6922" max="6922" width="17" style="53" customWidth="1"/>
    <col min="6923" max="6923" width="12.88671875" style="53" customWidth="1"/>
    <col min="6924" max="6924" width="15.6640625" style="53" customWidth="1"/>
    <col min="6925" max="7169" width="8.88671875" style="53"/>
    <col min="7170" max="7170" width="34" style="53" customWidth="1"/>
    <col min="7171" max="7171" width="19.33203125" style="53" customWidth="1"/>
    <col min="7172" max="7174" width="8.88671875" style="53"/>
    <col min="7175" max="7175" width="13.109375" style="53" customWidth="1"/>
    <col min="7176" max="7176" width="15.33203125" style="53" bestFit="1" customWidth="1"/>
    <col min="7177" max="7177" width="15.44140625" style="53" customWidth="1"/>
    <col min="7178" max="7178" width="17" style="53" customWidth="1"/>
    <col min="7179" max="7179" width="12.88671875" style="53" customWidth="1"/>
    <col min="7180" max="7180" width="15.6640625" style="53" customWidth="1"/>
    <col min="7181" max="7425" width="8.88671875" style="53"/>
    <col min="7426" max="7426" width="34" style="53" customWidth="1"/>
    <col min="7427" max="7427" width="19.33203125" style="53" customWidth="1"/>
    <col min="7428" max="7430" width="8.88671875" style="53"/>
    <col min="7431" max="7431" width="13.109375" style="53" customWidth="1"/>
    <col min="7432" max="7432" width="15.33203125" style="53" bestFit="1" customWidth="1"/>
    <col min="7433" max="7433" width="15.44140625" style="53" customWidth="1"/>
    <col min="7434" max="7434" width="17" style="53" customWidth="1"/>
    <col min="7435" max="7435" width="12.88671875" style="53" customWidth="1"/>
    <col min="7436" max="7436" width="15.6640625" style="53" customWidth="1"/>
    <col min="7437" max="7681" width="8.88671875" style="53"/>
    <col min="7682" max="7682" width="34" style="53" customWidth="1"/>
    <col min="7683" max="7683" width="19.33203125" style="53" customWidth="1"/>
    <col min="7684" max="7686" width="8.88671875" style="53"/>
    <col min="7687" max="7687" width="13.109375" style="53" customWidth="1"/>
    <col min="7688" max="7688" width="15.33203125" style="53" bestFit="1" customWidth="1"/>
    <col min="7689" max="7689" width="15.44140625" style="53" customWidth="1"/>
    <col min="7690" max="7690" width="17" style="53" customWidth="1"/>
    <col min="7691" max="7691" width="12.88671875" style="53" customWidth="1"/>
    <col min="7692" max="7692" width="15.6640625" style="53" customWidth="1"/>
    <col min="7693" max="7937" width="8.88671875" style="53"/>
    <col min="7938" max="7938" width="34" style="53" customWidth="1"/>
    <col min="7939" max="7939" width="19.33203125" style="53" customWidth="1"/>
    <col min="7940" max="7942" width="8.88671875" style="53"/>
    <col min="7943" max="7943" width="13.109375" style="53" customWidth="1"/>
    <col min="7944" max="7944" width="15.33203125" style="53" bestFit="1" customWidth="1"/>
    <col min="7945" max="7945" width="15.44140625" style="53" customWidth="1"/>
    <col min="7946" max="7946" width="17" style="53" customWidth="1"/>
    <col min="7947" max="7947" width="12.88671875" style="53" customWidth="1"/>
    <col min="7948" max="7948" width="15.6640625" style="53" customWidth="1"/>
    <col min="7949" max="8193" width="8.88671875" style="53"/>
    <col min="8194" max="8194" width="34" style="53" customWidth="1"/>
    <col min="8195" max="8195" width="19.33203125" style="53" customWidth="1"/>
    <col min="8196" max="8198" width="8.88671875" style="53"/>
    <col min="8199" max="8199" width="13.109375" style="53" customWidth="1"/>
    <col min="8200" max="8200" width="15.33203125" style="53" bestFit="1" customWidth="1"/>
    <col min="8201" max="8201" width="15.44140625" style="53" customWidth="1"/>
    <col min="8202" max="8202" width="17" style="53" customWidth="1"/>
    <col min="8203" max="8203" width="12.88671875" style="53" customWidth="1"/>
    <col min="8204" max="8204" width="15.6640625" style="53" customWidth="1"/>
    <col min="8205" max="8449" width="8.88671875" style="53"/>
    <col min="8450" max="8450" width="34" style="53" customWidth="1"/>
    <col min="8451" max="8451" width="19.33203125" style="53" customWidth="1"/>
    <col min="8452" max="8454" width="8.88671875" style="53"/>
    <col min="8455" max="8455" width="13.109375" style="53" customWidth="1"/>
    <col min="8456" max="8456" width="15.33203125" style="53" bestFit="1" customWidth="1"/>
    <col min="8457" max="8457" width="15.44140625" style="53" customWidth="1"/>
    <col min="8458" max="8458" width="17" style="53" customWidth="1"/>
    <col min="8459" max="8459" width="12.88671875" style="53" customWidth="1"/>
    <col min="8460" max="8460" width="15.6640625" style="53" customWidth="1"/>
    <col min="8461" max="8705" width="8.88671875" style="53"/>
    <col min="8706" max="8706" width="34" style="53" customWidth="1"/>
    <col min="8707" max="8707" width="19.33203125" style="53" customWidth="1"/>
    <col min="8708" max="8710" width="8.88671875" style="53"/>
    <col min="8711" max="8711" width="13.109375" style="53" customWidth="1"/>
    <col min="8712" max="8712" width="15.33203125" style="53" bestFit="1" customWidth="1"/>
    <col min="8713" max="8713" width="15.44140625" style="53" customWidth="1"/>
    <col min="8714" max="8714" width="17" style="53" customWidth="1"/>
    <col min="8715" max="8715" width="12.88671875" style="53" customWidth="1"/>
    <col min="8716" max="8716" width="15.6640625" style="53" customWidth="1"/>
    <col min="8717" max="8961" width="8.88671875" style="53"/>
    <col min="8962" max="8962" width="34" style="53" customWidth="1"/>
    <col min="8963" max="8963" width="19.33203125" style="53" customWidth="1"/>
    <col min="8964" max="8966" width="8.88671875" style="53"/>
    <col min="8967" max="8967" width="13.109375" style="53" customWidth="1"/>
    <col min="8968" max="8968" width="15.33203125" style="53" bestFit="1" customWidth="1"/>
    <col min="8969" max="8969" width="15.44140625" style="53" customWidth="1"/>
    <col min="8970" max="8970" width="17" style="53" customWidth="1"/>
    <col min="8971" max="8971" width="12.88671875" style="53" customWidth="1"/>
    <col min="8972" max="8972" width="15.6640625" style="53" customWidth="1"/>
    <col min="8973" max="9217" width="8.88671875" style="53"/>
    <col min="9218" max="9218" width="34" style="53" customWidth="1"/>
    <col min="9219" max="9219" width="19.33203125" style="53" customWidth="1"/>
    <col min="9220" max="9222" width="8.88671875" style="53"/>
    <col min="9223" max="9223" width="13.109375" style="53" customWidth="1"/>
    <col min="9224" max="9224" width="15.33203125" style="53" bestFit="1" customWidth="1"/>
    <col min="9225" max="9225" width="15.44140625" style="53" customWidth="1"/>
    <col min="9226" max="9226" width="17" style="53" customWidth="1"/>
    <col min="9227" max="9227" width="12.88671875" style="53" customWidth="1"/>
    <col min="9228" max="9228" width="15.6640625" style="53" customWidth="1"/>
    <col min="9229" max="9473" width="8.88671875" style="53"/>
    <col min="9474" max="9474" width="34" style="53" customWidth="1"/>
    <col min="9475" max="9475" width="19.33203125" style="53" customWidth="1"/>
    <col min="9476" max="9478" width="8.88671875" style="53"/>
    <col min="9479" max="9479" width="13.109375" style="53" customWidth="1"/>
    <col min="9480" max="9480" width="15.33203125" style="53" bestFit="1" customWidth="1"/>
    <col min="9481" max="9481" width="15.44140625" style="53" customWidth="1"/>
    <col min="9482" max="9482" width="17" style="53" customWidth="1"/>
    <col min="9483" max="9483" width="12.88671875" style="53" customWidth="1"/>
    <col min="9484" max="9484" width="15.6640625" style="53" customWidth="1"/>
    <col min="9485" max="9729" width="8.88671875" style="53"/>
    <col min="9730" max="9730" width="34" style="53" customWidth="1"/>
    <col min="9731" max="9731" width="19.33203125" style="53" customWidth="1"/>
    <col min="9732" max="9734" width="8.88671875" style="53"/>
    <col min="9735" max="9735" width="13.109375" style="53" customWidth="1"/>
    <col min="9736" max="9736" width="15.33203125" style="53" bestFit="1" customWidth="1"/>
    <col min="9737" max="9737" width="15.44140625" style="53" customWidth="1"/>
    <col min="9738" max="9738" width="17" style="53" customWidth="1"/>
    <col min="9739" max="9739" width="12.88671875" style="53" customWidth="1"/>
    <col min="9740" max="9740" width="15.6640625" style="53" customWidth="1"/>
    <col min="9741" max="9985" width="8.88671875" style="53"/>
    <col min="9986" max="9986" width="34" style="53" customWidth="1"/>
    <col min="9987" max="9987" width="19.33203125" style="53" customWidth="1"/>
    <col min="9988" max="9990" width="8.88671875" style="53"/>
    <col min="9991" max="9991" width="13.109375" style="53" customWidth="1"/>
    <col min="9992" max="9992" width="15.33203125" style="53" bestFit="1" customWidth="1"/>
    <col min="9993" max="9993" width="15.44140625" style="53" customWidth="1"/>
    <col min="9994" max="9994" width="17" style="53" customWidth="1"/>
    <col min="9995" max="9995" width="12.88671875" style="53" customWidth="1"/>
    <col min="9996" max="9996" width="15.6640625" style="53" customWidth="1"/>
    <col min="9997" max="10241" width="8.88671875" style="53"/>
    <col min="10242" max="10242" width="34" style="53" customWidth="1"/>
    <col min="10243" max="10243" width="19.33203125" style="53" customWidth="1"/>
    <col min="10244" max="10246" width="8.88671875" style="53"/>
    <col min="10247" max="10247" width="13.109375" style="53" customWidth="1"/>
    <col min="10248" max="10248" width="15.33203125" style="53" bestFit="1" customWidth="1"/>
    <col min="10249" max="10249" width="15.44140625" style="53" customWidth="1"/>
    <col min="10250" max="10250" width="17" style="53" customWidth="1"/>
    <col min="10251" max="10251" width="12.88671875" style="53" customWidth="1"/>
    <col min="10252" max="10252" width="15.6640625" style="53" customWidth="1"/>
    <col min="10253" max="10497" width="8.88671875" style="53"/>
    <col min="10498" max="10498" width="34" style="53" customWidth="1"/>
    <col min="10499" max="10499" width="19.33203125" style="53" customWidth="1"/>
    <col min="10500" max="10502" width="8.88671875" style="53"/>
    <col min="10503" max="10503" width="13.109375" style="53" customWidth="1"/>
    <col min="10504" max="10504" width="15.33203125" style="53" bestFit="1" customWidth="1"/>
    <col min="10505" max="10505" width="15.44140625" style="53" customWidth="1"/>
    <col min="10506" max="10506" width="17" style="53" customWidth="1"/>
    <col min="10507" max="10507" width="12.88671875" style="53" customWidth="1"/>
    <col min="10508" max="10508" width="15.6640625" style="53" customWidth="1"/>
    <col min="10509" max="10753" width="8.88671875" style="53"/>
    <col min="10754" max="10754" width="34" style="53" customWidth="1"/>
    <col min="10755" max="10755" width="19.33203125" style="53" customWidth="1"/>
    <col min="10756" max="10758" width="8.88671875" style="53"/>
    <col min="10759" max="10759" width="13.109375" style="53" customWidth="1"/>
    <col min="10760" max="10760" width="15.33203125" style="53" bestFit="1" customWidth="1"/>
    <col min="10761" max="10761" width="15.44140625" style="53" customWidth="1"/>
    <col min="10762" max="10762" width="17" style="53" customWidth="1"/>
    <col min="10763" max="10763" width="12.88671875" style="53" customWidth="1"/>
    <col min="10764" max="10764" width="15.6640625" style="53" customWidth="1"/>
    <col min="10765" max="11009" width="8.88671875" style="53"/>
    <col min="11010" max="11010" width="34" style="53" customWidth="1"/>
    <col min="11011" max="11011" width="19.33203125" style="53" customWidth="1"/>
    <col min="11012" max="11014" width="8.88671875" style="53"/>
    <col min="11015" max="11015" width="13.109375" style="53" customWidth="1"/>
    <col min="11016" max="11016" width="15.33203125" style="53" bestFit="1" customWidth="1"/>
    <col min="11017" max="11017" width="15.44140625" style="53" customWidth="1"/>
    <col min="11018" max="11018" width="17" style="53" customWidth="1"/>
    <col min="11019" max="11019" width="12.88671875" style="53" customWidth="1"/>
    <col min="11020" max="11020" width="15.6640625" style="53" customWidth="1"/>
    <col min="11021" max="11265" width="8.88671875" style="53"/>
    <col min="11266" max="11266" width="34" style="53" customWidth="1"/>
    <col min="11267" max="11267" width="19.33203125" style="53" customWidth="1"/>
    <col min="11268" max="11270" width="8.88671875" style="53"/>
    <col min="11271" max="11271" width="13.109375" style="53" customWidth="1"/>
    <col min="11272" max="11272" width="15.33203125" style="53" bestFit="1" customWidth="1"/>
    <col min="11273" max="11273" width="15.44140625" style="53" customWidth="1"/>
    <col min="11274" max="11274" width="17" style="53" customWidth="1"/>
    <col min="11275" max="11275" width="12.88671875" style="53" customWidth="1"/>
    <col min="11276" max="11276" width="15.6640625" style="53" customWidth="1"/>
    <col min="11277" max="11521" width="8.88671875" style="53"/>
    <col min="11522" max="11522" width="34" style="53" customWidth="1"/>
    <col min="11523" max="11523" width="19.33203125" style="53" customWidth="1"/>
    <col min="11524" max="11526" width="8.88671875" style="53"/>
    <col min="11527" max="11527" width="13.109375" style="53" customWidth="1"/>
    <col min="11528" max="11528" width="15.33203125" style="53" bestFit="1" customWidth="1"/>
    <col min="11529" max="11529" width="15.44140625" style="53" customWidth="1"/>
    <col min="11530" max="11530" width="17" style="53" customWidth="1"/>
    <col min="11531" max="11531" width="12.88671875" style="53" customWidth="1"/>
    <col min="11532" max="11532" width="15.6640625" style="53" customWidth="1"/>
    <col min="11533" max="11777" width="8.88671875" style="53"/>
    <col min="11778" max="11778" width="34" style="53" customWidth="1"/>
    <col min="11779" max="11779" width="19.33203125" style="53" customWidth="1"/>
    <col min="11780" max="11782" width="8.88671875" style="53"/>
    <col min="11783" max="11783" width="13.109375" style="53" customWidth="1"/>
    <col min="11784" max="11784" width="15.33203125" style="53" bestFit="1" customWidth="1"/>
    <col min="11785" max="11785" width="15.44140625" style="53" customWidth="1"/>
    <col min="11786" max="11786" width="17" style="53" customWidth="1"/>
    <col min="11787" max="11787" width="12.88671875" style="53" customWidth="1"/>
    <col min="11788" max="11788" width="15.6640625" style="53" customWidth="1"/>
    <col min="11789" max="12033" width="8.88671875" style="53"/>
    <col min="12034" max="12034" width="34" style="53" customWidth="1"/>
    <col min="12035" max="12035" width="19.33203125" style="53" customWidth="1"/>
    <col min="12036" max="12038" width="8.88671875" style="53"/>
    <col min="12039" max="12039" width="13.109375" style="53" customWidth="1"/>
    <col min="12040" max="12040" width="15.33203125" style="53" bestFit="1" customWidth="1"/>
    <col min="12041" max="12041" width="15.44140625" style="53" customWidth="1"/>
    <col min="12042" max="12042" width="17" style="53" customWidth="1"/>
    <col min="12043" max="12043" width="12.88671875" style="53" customWidth="1"/>
    <col min="12044" max="12044" width="15.6640625" style="53" customWidth="1"/>
    <col min="12045" max="12289" width="8.88671875" style="53"/>
    <col min="12290" max="12290" width="34" style="53" customWidth="1"/>
    <col min="12291" max="12291" width="19.33203125" style="53" customWidth="1"/>
    <col min="12292" max="12294" width="8.88671875" style="53"/>
    <col min="12295" max="12295" width="13.109375" style="53" customWidth="1"/>
    <col min="12296" max="12296" width="15.33203125" style="53" bestFit="1" customWidth="1"/>
    <col min="12297" max="12297" width="15.44140625" style="53" customWidth="1"/>
    <col min="12298" max="12298" width="17" style="53" customWidth="1"/>
    <col min="12299" max="12299" width="12.88671875" style="53" customWidth="1"/>
    <col min="12300" max="12300" width="15.6640625" style="53" customWidth="1"/>
    <col min="12301" max="12545" width="8.88671875" style="53"/>
    <col min="12546" max="12546" width="34" style="53" customWidth="1"/>
    <col min="12547" max="12547" width="19.33203125" style="53" customWidth="1"/>
    <col min="12548" max="12550" width="8.88671875" style="53"/>
    <col min="12551" max="12551" width="13.109375" style="53" customWidth="1"/>
    <col min="12552" max="12552" width="15.33203125" style="53" bestFit="1" customWidth="1"/>
    <col min="12553" max="12553" width="15.44140625" style="53" customWidth="1"/>
    <col min="12554" max="12554" width="17" style="53" customWidth="1"/>
    <col min="12555" max="12555" width="12.88671875" style="53" customWidth="1"/>
    <col min="12556" max="12556" width="15.6640625" style="53" customWidth="1"/>
    <col min="12557" max="12801" width="8.88671875" style="53"/>
    <col min="12802" max="12802" width="34" style="53" customWidth="1"/>
    <col min="12803" max="12803" width="19.33203125" style="53" customWidth="1"/>
    <col min="12804" max="12806" width="8.88671875" style="53"/>
    <col min="12807" max="12807" width="13.109375" style="53" customWidth="1"/>
    <col min="12808" max="12808" width="15.33203125" style="53" bestFit="1" customWidth="1"/>
    <col min="12809" max="12809" width="15.44140625" style="53" customWidth="1"/>
    <col min="12810" max="12810" width="17" style="53" customWidth="1"/>
    <col min="12811" max="12811" width="12.88671875" style="53" customWidth="1"/>
    <col min="12812" max="12812" width="15.6640625" style="53" customWidth="1"/>
    <col min="12813" max="13057" width="8.88671875" style="53"/>
    <col min="13058" max="13058" width="34" style="53" customWidth="1"/>
    <col min="13059" max="13059" width="19.33203125" style="53" customWidth="1"/>
    <col min="13060" max="13062" width="8.88671875" style="53"/>
    <col min="13063" max="13063" width="13.109375" style="53" customWidth="1"/>
    <col min="13064" max="13064" width="15.33203125" style="53" bestFit="1" customWidth="1"/>
    <col min="13065" max="13065" width="15.44140625" style="53" customWidth="1"/>
    <col min="13066" max="13066" width="17" style="53" customWidth="1"/>
    <col min="13067" max="13067" width="12.88671875" style="53" customWidth="1"/>
    <col min="13068" max="13068" width="15.6640625" style="53" customWidth="1"/>
    <col min="13069" max="13313" width="8.88671875" style="53"/>
    <col min="13314" max="13314" width="34" style="53" customWidth="1"/>
    <col min="13315" max="13315" width="19.33203125" style="53" customWidth="1"/>
    <col min="13316" max="13318" width="8.88671875" style="53"/>
    <col min="13319" max="13319" width="13.109375" style="53" customWidth="1"/>
    <col min="13320" max="13320" width="15.33203125" style="53" bestFit="1" customWidth="1"/>
    <col min="13321" max="13321" width="15.44140625" style="53" customWidth="1"/>
    <col min="13322" max="13322" width="17" style="53" customWidth="1"/>
    <col min="13323" max="13323" width="12.88671875" style="53" customWidth="1"/>
    <col min="13324" max="13324" width="15.6640625" style="53" customWidth="1"/>
    <col min="13325" max="13569" width="8.88671875" style="53"/>
    <col min="13570" max="13570" width="34" style="53" customWidth="1"/>
    <col min="13571" max="13571" width="19.33203125" style="53" customWidth="1"/>
    <col min="13572" max="13574" width="8.88671875" style="53"/>
    <col min="13575" max="13575" width="13.109375" style="53" customWidth="1"/>
    <col min="13576" max="13576" width="15.33203125" style="53" bestFit="1" customWidth="1"/>
    <col min="13577" max="13577" width="15.44140625" style="53" customWidth="1"/>
    <col min="13578" max="13578" width="17" style="53" customWidth="1"/>
    <col min="13579" max="13579" width="12.88671875" style="53" customWidth="1"/>
    <col min="13580" max="13580" width="15.6640625" style="53" customWidth="1"/>
    <col min="13581" max="13825" width="8.88671875" style="53"/>
    <col min="13826" max="13826" width="34" style="53" customWidth="1"/>
    <col min="13827" max="13827" width="19.33203125" style="53" customWidth="1"/>
    <col min="13828" max="13830" width="8.88671875" style="53"/>
    <col min="13831" max="13831" width="13.109375" style="53" customWidth="1"/>
    <col min="13832" max="13832" width="15.33203125" style="53" bestFit="1" customWidth="1"/>
    <col min="13833" max="13833" width="15.44140625" style="53" customWidth="1"/>
    <col min="13834" max="13834" width="17" style="53" customWidth="1"/>
    <col min="13835" max="13835" width="12.88671875" style="53" customWidth="1"/>
    <col min="13836" max="13836" width="15.6640625" style="53" customWidth="1"/>
    <col min="13837" max="14081" width="8.88671875" style="53"/>
    <col min="14082" max="14082" width="34" style="53" customWidth="1"/>
    <col min="14083" max="14083" width="19.33203125" style="53" customWidth="1"/>
    <col min="14084" max="14086" width="8.88671875" style="53"/>
    <col min="14087" max="14087" width="13.109375" style="53" customWidth="1"/>
    <col min="14088" max="14088" width="15.33203125" style="53" bestFit="1" customWidth="1"/>
    <col min="14089" max="14089" width="15.44140625" style="53" customWidth="1"/>
    <col min="14090" max="14090" width="17" style="53" customWidth="1"/>
    <col min="14091" max="14091" width="12.88671875" style="53" customWidth="1"/>
    <col min="14092" max="14092" width="15.6640625" style="53" customWidth="1"/>
    <col min="14093" max="14337" width="8.88671875" style="53"/>
    <col min="14338" max="14338" width="34" style="53" customWidth="1"/>
    <col min="14339" max="14339" width="19.33203125" style="53" customWidth="1"/>
    <col min="14340" max="14342" width="8.88671875" style="53"/>
    <col min="14343" max="14343" width="13.109375" style="53" customWidth="1"/>
    <col min="14344" max="14344" width="15.33203125" style="53" bestFit="1" customWidth="1"/>
    <col min="14345" max="14345" width="15.44140625" style="53" customWidth="1"/>
    <col min="14346" max="14346" width="17" style="53" customWidth="1"/>
    <col min="14347" max="14347" width="12.88671875" style="53" customWidth="1"/>
    <col min="14348" max="14348" width="15.6640625" style="53" customWidth="1"/>
    <col min="14349" max="14593" width="8.88671875" style="53"/>
    <col min="14594" max="14594" width="34" style="53" customWidth="1"/>
    <col min="14595" max="14595" width="19.33203125" style="53" customWidth="1"/>
    <col min="14596" max="14598" width="8.88671875" style="53"/>
    <col min="14599" max="14599" width="13.109375" style="53" customWidth="1"/>
    <col min="14600" max="14600" width="15.33203125" style="53" bestFit="1" customWidth="1"/>
    <col min="14601" max="14601" width="15.44140625" style="53" customWidth="1"/>
    <col min="14602" max="14602" width="17" style="53" customWidth="1"/>
    <col min="14603" max="14603" width="12.88671875" style="53" customWidth="1"/>
    <col min="14604" max="14604" width="15.6640625" style="53" customWidth="1"/>
    <col min="14605" max="14849" width="8.88671875" style="53"/>
    <col min="14850" max="14850" width="34" style="53" customWidth="1"/>
    <col min="14851" max="14851" width="19.33203125" style="53" customWidth="1"/>
    <col min="14852" max="14854" width="8.88671875" style="53"/>
    <col min="14855" max="14855" width="13.109375" style="53" customWidth="1"/>
    <col min="14856" max="14856" width="15.33203125" style="53" bestFit="1" customWidth="1"/>
    <col min="14857" max="14857" width="15.44140625" style="53" customWidth="1"/>
    <col min="14858" max="14858" width="17" style="53" customWidth="1"/>
    <col min="14859" max="14859" width="12.88671875" style="53" customWidth="1"/>
    <col min="14860" max="14860" width="15.6640625" style="53" customWidth="1"/>
    <col min="14861" max="15105" width="8.88671875" style="53"/>
    <col min="15106" max="15106" width="34" style="53" customWidth="1"/>
    <col min="15107" max="15107" width="19.33203125" style="53" customWidth="1"/>
    <col min="15108" max="15110" width="8.88671875" style="53"/>
    <col min="15111" max="15111" width="13.109375" style="53" customWidth="1"/>
    <col min="15112" max="15112" width="15.33203125" style="53" bestFit="1" customWidth="1"/>
    <col min="15113" max="15113" width="15.44140625" style="53" customWidth="1"/>
    <col min="15114" max="15114" width="17" style="53" customWidth="1"/>
    <col min="15115" max="15115" width="12.88671875" style="53" customWidth="1"/>
    <col min="15116" max="15116" width="15.6640625" style="53" customWidth="1"/>
    <col min="15117" max="15361" width="8.88671875" style="53"/>
    <col min="15362" max="15362" width="34" style="53" customWidth="1"/>
    <col min="15363" max="15363" width="19.33203125" style="53" customWidth="1"/>
    <col min="15364" max="15366" width="8.88671875" style="53"/>
    <col min="15367" max="15367" width="13.109375" style="53" customWidth="1"/>
    <col min="15368" max="15368" width="15.33203125" style="53" bestFit="1" customWidth="1"/>
    <col min="15369" max="15369" width="15.44140625" style="53" customWidth="1"/>
    <col min="15370" max="15370" width="17" style="53" customWidth="1"/>
    <col min="15371" max="15371" width="12.88671875" style="53" customWidth="1"/>
    <col min="15372" max="15372" width="15.6640625" style="53" customWidth="1"/>
    <col min="15373" max="15617" width="8.88671875" style="53"/>
    <col min="15618" max="15618" width="34" style="53" customWidth="1"/>
    <col min="15619" max="15619" width="19.33203125" style="53" customWidth="1"/>
    <col min="15620" max="15622" width="8.88671875" style="53"/>
    <col min="15623" max="15623" width="13.109375" style="53" customWidth="1"/>
    <col min="15624" max="15624" width="15.33203125" style="53" bestFit="1" customWidth="1"/>
    <col min="15625" max="15625" width="15.44140625" style="53" customWidth="1"/>
    <col min="15626" max="15626" width="17" style="53" customWidth="1"/>
    <col min="15627" max="15627" width="12.88671875" style="53" customWidth="1"/>
    <col min="15628" max="15628" width="15.6640625" style="53" customWidth="1"/>
    <col min="15629" max="15873" width="8.88671875" style="53"/>
    <col min="15874" max="15874" width="34" style="53" customWidth="1"/>
    <col min="15875" max="15875" width="19.33203125" style="53" customWidth="1"/>
    <col min="15876" max="15878" width="8.88671875" style="53"/>
    <col min="15879" max="15879" width="13.109375" style="53" customWidth="1"/>
    <col min="15880" max="15880" width="15.33203125" style="53" bestFit="1" customWidth="1"/>
    <col min="15881" max="15881" width="15.44140625" style="53" customWidth="1"/>
    <col min="15882" max="15882" width="17" style="53" customWidth="1"/>
    <col min="15883" max="15883" width="12.88671875" style="53" customWidth="1"/>
    <col min="15884" max="15884" width="15.6640625" style="53" customWidth="1"/>
    <col min="15885" max="16129" width="8.88671875" style="53"/>
    <col min="16130" max="16130" width="34" style="53" customWidth="1"/>
    <col min="16131" max="16131" width="19.33203125" style="53" customWidth="1"/>
    <col min="16132" max="16134" width="8.88671875" style="53"/>
    <col min="16135" max="16135" width="13.109375" style="53" customWidth="1"/>
    <col min="16136" max="16136" width="15.33203125" style="53" bestFit="1" customWidth="1"/>
    <col min="16137" max="16137" width="15.44140625" style="53" customWidth="1"/>
    <col min="16138" max="16138" width="17" style="53" customWidth="1"/>
    <col min="16139" max="16139" width="12.88671875" style="53" customWidth="1"/>
    <col min="16140" max="16140" width="15.6640625" style="53" customWidth="1"/>
    <col min="16141" max="16384" width="8.88671875" style="53"/>
  </cols>
  <sheetData>
    <row r="2" spans="2:13" x14ac:dyDescent="0.25">
      <c r="J2" s="55" t="s">
        <v>95</v>
      </c>
    </row>
    <row r="3" spans="2:13" x14ac:dyDescent="0.25">
      <c r="I3" s="56">
        <f>N28/N35</f>
        <v>0.77010192525481302</v>
      </c>
      <c r="J3" s="57" t="s">
        <v>97</v>
      </c>
      <c r="L3" s="53" t="s">
        <v>99</v>
      </c>
    </row>
    <row r="4" spans="2:13" x14ac:dyDescent="0.25">
      <c r="I4" s="56">
        <f>(N42+N43)/N21</f>
        <v>0.41767123287671232</v>
      </c>
      <c r="J4" s="57" t="s">
        <v>96</v>
      </c>
      <c r="L4" s="53" t="s">
        <v>99</v>
      </c>
    </row>
    <row r="5" spans="2:13" x14ac:dyDescent="0.25">
      <c r="H5" s="58">
        <v>0.05</v>
      </c>
      <c r="I5" s="58">
        <v>0.05</v>
      </c>
      <c r="J5" s="58">
        <v>0.05</v>
      </c>
      <c r="K5" s="59" t="s">
        <v>59</v>
      </c>
    </row>
    <row r="6" spans="2:13" x14ac:dyDescent="0.25">
      <c r="H6" s="58">
        <v>0.05</v>
      </c>
      <c r="I6" s="58">
        <v>0.05</v>
      </c>
      <c r="J6" s="58">
        <v>0.05</v>
      </c>
      <c r="K6" s="59" t="s">
        <v>59</v>
      </c>
    </row>
    <row r="8" spans="2:13" x14ac:dyDescent="0.25">
      <c r="B8" s="53" t="s">
        <v>60</v>
      </c>
      <c r="G8" s="53" t="s">
        <v>1</v>
      </c>
    </row>
    <row r="9" spans="2:13" x14ac:dyDescent="0.25">
      <c r="B9" s="60" t="s">
        <v>2</v>
      </c>
      <c r="C9" s="60" t="s">
        <v>61</v>
      </c>
      <c r="D9" s="60" t="s">
        <v>62</v>
      </c>
      <c r="E9" s="60" t="s">
        <v>63</v>
      </c>
      <c r="F9" s="60" t="s">
        <v>46</v>
      </c>
      <c r="G9" s="60" t="s">
        <v>3</v>
      </c>
      <c r="H9" s="60" t="s">
        <v>98</v>
      </c>
      <c r="I9" s="60" t="s">
        <v>64</v>
      </c>
      <c r="J9" s="60" t="s">
        <v>65</v>
      </c>
      <c r="K9" s="60" t="s">
        <v>66</v>
      </c>
      <c r="L9" s="60" t="s">
        <v>67</v>
      </c>
      <c r="M9" s="60" t="s">
        <v>68</v>
      </c>
    </row>
    <row r="10" spans="2:13" ht="14.4" x14ac:dyDescent="0.3">
      <c r="B10" s="53" t="str">
        <f>CONCATENATE("UC_",LEFT(C10,12),"-RATIO-",G10)</f>
        <v>UC_MINRSVGASNAT-RATIO-LO</v>
      </c>
      <c r="C10" s="50" t="str">
        <f>CONCATENATE(LEFT('GAS-KZK'!H6,12),"*")</f>
        <v>MINRSVGASNAT*</v>
      </c>
      <c r="D10" s="50"/>
      <c r="E10" s="50"/>
      <c r="F10" s="50">
        <v>2017</v>
      </c>
      <c r="G10" s="50" t="s">
        <v>69</v>
      </c>
      <c r="H10" s="51">
        <f>-$I$3*(1-$H$5)</f>
        <v>-0.73159682899207235</v>
      </c>
      <c r="I10" s="51">
        <f>-$I$3*(1-$I$5)</f>
        <v>-0.73159682899207235</v>
      </c>
      <c r="J10" s="51">
        <f>-$I$3*(1-$J$5)</f>
        <v>-0.73159682899207235</v>
      </c>
      <c r="K10" s="52">
        <v>0</v>
      </c>
      <c r="L10" s="50">
        <v>5</v>
      </c>
      <c r="M10" s="50"/>
    </row>
    <row r="11" spans="2:13" ht="14.4" x14ac:dyDescent="0.3">
      <c r="B11" s="50"/>
      <c r="C11" s="50" t="str">
        <f>CONCATENATE(LEFT('OIL-KZK'!H8,9),"*")</f>
        <v>MINOILNGL*</v>
      </c>
      <c r="D11" s="50"/>
      <c r="E11" s="50"/>
      <c r="F11" s="50">
        <v>2017</v>
      </c>
      <c r="H11" s="52">
        <v>1</v>
      </c>
      <c r="I11" s="54">
        <v>1</v>
      </c>
      <c r="J11" s="52">
        <v>1</v>
      </c>
      <c r="K11" s="52"/>
      <c r="L11" s="50"/>
      <c r="M11" s="50"/>
    </row>
    <row r="12" spans="2:13" ht="14.4" x14ac:dyDescent="0.3">
      <c r="B12" s="53" t="str">
        <f>CONCATENATE("UC_",LEFT(C12,12),"-RATIO-",G12)</f>
        <v>UC_MINRSVGASNAT-RATIO-UP</v>
      </c>
      <c r="C12" s="50" t="str">
        <f>C10</f>
        <v>MINRSVGASNAT*</v>
      </c>
      <c r="D12" s="50"/>
      <c r="E12" s="50"/>
      <c r="F12" s="50">
        <v>2017</v>
      </c>
      <c r="G12" s="50" t="s">
        <v>53</v>
      </c>
      <c r="H12" s="51">
        <f>-$I$3*(1+$H$5)</f>
        <v>-0.8086070215175537</v>
      </c>
      <c r="I12" s="51">
        <f>-$I$3*(1+$I$6)</f>
        <v>-0.8086070215175537</v>
      </c>
      <c r="J12" s="51">
        <f>-$I$3*(1+$J$6)</f>
        <v>-0.8086070215175537</v>
      </c>
      <c r="K12" s="52">
        <v>0</v>
      </c>
      <c r="L12" s="50">
        <v>5</v>
      </c>
      <c r="M12" s="50"/>
    </row>
    <row r="13" spans="2:13" ht="14.4" x14ac:dyDescent="0.3">
      <c r="B13" s="50"/>
      <c r="C13" s="50" t="str">
        <f>C11</f>
        <v>MINOILNGL*</v>
      </c>
      <c r="D13" s="50"/>
      <c r="E13" s="50"/>
      <c r="F13" s="50">
        <v>2017</v>
      </c>
      <c r="H13" s="52">
        <v>1</v>
      </c>
      <c r="I13" s="54">
        <v>1</v>
      </c>
      <c r="J13" s="52">
        <v>1</v>
      </c>
      <c r="K13" s="52"/>
      <c r="L13" s="50"/>
      <c r="M13" s="50"/>
    </row>
    <row r="14" spans="2:13" ht="14.4" x14ac:dyDescent="0.3">
      <c r="B14" s="53" t="str">
        <f>CONCATENATE("UC_",LEFT(C14,12),"-RATIO-",G14)</f>
        <v>UC_MINRSVOILCRD-RATIO-LO</v>
      </c>
      <c r="C14" s="50" t="str">
        <f>CONCATENATE(LEFT('OIL-KZK'!H5,12),"*")</f>
        <v>MINRSVOILCRD*</v>
      </c>
      <c r="D14" s="50"/>
      <c r="E14" s="50"/>
      <c r="F14" s="50">
        <v>2017</v>
      </c>
      <c r="G14" s="50" t="s">
        <v>69</v>
      </c>
      <c r="H14" s="51">
        <f>-$I$4*(1-$H$6)</f>
        <v>-0.39678767123287667</v>
      </c>
      <c r="I14" s="51">
        <f>-$I$4*(1-$I$6)</f>
        <v>-0.39678767123287667</v>
      </c>
      <c r="J14" s="51">
        <f>-$I$4*(1-$J$6)</f>
        <v>-0.39678767123287667</v>
      </c>
      <c r="K14" s="52">
        <v>0</v>
      </c>
      <c r="L14" s="50">
        <v>5</v>
      </c>
      <c r="M14" s="50"/>
    </row>
    <row r="15" spans="2:13" ht="14.4" x14ac:dyDescent="0.3">
      <c r="B15" s="50"/>
      <c r="C15" s="50" t="str">
        <f>CONCATENATE(LEFT('GAS-KZK'!H8,12),"*")</f>
        <v>MINRSVGASNAA*</v>
      </c>
      <c r="D15" s="50"/>
      <c r="E15" s="50"/>
      <c r="F15" s="50">
        <v>2017</v>
      </c>
      <c r="H15" s="52">
        <v>1</v>
      </c>
      <c r="I15" s="54">
        <v>1</v>
      </c>
      <c r="J15" s="52">
        <v>1</v>
      </c>
      <c r="K15" s="52"/>
      <c r="L15" s="50"/>
      <c r="M15" s="50"/>
    </row>
    <row r="16" spans="2:13" ht="14.4" x14ac:dyDescent="0.3">
      <c r="B16" s="53" t="str">
        <f>CONCATENATE("UC_",LEFT(C16,12),"-RATIO-",G16)</f>
        <v>UC_MINRSVOILCRD-RATIO-UP</v>
      </c>
      <c r="C16" s="50" t="str">
        <f>C14</f>
        <v>MINRSVOILCRD*</v>
      </c>
      <c r="D16" s="50"/>
      <c r="E16" s="50"/>
      <c r="F16" s="50">
        <v>2017</v>
      </c>
      <c r="G16" s="50" t="s">
        <v>53</v>
      </c>
      <c r="H16" s="51">
        <f>-$I$4*(1+$H$6)</f>
        <v>-0.43855479452054796</v>
      </c>
      <c r="I16" s="51">
        <f>-$I$4*(1+$I$6)</f>
        <v>-0.43855479452054796</v>
      </c>
      <c r="J16" s="51">
        <f>-$I$4*(1+$J$6)</f>
        <v>-0.43855479452054796</v>
      </c>
      <c r="K16" s="52">
        <v>0</v>
      </c>
      <c r="L16" s="50">
        <v>5</v>
      </c>
      <c r="M16" s="50"/>
    </row>
    <row r="17" spans="2:31" ht="14.4" x14ac:dyDescent="0.3">
      <c r="B17" s="50"/>
      <c r="C17" s="50" t="str">
        <f>C15</f>
        <v>MINRSVGASNAA*</v>
      </c>
      <c r="D17" s="50"/>
      <c r="E17" s="50"/>
      <c r="F17" s="50">
        <v>2017</v>
      </c>
      <c r="H17" s="52">
        <v>1</v>
      </c>
      <c r="I17" s="54">
        <v>1</v>
      </c>
      <c r="J17" s="52">
        <v>1</v>
      </c>
      <c r="K17" s="50"/>
      <c r="L17" s="50"/>
      <c r="M17" s="50"/>
    </row>
    <row r="19" spans="2:31" x14ac:dyDescent="0.25">
      <c r="B19" s="53" t="s">
        <v>70</v>
      </c>
      <c r="E19" s="53" t="s">
        <v>1</v>
      </c>
    </row>
    <row r="20" spans="2:31" x14ac:dyDescent="0.25">
      <c r="B20" s="60" t="s">
        <v>2</v>
      </c>
      <c r="C20" s="60" t="s">
        <v>61</v>
      </c>
      <c r="D20" s="60" t="s">
        <v>46</v>
      </c>
      <c r="E20" s="60" t="s">
        <v>3</v>
      </c>
      <c r="F20" s="60" t="s">
        <v>71</v>
      </c>
      <c r="G20" s="60" t="s">
        <v>66</v>
      </c>
      <c r="H20" s="60" t="s">
        <v>67</v>
      </c>
      <c r="I20" s="60" t="s">
        <v>68</v>
      </c>
    </row>
    <row r="21" spans="2:31" x14ac:dyDescent="0.25">
      <c r="B21" s="53" t="str">
        <f>CONCATENATE("UC_",LEFT(C21,12),"-PRD")</f>
        <v>UC_MINRSVOILCRD-PRD</v>
      </c>
      <c r="C21" s="53" t="str">
        <f>CONCATENATE(LEFT('OIL-KZK'!H5,12),"*")</f>
        <v>MINRSVOILCRD*</v>
      </c>
      <c r="D21" s="53">
        <v>2017</v>
      </c>
      <c r="E21" s="53" t="s">
        <v>53</v>
      </c>
      <c r="F21" s="53">
        <v>1</v>
      </c>
      <c r="G21" s="54">
        <f>N21</f>
        <v>3056.364</v>
      </c>
      <c r="H21" s="53">
        <v>5</v>
      </c>
      <c r="K21" s="61" t="s">
        <v>160</v>
      </c>
      <c r="L21" s="53">
        <v>73000</v>
      </c>
      <c r="M21" s="53" t="s">
        <v>108</v>
      </c>
      <c r="N21" s="53">
        <f>L21/1000*41.868</f>
        <v>3056.364</v>
      </c>
      <c r="O21" s="53" t="s">
        <v>19</v>
      </c>
      <c r="P21" s="54">
        <f>G21/41.868</f>
        <v>73</v>
      </c>
      <c r="Q21" s="53" t="s">
        <v>149</v>
      </c>
    </row>
    <row r="22" spans="2:31" x14ac:dyDescent="0.25">
      <c r="C22" s="53" t="str">
        <f>C21</f>
        <v>MINRSVOILCRD*</v>
      </c>
      <c r="D22" s="53">
        <v>2020</v>
      </c>
      <c r="E22" s="53" t="s">
        <v>53</v>
      </c>
      <c r="F22" s="53">
        <v>1</v>
      </c>
      <c r="G22" s="54">
        <f>$G$21*1.03^(D22-$D$21)</f>
        <v>3339.7714646280001</v>
      </c>
      <c r="K22" s="61"/>
      <c r="P22" s="54"/>
      <c r="R22" s="62" t="s">
        <v>158</v>
      </c>
      <c r="S22" s="62"/>
      <c r="T22" s="62"/>
      <c r="U22" s="62"/>
      <c r="V22" s="62"/>
    </row>
    <row r="23" spans="2:31" x14ac:dyDescent="0.25">
      <c r="C23" s="53" t="str">
        <f>C22</f>
        <v>MINRSVOILCRD*</v>
      </c>
      <c r="D23" s="53">
        <v>2030</v>
      </c>
      <c r="E23" s="53" t="s">
        <v>53</v>
      </c>
      <c r="F23" s="53">
        <v>1</v>
      </c>
      <c r="G23" s="54">
        <f>$G$21*1.03^(D23-$D$21)</f>
        <v>4488.3735745796757</v>
      </c>
      <c r="K23" s="63">
        <v>2030</v>
      </c>
      <c r="P23" s="54">
        <f>G23/41.868</f>
        <v>107.20296108196416</v>
      </c>
      <c r="Q23" s="53" t="s">
        <v>149</v>
      </c>
      <c r="R23" s="53" t="s">
        <v>150</v>
      </c>
      <c r="W23" s="54">
        <f>P23+P30</f>
        <v>127.17501958490543</v>
      </c>
    </row>
    <row r="24" spans="2:31" x14ac:dyDescent="0.25">
      <c r="C24" s="53" t="str">
        <f>C23</f>
        <v>MINRSVOILCRD*</v>
      </c>
      <c r="D24" s="53">
        <v>2050</v>
      </c>
      <c r="E24" s="53" t="s">
        <v>53</v>
      </c>
      <c r="F24" s="53">
        <v>1</v>
      </c>
      <c r="G24" s="54">
        <f>G23*0.7</f>
        <v>3141.8615022057729</v>
      </c>
      <c r="K24" s="61"/>
    </row>
    <row r="25" spans="2:31" x14ac:dyDescent="0.25">
      <c r="K25" s="61"/>
    </row>
    <row r="26" spans="2:31" x14ac:dyDescent="0.25">
      <c r="B26" s="53" t="s">
        <v>70</v>
      </c>
      <c r="E26" s="53" t="s">
        <v>1</v>
      </c>
      <c r="K26" s="61"/>
    </row>
    <row r="27" spans="2:31" x14ac:dyDescent="0.25">
      <c r="B27" s="60" t="s">
        <v>2</v>
      </c>
      <c r="C27" s="60" t="s">
        <v>61</v>
      </c>
      <c r="D27" s="60" t="s">
        <v>46</v>
      </c>
      <c r="E27" s="60" t="s">
        <v>3</v>
      </c>
      <c r="F27" s="60" t="s">
        <v>71</v>
      </c>
      <c r="G27" s="60" t="s">
        <v>66</v>
      </c>
      <c r="H27" s="60" t="s">
        <v>67</v>
      </c>
      <c r="I27" s="60" t="s">
        <v>68</v>
      </c>
      <c r="K27" s="61"/>
    </row>
    <row r="28" spans="2:31" x14ac:dyDescent="0.25">
      <c r="B28" s="53" t="str">
        <f>CONCATENATE("UC_",LEFT(C28,9),"-PRD")</f>
        <v>UC_MINOILNGL-PRD</v>
      </c>
      <c r="C28" s="53" t="str">
        <f>CONCATENATE(LEFT('OIL-KZK'!H8,9),"*")</f>
        <v>MINOILNGL*</v>
      </c>
      <c r="D28" s="53">
        <v>2017</v>
      </c>
      <c r="E28" s="53" t="s">
        <v>53</v>
      </c>
      <c r="F28" s="53">
        <v>1</v>
      </c>
      <c r="G28" s="54">
        <f>N28</f>
        <v>569.40480000000002</v>
      </c>
      <c r="H28" s="53">
        <v>5</v>
      </c>
      <c r="K28" s="61" t="s">
        <v>160</v>
      </c>
      <c r="L28" s="53">
        <v>13600</v>
      </c>
      <c r="M28" s="53" t="s">
        <v>108</v>
      </c>
      <c r="N28" s="53">
        <f>L28/1000*41.868</f>
        <v>569.40480000000002</v>
      </c>
      <c r="O28" s="53" t="s">
        <v>19</v>
      </c>
      <c r="P28" s="53">
        <f>L28/1000</f>
        <v>13.6</v>
      </c>
      <c r="Q28" s="53" t="s">
        <v>149</v>
      </c>
    </row>
    <row r="29" spans="2:31" x14ac:dyDescent="0.25">
      <c r="C29" s="53" t="str">
        <f>C28</f>
        <v>MINOILNGL*</v>
      </c>
      <c r="D29" s="53">
        <v>2020</v>
      </c>
      <c r="E29" s="53" t="s">
        <v>53</v>
      </c>
      <c r="F29" s="53">
        <v>1</v>
      </c>
      <c r="G29" s="54">
        <f>$G$28*1.03^(D29-$D$28)</f>
        <v>622.20399888960003</v>
      </c>
      <c r="K29" s="61"/>
    </row>
    <row r="30" spans="2:31" x14ac:dyDescent="0.25">
      <c r="C30" s="53" t="str">
        <f>C29</f>
        <v>MINOILNGL*</v>
      </c>
      <c r="D30" s="53">
        <v>2030</v>
      </c>
      <c r="E30" s="53" t="s">
        <v>53</v>
      </c>
      <c r="F30" s="53">
        <v>1</v>
      </c>
      <c r="G30" s="54">
        <f>$G$28*1.03^(D30-$D$28)</f>
        <v>836.19014540114506</v>
      </c>
      <c r="K30" s="64">
        <v>2030</v>
      </c>
      <c r="P30" s="54">
        <f>G30/41.868</f>
        <v>19.97205850294127</v>
      </c>
      <c r="Q30" s="53" t="s">
        <v>149</v>
      </c>
    </row>
    <row r="31" spans="2:31" x14ac:dyDescent="0.25">
      <c r="C31" s="53" t="str">
        <f>C30</f>
        <v>MINOILNGL*</v>
      </c>
      <c r="D31" s="53">
        <v>2050</v>
      </c>
      <c r="E31" s="53" t="s">
        <v>53</v>
      </c>
      <c r="F31" s="53">
        <v>1</v>
      </c>
      <c r="G31" s="54">
        <f>G29*0.7</f>
        <v>435.54279922272002</v>
      </c>
      <c r="K31" s="61"/>
      <c r="V31" s="65"/>
      <c r="W31" s="65"/>
      <c r="X31" s="65"/>
      <c r="Y31" s="62" t="s">
        <v>159</v>
      </c>
      <c r="Z31" s="62"/>
      <c r="AA31" s="62"/>
      <c r="AB31" s="62"/>
      <c r="AC31" s="62"/>
      <c r="AD31" s="62"/>
      <c r="AE31" s="62"/>
    </row>
    <row r="32" spans="2:31" x14ac:dyDescent="0.25">
      <c r="K32" s="61"/>
      <c r="Z32" s="53">
        <v>2017</v>
      </c>
      <c r="AE32" s="53">
        <v>2030</v>
      </c>
    </row>
    <row r="33" spans="2:31" x14ac:dyDescent="0.25">
      <c r="B33" s="53" t="s">
        <v>70</v>
      </c>
      <c r="E33" s="53" t="s">
        <v>1</v>
      </c>
      <c r="K33" s="61"/>
      <c r="Y33" s="53" t="s">
        <v>157</v>
      </c>
      <c r="Z33" s="61">
        <f>L34/1000*41.868/35</f>
        <v>52.813491428571425</v>
      </c>
      <c r="AE33" s="54">
        <f>(G37+G44)/35</f>
        <v>69.898686027002014</v>
      </c>
    </row>
    <row r="34" spans="2:31" x14ac:dyDescent="0.25">
      <c r="B34" s="60" t="s">
        <v>2</v>
      </c>
      <c r="C34" s="60" t="s">
        <v>61</v>
      </c>
      <c r="D34" s="60" t="s">
        <v>46</v>
      </c>
      <c r="E34" s="60" t="s">
        <v>3</v>
      </c>
      <c r="F34" s="60" t="s">
        <v>71</v>
      </c>
      <c r="G34" s="60" t="s">
        <v>66</v>
      </c>
      <c r="H34" s="60" t="s">
        <v>67</v>
      </c>
      <c r="I34" s="60" t="s">
        <v>68</v>
      </c>
      <c r="K34" s="61"/>
      <c r="L34" s="53">
        <v>44150</v>
      </c>
      <c r="M34" s="53" t="s">
        <v>108</v>
      </c>
      <c r="N34" s="53">
        <f>L34/1000*41.868</f>
        <v>1848.4721999999999</v>
      </c>
      <c r="O34" s="53" t="s">
        <v>19</v>
      </c>
    </row>
    <row r="35" spans="2:31" x14ac:dyDescent="0.25">
      <c r="B35" s="53" t="str">
        <f>CONCATENATE("UC_",LEFT(C35,12),"-PRD")</f>
        <v>UC_MINRSVGASNAT-PRD</v>
      </c>
      <c r="C35" s="53" t="str">
        <f>CONCATENATE(LEFT('GAS-KZK'!H5,12),"*")</f>
        <v>MINRSVGASNAT*</v>
      </c>
      <c r="D35" s="53">
        <v>2017</v>
      </c>
      <c r="E35" s="53" t="s">
        <v>53</v>
      </c>
      <c r="F35" s="53">
        <v>1</v>
      </c>
      <c r="G35" s="54">
        <f>N35</f>
        <v>739.38888000000009</v>
      </c>
      <c r="H35" s="53">
        <v>5</v>
      </c>
      <c r="K35" s="61" t="s">
        <v>160</v>
      </c>
      <c r="L35" s="64">
        <f>L34*0.4</f>
        <v>17660</v>
      </c>
      <c r="M35" s="53" t="s">
        <v>108</v>
      </c>
      <c r="N35" s="53">
        <f>L35/1000*41.868</f>
        <v>739.38888000000009</v>
      </c>
      <c r="O35" s="53" t="s">
        <v>19</v>
      </c>
    </row>
    <row r="36" spans="2:31" x14ac:dyDescent="0.25">
      <c r="C36" s="53" t="str">
        <f>C35</f>
        <v>MINRSVGASNAT*</v>
      </c>
      <c r="D36" s="53">
        <v>2020</v>
      </c>
      <c r="E36" s="53" t="s">
        <v>53</v>
      </c>
      <c r="F36" s="53">
        <v>1</v>
      </c>
      <c r="G36" s="54">
        <f>$G$35*1.025^(D36-$D$35)</f>
        <v>796.24095310125006</v>
      </c>
      <c r="K36" s="61"/>
      <c r="L36" s="64"/>
    </row>
    <row r="37" spans="2:31" x14ac:dyDescent="0.25">
      <c r="C37" s="53" t="str">
        <f>C36</f>
        <v>MINRSVGASNAT*</v>
      </c>
      <c r="D37" s="53">
        <v>2030</v>
      </c>
      <c r="E37" s="53" t="s">
        <v>53</v>
      </c>
      <c r="F37" s="53">
        <v>1</v>
      </c>
      <c r="G37" s="54">
        <f>$G$35*1.015^(D37-$D$35)</f>
        <v>897.28718241515992</v>
      </c>
      <c r="K37" s="61"/>
      <c r="L37" s="64"/>
    </row>
    <row r="38" spans="2:31" x14ac:dyDescent="0.25">
      <c r="C38" s="53" t="str">
        <f>C37</f>
        <v>MINRSVGASNAT*</v>
      </c>
      <c r="D38" s="53">
        <v>2050</v>
      </c>
      <c r="E38" s="53" t="s">
        <v>53</v>
      </c>
      <c r="F38" s="53">
        <v>1</v>
      </c>
      <c r="G38" s="54">
        <f>$G$35*1.015^(D38-$D$35)</f>
        <v>1208.5157339490481</v>
      </c>
      <c r="K38" s="61"/>
      <c r="L38" s="64"/>
    </row>
    <row r="39" spans="2:31" x14ac:dyDescent="0.25">
      <c r="K39" s="61"/>
      <c r="L39" s="64"/>
    </row>
    <row r="40" spans="2:31" x14ac:dyDescent="0.25">
      <c r="B40" s="53" t="s">
        <v>70</v>
      </c>
      <c r="E40" s="53" t="s">
        <v>1</v>
      </c>
      <c r="K40" s="61"/>
      <c r="L40" s="64"/>
    </row>
    <row r="41" spans="2:31" x14ac:dyDescent="0.25">
      <c r="B41" s="60" t="s">
        <v>2</v>
      </c>
      <c r="C41" s="60" t="s">
        <v>61</v>
      </c>
      <c r="D41" s="60" t="s">
        <v>46</v>
      </c>
      <c r="E41" s="60" t="s">
        <v>3</v>
      </c>
      <c r="F41" s="60" t="s">
        <v>71</v>
      </c>
      <c r="G41" s="60" t="s">
        <v>66</v>
      </c>
      <c r="H41" s="60" t="s">
        <v>67</v>
      </c>
      <c r="I41" s="60" t="s">
        <v>68</v>
      </c>
      <c r="K41" s="61"/>
      <c r="L41" s="64"/>
    </row>
    <row r="42" spans="2:31" x14ac:dyDescent="0.25">
      <c r="B42" s="53" t="str">
        <f>CONCATENATE("UC_",LEFT(C42,12),"-PRD")</f>
        <v>UC_MINRSVGASNAA-PRD</v>
      </c>
      <c r="C42" s="53" t="str">
        <f>CONCATENATE(LEFT('GAS-KZK'!H8,12),"*")</f>
        <v>MINRSVGASNAA*</v>
      </c>
      <c r="D42" s="53">
        <v>2017</v>
      </c>
      <c r="E42" s="53" t="s">
        <v>53</v>
      </c>
      <c r="F42" s="53">
        <v>1</v>
      </c>
      <c r="G42" s="54">
        <f>N42+N43</f>
        <v>1276.5553199999999</v>
      </c>
      <c r="H42" s="53">
        <v>5</v>
      </c>
      <c r="L42" s="64">
        <f>L34-L35</f>
        <v>26490</v>
      </c>
      <c r="M42" s="53" t="s">
        <v>108</v>
      </c>
      <c r="N42" s="54">
        <f>L42/1000*41.868</f>
        <v>1109.08332</v>
      </c>
      <c r="O42" s="53" t="s">
        <v>19</v>
      </c>
      <c r="P42" s="61" t="s">
        <v>151</v>
      </c>
    </row>
    <row r="43" spans="2:31" x14ac:dyDescent="0.25">
      <c r="C43" s="53" t="str">
        <f>C42</f>
        <v>MINRSVGASNAA*</v>
      </c>
      <c r="D43" s="53">
        <v>2020</v>
      </c>
      <c r="E43" s="53" t="s">
        <v>53</v>
      </c>
      <c r="F43" s="53">
        <v>1</v>
      </c>
      <c r="G43" s="54">
        <f>$G$42*1.025^(D43-$D$42)</f>
        <v>1374.7104564018748</v>
      </c>
      <c r="K43" s="61" t="s">
        <v>160</v>
      </c>
      <c r="L43" s="53">
        <v>4000</v>
      </c>
      <c r="N43" s="54">
        <f>L43/1000*41.868</f>
        <v>167.47200000000001</v>
      </c>
      <c r="O43" s="53" t="s">
        <v>19</v>
      </c>
      <c r="P43" s="53" t="s">
        <v>156</v>
      </c>
    </row>
    <row r="44" spans="2:31" x14ac:dyDescent="0.25">
      <c r="C44" s="53" t="str">
        <f>C43</f>
        <v>MINRSVGASNAA*</v>
      </c>
      <c r="D44" s="53">
        <v>2030</v>
      </c>
      <c r="E44" s="53" t="s">
        <v>53</v>
      </c>
      <c r="F44" s="53">
        <v>1</v>
      </c>
      <c r="G44" s="54">
        <f>$G$42*1.015^(D44-$D$42)</f>
        <v>1549.1668285299106</v>
      </c>
    </row>
    <row r="45" spans="2:31" x14ac:dyDescent="0.25">
      <c r="C45" s="53" t="str">
        <f>C44</f>
        <v>MINRSVGASNAA*</v>
      </c>
      <c r="D45" s="53">
        <v>2050</v>
      </c>
      <c r="E45" s="53" t="s">
        <v>53</v>
      </c>
      <c r="F45" s="53">
        <v>1</v>
      </c>
      <c r="G45" s="54">
        <f>$G$42*1.015^(D45-$D$42)</f>
        <v>2086.5030989867764</v>
      </c>
      <c r="K45" s="61"/>
    </row>
    <row r="48" spans="2:31" x14ac:dyDescent="0.25">
      <c r="B48" s="53" t="s">
        <v>70</v>
      </c>
      <c r="E48" s="53" t="s">
        <v>1</v>
      </c>
    </row>
    <row r="49" spans="2:16" x14ac:dyDescent="0.25">
      <c r="B49" s="60" t="s">
        <v>2</v>
      </c>
      <c r="C49" s="60" t="s">
        <v>61</v>
      </c>
      <c r="D49" s="60" t="s">
        <v>46</v>
      </c>
      <c r="E49" s="60" t="s">
        <v>3</v>
      </c>
      <c r="F49" s="60" t="s">
        <v>71</v>
      </c>
      <c r="G49" s="60" t="s">
        <v>66</v>
      </c>
      <c r="H49" s="60" t="s">
        <v>67</v>
      </c>
      <c r="I49" s="60" t="s">
        <v>68</v>
      </c>
      <c r="L49" s="53">
        <v>49500</v>
      </c>
      <c r="M49" s="53" t="s">
        <v>108</v>
      </c>
      <c r="N49" s="53">
        <f>L49/1000*41.868</f>
        <v>2072.4659999999999</v>
      </c>
      <c r="O49" s="53" t="s">
        <v>19</v>
      </c>
    </row>
    <row r="50" spans="2:16" x14ac:dyDescent="0.25">
      <c r="B50" s="53" t="str">
        <f>CONCATENATE("UC_",LEFT(C50,11),"-PRD")</f>
        <v>UC_MINRSVCOABI-PRD</v>
      </c>
      <c r="C50" s="53" t="str">
        <f>CONCATENATE(LEFT('COAL-KZK'!H5,11),"*")</f>
        <v>MINRSVCOABI*</v>
      </c>
      <c r="D50" s="53">
        <v>2017</v>
      </c>
      <c r="E50" s="53" t="s">
        <v>53</v>
      </c>
      <c r="F50" s="53">
        <v>1</v>
      </c>
      <c r="G50" s="54">
        <f>N50</f>
        <v>376.81200000000001</v>
      </c>
      <c r="H50" s="53">
        <v>5</v>
      </c>
      <c r="K50" s="61" t="s">
        <v>160</v>
      </c>
      <c r="L50" s="53">
        <v>9000</v>
      </c>
      <c r="M50" s="53" t="s">
        <v>108</v>
      </c>
      <c r="N50" s="53">
        <f>L50/1000*41.868</f>
        <v>376.81200000000001</v>
      </c>
      <c r="O50" s="53" t="s">
        <v>19</v>
      </c>
    </row>
    <row r="51" spans="2:16" x14ac:dyDescent="0.25">
      <c r="C51" s="53" t="str">
        <f>C50</f>
        <v>MINRSVCOABI*</v>
      </c>
      <c r="D51" s="53">
        <v>2020</v>
      </c>
      <c r="E51" s="53" t="s">
        <v>53</v>
      </c>
      <c r="F51" s="53">
        <v>1</v>
      </c>
      <c r="G51" s="54">
        <f>$G$50*1.01^(D51-$D$50)</f>
        <v>388.22978041199997</v>
      </c>
    </row>
    <row r="52" spans="2:16" x14ac:dyDescent="0.25">
      <c r="C52" s="53" t="str">
        <f>C51</f>
        <v>MINRSVCOABI*</v>
      </c>
      <c r="D52" s="53">
        <v>2030</v>
      </c>
      <c r="E52" s="53" t="s">
        <v>53</v>
      </c>
      <c r="F52" s="53">
        <v>1</v>
      </c>
      <c r="G52" s="54">
        <f>$G$50*1.01^(D52-$D$50)</f>
        <v>428.84720518662868</v>
      </c>
    </row>
    <row r="53" spans="2:16" x14ac:dyDescent="0.25">
      <c r="C53" s="53" t="str">
        <f>C52</f>
        <v>MINRSVCOABI*</v>
      </c>
      <c r="D53" s="53">
        <v>2050</v>
      </c>
      <c r="E53" s="53" t="s">
        <v>53</v>
      </c>
      <c r="F53" s="53">
        <v>1</v>
      </c>
      <c r="G53" s="54">
        <f>$G$50*1.01^(D53-$D$50)</f>
        <v>523.27508842824659</v>
      </c>
      <c r="P53" s="53" t="s">
        <v>162</v>
      </c>
    </row>
    <row r="55" spans="2:16" x14ac:dyDescent="0.25">
      <c r="B55" s="53" t="s">
        <v>70</v>
      </c>
      <c r="E55" s="53" t="s">
        <v>1</v>
      </c>
    </row>
    <row r="56" spans="2:16" x14ac:dyDescent="0.25">
      <c r="B56" s="60" t="s">
        <v>2</v>
      </c>
      <c r="C56" s="60" t="s">
        <v>61</v>
      </c>
      <c r="D56" s="60" t="s">
        <v>46</v>
      </c>
      <c r="E56" s="60" t="s">
        <v>3</v>
      </c>
      <c r="F56" s="60" t="s">
        <v>71</v>
      </c>
      <c r="G56" s="60" t="s">
        <v>66</v>
      </c>
      <c r="H56" s="60" t="s">
        <v>67</v>
      </c>
      <c r="I56" s="60" t="s">
        <v>68</v>
      </c>
    </row>
    <row r="57" spans="2:16" x14ac:dyDescent="0.25">
      <c r="B57" s="53" t="str">
        <f>CONCATENATE("UC_",LEFT(C57,10),"-PRD")</f>
        <v>UC_MINRSVCOAS-PRD</v>
      </c>
      <c r="C57" s="53" t="str">
        <f>CONCATENATE(LEFT('COAL-KZK'!H6,10),"*")</f>
        <v>MINRSVCOAS*</v>
      </c>
      <c r="D57" s="53">
        <v>2017</v>
      </c>
      <c r="E57" s="53" t="s">
        <v>53</v>
      </c>
      <c r="F57" s="53">
        <v>1</v>
      </c>
      <c r="G57" s="54">
        <f>N57</f>
        <v>1314.6551999999999</v>
      </c>
      <c r="H57" s="53">
        <v>5</v>
      </c>
      <c r="K57" s="61" t="s">
        <v>160</v>
      </c>
      <c r="L57" s="53">
        <v>31400</v>
      </c>
      <c r="M57" s="53" t="s">
        <v>108</v>
      </c>
      <c r="N57" s="53">
        <f>L57/1000*41.868</f>
        <v>1314.6551999999999</v>
      </c>
      <c r="O57" s="53" t="s">
        <v>19</v>
      </c>
    </row>
    <row r="58" spans="2:16" x14ac:dyDescent="0.25">
      <c r="C58" s="53" t="str">
        <f>C57</f>
        <v>MINRSVCOAS*</v>
      </c>
      <c r="D58" s="53">
        <v>2020</v>
      </c>
      <c r="E58" s="53" t="s">
        <v>53</v>
      </c>
      <c r="F58" s="53">
        <v>1</v>
      </c>
      <c r="G58" s="54">
        <f>$G$57*1.01^(D58-$D$57)</f>
        <v>1354.4905672151999</v>
      </c>
    </row>
    <row r="59" spans="2:16" x14ac:dyDescent="0.25">
      <c r="C59" s="53" t="str">
        <f>C58</f>
        <v>MINRSVCOAS*</v>
      </c>
      <c r="D59" s="53">
        <v>2030</v>
      </c>
      <c r="E59" s="53" t="s">
        <v>53</v>
      </c>
      <c r="F59" s="53">
        <v>1</v>
      </c>
      <c r="G59" s="54">
        <f>$G$57*1.01^(D59-$D$57)</f>
        <v>1496.2002492066822</v>
      </c>
    </row>
    <row r="60" spans="2:16" x14ac:dyDescent="0.25">
      <c r="C60" s="53" t="str">
        <f>C59</f>
        <v>MINRSVCOAS*</v>
      </c>
      <c r="D60" s="53">
        <v>2050</v>
      </c>
      <c r="E60" s="53" t="s">
        <v>53</v>
      </c>
      <c r="F60" s="53">
        <v>1</v>
      </c>
      <c r="G60" s="54">
        <f>$G$57*1.01^(D60-$D$57)</f>
        <v>1825.6486418496602</v>
      </c>
      <c r="P60" s="53" t="s">
        <v>162</v>
      </c>
    </row>
    <row r="62" spans="2:16" x14ac:dyDescent="0.25">
      <c r="B62" s="53" t="s">
        <v>70</v>
      </c>
      <c r="E62" s="53" t="s">
        <v>1</v>
      </c>
    </row>
    <row r="63" spans="2:16" x14ac:dyDescent="0.25">
      <c r="B63" s="60" t="s">
        <v>2</v>
      </c>
      <c r="C63" s="60" t="s">
        <v>61</v>
      </c>
      <c r="D63" s="60" t="s">
        <v>46</v>
      </c>
      <c r="E63" s="60" t="s">
        <v>3</v>
      </c>
      <c r="F63" s="60" t="s">
        <v>71</v>
      </c>
      <c r="G63" s="60" t="s">
        <v>66</v>
      </c>
      <c r="H63" s="60" t="s">
        <v>67</v>
      </c>
      <c r="I63" s="60" t="s">
        <v>68</v>
      </c>
    </row>
    <row r="64" spans="2:16" x14ac:dyDescent="0.25">
      <c r="B64" s="53" t="str">
        <f>CONCATENATE("UC_",LEFT(C64,11),"-PRD")</f>
        <v>UC_MINRSVCOABC-PRD</v>
      </c>
      <c r="C64" s="53" t="str">
        <f>CONCATENATE(LEFT('COAL-KZK'!H7,11),"*")</f>
        <v>MINRSVCOABC*</v>
      </c>
      <c r="D64" s="53">
        <v>2017</v>
      </c>
      <c r="E64" s="53" t="s">
        <v>53</v>
      </c>
      <c r="F64" s="53">
        <v>1</v>
      </c>
      <c r="G64" s="54">
        <f>N64</f>
        <v>90.016199999999998</v>
      </c>
      <c r="H64" s="53">
        <v>5</v>
      </c>
      <c r="K64" s="61" t="s">
        <v>160</v>
      </c>
      <c r="L64" s="64">
        <v>2150</v>
      </c>
      <c r="M64" s="53" t="s">
        <v>108</v>
      </c>
      <c r="N64" s="53">
        <f>L64/1000*41.868</f>
        <v>90.016199999999998</v>
      </c>
      <c r="O64" s="53" t="s">
        <v>19</v>
      </c>
    </row>
    <row r="65" spans="2:16" x14ac:dyDescent="0.25">
      <c r="C65" s="53" t="str">
        <f>C64</f>
        <v>MINRSVCOABC*</v>
      </c>
      <c r="D65" s="53">
        <v>2020</v>
      </c>
      <c r="E65" s="53" t="s">
        <v>53</v>
      </c>
      <c r="F65" s="53">
        <v>1</v>
      </c>
      <c r="G65" s="54">
        <f>$G$64*1.01^(D65-$D$64)</f>
        <v>92.743780876199992</v>
      </c>
    </row>
    <row r="66" spans="2:16" x14ac:dyDescent="0.25">
      <c r="C66" s="53" t="str">
        <f>C65</f>
        <v>MINRSVCOABC*</v>
      </c>
      <c r="D66" s="53">
        <v>2030</v>
      </c>
      <c r="E66" s="53" t="s">
        <v>53</v>
      </c>
      <c r="F66" s="53">
        <v>1</v>
      </c>
      <c r="G66" s="54">
        <f>$G$64*1.01^(D66-$D$64)</f>
        <v>102.44683235013908</v>
      </c>
    </row>
    <row r="67" spans="2:16" x14ac:dyDescent="0.25">
      <c r="C67" s="53" t="str">
        <f>C66</f>
        <v>MINRSVCOABC*</v>
      </c>
      <c r="D67" s="53">
        <v>2050</v>
      </c>
      <c r="E67" s="53" t="s">
        <v>53</v>
      </c>
      <c r="F67" s="53">
        <v>1</v>
      </c>
      <c r="G67" s="54">
        <f>$G$64*1.01^(D67-$D$64)</f>
        <v>125.00460445785889</v>
      </c>
      <c r="P67" s="53" t="s">
        <v>162</v>
      </c>
    </row>
    <row r="69" spans="2:16" x14ac:dyDescent="0.25">
      <c r="B69" s="53" t="s">
        <v>70</v>
      </c>
      <c r="E69" s="53" t="s">
        <v>1</v>
      </c>
    </row>
    <row r="70" spans="2:16" x14ac:dyDescent="0.25">
      <c r="B70" s="60" t="s">
        <v>2</v>
      </c>
      <c r="C70" s="60" t="s">
        <v>61</v>
      </c>
      <c r="D70" s="60" t="s">
        <v>46</v>
      </c>
      <c r="E70" s="60" t="s">
        <v>3</v>
      </c>
      <c r="F70" s="60" t="s">
        <v>71</v>
      </c>
      <c r="G70" s="60" t="s">
        <v>66</v>
      </c>
      <c r="H70" s="60" t="s">
        <v>67</v>
      </c>
      <c r="I70" s="60" t="s">
        <v>68</v>
      </c>
    </row>
    <row r="71" spans="2:16" x14ac:dyDescent="0.25">
      <c r="B71" s="53" t="str">
        <f>CONCATENATE("UC_",LEFT(C71,9),"-PRD")</f>
        <v>UC_MINCOACOK-PRD</v>
      </c>
      <c r="C71" s="53" t="str">
        <f>CONCATENATE(LEFT('COAL-KZK'!H8,9),"*")</f>
        <v>MINCOACOK*</v>
      </c>
      <c r="D71" s="53">
        <v>2017</v>
      </c>
      <c r="E71" s="53" t="s">
        <v>53</v>
      </c>
      <c r="F71" s="53">
        <v>1</v>
      </c>
      <c r="G71" s="54">
        <f>N71</f>
        <v>293.07600000000002</v>
      </c>
      <c r="H71" s="53">
        <v>5</v>
      </c>
      <c r="K71" s="61" t="s">
        <v>160</v>
      </c>
      <c r="L71" s="64">
        <v>7000</v>
      </c>
      <c r="M71" s="53" t="s">
        <v>108</v>
      </c>
      <c r="N71" s="53">
        <f>L71/1000*41.868</f>
        <v>293.07600000000002</v>
      </c>
      <c r="O71" s="53" t="s">
        <v>19</v>
      </c>
    </row>
    <row r="72" spans="2:16" x14ac:dyDescent="0.25">
      <c r="C72" s="53" t="str">
        <f>C71</f>
        <v>MINCOACOK*</v>
      </c>
      <c r="D72" s="53">
        <v>2020</v>
      </c>
      <c r="E72" s="53" t="s">
        <v>53</v>
      </c>
      <c r="F72" s="53">
        <v>1</v>
      </c>
      <c r="G72" s="54">
        <f>$G$71*1.01^(D72-$D$71)</f>
        <v>301.95649587600002</v>
      </c>
    </row>
    <row r="73" spans="2:16" x14ac:dyDescent="0.25">
      <c r="C73" s="53" t="str">
        <f>C72</f>
        <v>MINCOACOK*</v>
      </c>
      <c r="D73" s="53">
        <v>2030</v>
      </c>
      <c r="E73" s="53" t="s">
        <v>53</v>
      </c>
      <c r="F73" s="53">
        <v>1</v>
      </c>
      <c r="G73" s="54">
        <f>$G$71*1.01^(D73-$D$71)</f>
        <v>333.54782625626677</v>
      </c>
    </row>
    <row r="74" spans="2:16" x14ac:dyDescent="0.25">
      <c r="C74" s="53" t="str">
        <f>C73</f>
        <v>MINCOACOK*</v>
      </c>
      <c r="D74" s="53">
        <v>2050</v>
      </c>
      <c r="E74" s="53" t="s">
        <v>53</v>
      </c>
      <c r="F74" s="53">
        <v>1</v>
      </c>
      <c r="G74" s="54">
        <f>$G$71*1.01^(D74-$D$71)</f>
        <v>406.99173544419182</v>
      </c>
      <c r="P74" s="53" t="s">
        <v>162</v>
      </c>
    </row>
  </sheetData>
  <mergeCells count="2">
    <mergeCell ref="R22:V22"/>
    <mergeCell ref="Y31:AE3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D0300-3065-477F-A75F-6FA4C8730DA5}">
  <dimension ref="B2:K30"/>
  <sheetViews>
    <sheetView zoomScale="85" zoomScaleNormal="85" workbookViewId="0">
      <selection sqref="A1:XFD1048576"/>
    </sheetView>
  </sheetViews>
  <sheetFormatPr defaultColWidth="11.44140625" defaultRowHeight="11.4" x14ac:dyDescent="0.2"/>
  <cols>
    <col min="1" max="9" width="11.44140625" style="66"/>
    <col min="10" max="10" width="17.109375" style="66" bestFit="1" customWidth="1"/>
    <col min="11" max="11" width="12.109375" style="66" bestFit="1" customWidth="1"/>
    <col min="12" max="241" width="11.44140625" style="66"/>
    <col min="242" max="242" width="7.6640625" style="66" bestFit="1" customWidth="1"/>
    <col min="243" max="243" width="11.44140625" style="66"/>
    <col min="244" max="244" width="6.5546875" style="66" bestFit="1" customWidth="1"/>
    <col min="245" max="245" width="4.88671875" style="66" bestFit="1" customWidth="1"/>
    <col min="246" max="248" width="8.5546875" style="66" customWidth="1"/>
    <col min="249" max="249" width="13.88671875" style="66" bestFit="1" customWidth="1"/>
    <col min="250" max="497" width="11.44140625" style="66"/>
    <col min="498" max="498" width="7.6640625" style="66" bestFit="1" customWidth="1"/>
    <col min="499" max="499" width="11.44140625" style="66"/>
    <col min="500" max="500" width="6.5546875" style="66" bestFit="1" customWidth="1"/>
    <col min="501" max="501" width="4.88671875" style="66" bestFit="1" customWidth="1"/>
    <col min="502" max="504" width="8.5546875" style="66" customWidth="1"/>
    <col min="505" max="505" width="13.88671875" style="66" bestFit="1" customWidth="1"/>
    <col min="506" max="753" width="11.44140625" style="66"/>
    <col min="754" max="754" width="7.6640625" style="66" bestFit="1" customWidth="1"/>
    <col min="755" max="755" width="11.44140625" style="66"/>
    <col min="756" max="756" width="6.5546875" style="66" bestFit="1" customWidth="1"/>
    <col min="757" max="757" width="4.88671875" style="66" bestFit="1" customWidth="1"/>
    <col min="758" max="760" width="8.5546875" style="66" customWidth="1"/>
    <col min="761" max="761" width="13.88671875" style="66" bestFit="1" customWidth="1"/>
    <col min="762" max="1009" width="11.44140625" style="66"/>
    <col min="1010" max="1010" width="7.6640625" style="66" bestFit="1" customWidth="1"/>
    <col min="1011" max="1011" width="11.44140625" style="66"/>
    <col min="1012" max="1012" width="6.5546875" style="66" bestFit="1" customWidth="1"/>
    <col min="1013" max="1013" width="4.88671875" style="66" bestFit="1" customWidth="1"/>
    <col min="1014" max="1016" width="8.5546875" style="66" customWidth="1"/>
    <col min="1017" max="1017" width="13.88671875" style="66" bestFit="1" customWidth="1"/>
    <col min="1018" max="1265" width="11.44140625" style="66"/>
    <col min="1266" max="1266" width="7.6640625" style="66" bestFit="1" customWidth="1"/>
    <col min="1267" max="1267" width="11.44140625" style="66"/>
    <col min="1268" max="1268" width="6.5546875" style="66" bestFit="1" customWidth="1"/>
    <col min="1269" max="1269" width="4.88671875" style="66" bestFit="1" customWidth="1"/>
    <col min="1270" max="1272" width="8.5546875" style="66" customWidth="1"/>
    <col min="1273" max="1273" width="13.88671875" style="66" bestFit="1" customWidth="1"/>
    <col min="1274" max="1521" width="11.44140625" style="66"/>
    <col min="1522" max="1522" width="7.6640625" style="66" bestFit="1" customWidth="1"/>
    <col min="1523" max="1523" width="11.44140625" style="66"/>
    <col min="1524" max="1524" width="6.5546875" style="66" bestFit="1" customWidth="1"/>
    <col min="1525" max="1525" width="4.88671875" style="66" bestFit="1" customWidth="1"/>
    <col min="1526" max="1528" width="8.5546875" style="66" customWidth="1"/>
    <col min="1529" max="1529" width="13.88671875" style="66" bestFit="1" customWidth="1"/>
    <col min="1530" max="1777" width="11.44140625" style="66"/>
    <col min="1778" max="1778" width="7.6640625" style="66" bestFit="1" customWidth="1"/>
    <col min="1779" max="1779" width="11.44140625" style="66"/>
    <col min="1780" max="1780" width="6.5546875" style="66" bestFit="1" customWidth="1"/>
    <col min="1781" max="1781" width="4.88671875" style="66" bestFit="1" customWidth="1"/>
    <col min="1782" max="1784" width="8.5546875" style="66" customWidth="1"/>
    <col min="1785" max="1785" width="13.88671875" style="66" bestFit="1" customWidth="1"/>
    <col min="1786" max="2033" width="11.44140625" style="66"/>
    <col min="2034" max="2034" width="7.6640625" style="66" bestFit="1" customWidth="1"/>
    <col min="2035" max="2035" width="11.44140625" style="66"/>
    <col min="2036" max="2036" width="6.5546875" style="66" bestFit="1" customWidth="1"/>
    <col min="2037" max="2037" width="4.88671875" style="66" bestFit="1" customWidth="1"/>
    <col min="2038" max="2040" width="8.5546875" style="66" customWidth="1"/>
    <col min="2041" max="2041" width="13.88671875" style="66" bestFit="1" customWidth="1"/>
    <col min="2042" max="2289" width="11.44140625" style="66"/>
    <col min="2290" max="2290" width="7.6640625" style="66" bestFit="1" customWidth="1"/>
    <col min="2291" max="2291" width="11.44140625" style="66"/>
    <col min="2292" max="2292" width="6.5546875" style="66" bestFit="1" customWidth="1"/>
    <col min="2293" max="2293" width="4.88671875" style="66" bestFit="1" customWidth="1"/>
    <col min="2294" max="2296" width="8.5546875" style="66" customWidth="1"/>
    <col min="2297" max="2297" width="13.88671875" style="66" bestFit="1" customWidth="1"/>
    <col min="2298" max="2545" width="11.44140625" style="66"/>
    <col min="2546" max="2546" width="7.6640625" style="66" bestFit="1" customWidth="1"/>
    <col min="2547" max="2547" width="11.44140625" style="66"/>
    <col min="2548" max="2548" width="6.5546875" style="66" bestFit="1" customWidth="1"/>
    <col min="2549" max="2549" width="4.88671875" style="66" bestFit="1" customWidth="1"/>
    <col min="2550" max="2552" width="8.5546875" style="66" customWidth="1"/>
    <col min="2553" max="2553" width="13.88671875" style="66" bestFit="1" customWidth="1"/>
    <col min="2554" max="2801" width="11.44140625" style="66"/>
    <col min="2802" max="2802" width="7.6640625" style="66" bestFit="1" customWidth="1"/>
    <col min="2803" max="2803" width="11.44140625" style="66"/>
    <col min="2804" max="2804" width="6.5546875" style="66" bestFit="1" customWidth="1"/>
    <col min="2805" max="2805" width="4.88671875" style="66" bestFit="1" customWidth="1"/>
    <col min="2806" max="2808" width="8.5546875" style="66" customWidth="1"/>
    <col min="2809" max="2809" width="13.88671875" style="66" bestFit="1" customWidth="1"/>
    <col min="2810" max="3057" width="11.44140625" style="66"/>
    <col min="3058" max="3058" width="7.6640625" style="66" bestFit="1" customWidth="1"/>
    <col min="3059" max="3059" width="11.44140625" style="66"/>
    <col min="3060" max="3060" width="6.5546875" style="66" bestFit="1" customWidth="1"/>
    <col min="3061" max="3061" width="4.88671875" style="66" bestFit="1" customWidth="1"/>
    <col min="3062" max="3064" width="8.5546875" style="66" customWidth="1"/>
    <col min="3065" max="3065" width="13.88671875" style="66" bestFit="1" customWidth="1"/>
    <col min="3066" max="3313" width="11.44140625" style="66"/>
    <col min="3314" max="3314" width="7.6640625" style="66" bestFit="1" customWidth="1"/>
    <col min="3315" max="3315" width="11.44140625" style="66"/>
    <col min="3316" max="3316" width="6.5546875" style="66" bestFit="1" customWidth="1"/>
    <col min="3317" max="3317" width="4.88671875" style="66" bestFit="1" customWidth="1"/>
    <col min="3318" max="3320" width="8.5546875" style="66" customWidth="1"/>
    <col min="3321" max="3321" width="13.88671875" style="66" bestFit="1" customWidth="1"/>
    <col min="3322" max="3569" width="11.44140625" style="66"/>
    <col min="3570" max="3570" width="7.6640625" style="66" bestFit="1" customWidth="1"/>
    <col min="3571" max="3571" width="11.44140625" style="66"/>
    <col min="3572" max="3572" width="6.5546875" style="66" bestFit="1" customWidth="1"/>
    <col min="3573" max="3573" width="4.88671875" style="66" bestFit="1" customWidth="1"/>
    <col min="3574" max="3576" width="8.5546875" style="66" customWidth="1"/>
    <col min="3577" max="3577" width="13.88671875" style="66" bestFit="1" customWidth="1"/>
    <col min="3578" max="3825" width="11.44140625" style="66"/>
    <col min="3826" max="3826" width="7.6640625" style="66" bestFit="1" customWidth="1"/>
    <col min="3827" max="3827" width="11.44140625" style="66"/>
    <col min="3828" max="3828" width="6.5546875" style="66" bestFit="1" customWidth="1"/>
    <col min="3829" max="3829" width="4.88671875" style="66" bestFit="1" customWidth="1"/>
    <col min="3830" max="3832" width="8.5546875" style="66" customWidth="1"/>
    <col min="3833" max="3833" width="13.88671875" style="66" bestFit="1" customWidth="1"/>
    <col min="3834" max="4081" width="11.44140625" style="66"/>
    <col min="4082" max="4082" width="7.6640625" style="66" bestFit="1" customWidth="1"/>
    <col min="4083" max="4083" width="11.44140625" style="66"/>
    <col min="4084" max="4084" width="6.5546875" style="66" bestFit="1" customWidth="1"/>
    <col min="4085" max="4085" width="4.88671875" style="66" bestFit="1" customWidth="1"/>
    <col min="4086" max="4088" width="8.5546875" style="66" customWidth="1"/>
    <col min="4089" max="4089" width="13.88671875" style="66" bestFit="1" customWidth="1"/>
    <col min="4090" max="4337" width="11.44140625" style="66"/>
    <col min="4338" max="4338" width="7.6640625" style="66" bestFit="1" customWidth="1"/>
    <col min="4339" max="4339" width="11.44140625" style="66"/>
    <col min="4340" max="4340" width="6.5546875" style="66" bestFit="1" customWidth="1"/>
    <col min="4341" max="4341" width="4.88671875" style="66" bestFit="1" customWidth="1"/>
    <col min="4342" max="4344" width="8.5546875" style="66" customWidth="1"/>
    <col min="4345" max="4345" width="13.88671875" style="66" bestFit="1" customWidth="1"/>
    <col min="4346" max="4593" width="11.44140625" style="66"/>
    <col min="4594" max="4594" width="7.6640625" style="66" bestFit="1" customWidth="1"/>
    <col min="4595" max="4595" width="11.44140625" style="66"/>
    <col min="4596" max="4596" width="6.5546875" style="66" bestFit="1" customWidth="1"/>
    <col min="4597" max="4597" width="4.88671875" style="66" bestFit="1" customWidth="1"/>
    <col min="4598" max="4600" width="8.5546875" style="66" customWidth="1"/>
    <col min="4601" max="4601" width="13.88671875" style="66" bestFit="1" customWidth="1"/>
    <col min="4602" max="4849" width="11.44140625" style="66"/>
    <col min="4850" max="4850" width="7.6640625" style="66" bestFit="1" customWidth="1"/>
    <col min="4851" max="4851" width="11.44140625" style="66"/>
    <col min="4852" max="4852" width="6.5546875" style="66" bestFit="1" customWidth="1"/>
    <col min="4853" max="4853" width="4.88671875" style="66" bestFit="1" customWidth="1"/>
    <col min="4854" max="4856" width="8.5546875" style="66" customWidth="1"/>
    <col min="4857" max="4857" width="13.88671875" style="66" bestFit="1" customWidth="1"/>
    <col min="4858" max="5105" width="11.44140625" style="66"/>
    <col min="5106" max="5106" width="7.6640625" style="66" bestFit="1" customWidth="1"/>
    <col min="5107" max="5107" width="11.44140625" style="66"/>
    <col min="5108" max="5108" width="6.5546875" style="66" bestFit="1" customWidth="1"/>
    <col min="5109" max="5109" width="4.88671875" style="66" bestFit="1" customWidth="1"/>
    <col min="5110" max="5112" width="8.5546875" style="66" customWidth="1"/>
    <col min="5113" max="5113" width="13.88671875" style="66" bestFit="1" customWidth="1"/>
    <col min="5114" max="5361" width="11.44140625" style="66"/>
    <col min="5362" max="5362" width="7.6640625" style="66" bestFit="1" customWidth="1"/>
    <col min="5363" max="5363" width="11.44140625" style="66"/>
    <col min="5364" max="5364" width="6.5546875" style="66" bestFit="1" customWidth="1"/>
    <col min="5365" max="5365" width="4.88671875" style="66" bestFit="1" customWidth="1"/>
    <col min="5366" max="5368" width="8.5546875" style="66" customWidth="1"/>
    <col min="5369" max="5369" width="13.88671875" style="66" bestFit="1" customWidth="1"/>
    <col min="5370" max="5617" width="11.44140625" style="66"/>
    <col min="5618" max="5618" width="7.6640625" style="66" bestFit="1" customWidth="1"/>
    <col min="5619" max="5619" width="11.44140625" style="66"/>
    <col min="5620" max="5620" width="6.5546875" style="66" bestFit="1" customWidth="1"/>
    <col min="5621" max="5621" width="4.88671875" style="66" bestFit="1" customWidth="1"/>
    <col min="5622" max="5624" width="8.5546875" style="66" customWidth="1"/>
    <col min="5625" max="5625" width="13.88671875" style="66" bestFit="1" customWidth="1"/>
    <col min="5626" max="5873" width="11.44140625" style="66"/>
    <col min="5874" max="5874" width="7.6640625" style="66" bestFit="1" customWidth="1"/>
    <col min="5875" max="5875" width="11.44140625" style="66"/>
    <col min="5876" max="5876" width="6.5546875" style="66" bestFit="1" customWidth="1"/>
    <col min="5877" max="5877" width="4.88671875" style="66" bestFit="1" customWidth="1"/>
    <col min="5878" max="5880" width="8.5546875" style="66" customWidth="1"/>
    <col min="5881" max="5881" width="13.88671875" style="66" bestFit="1" customWidth="1"/>
    <col min="5882" max="6129" width="11.44140625" style="66"/>
    <col min="6130" max="6130" width="7.6640625" style="66" bestFit="1" customWidth="1"/>
    <col min="6131" max="6131" width="11.44140625" style="66"/>
    <col min="6132" max="6132" width="6.5546875" style="66" bestFit="1" customWidth="1"/>
    <col min="6133" max="6133" width="4.88671875" style="66" bestFit="1" customWidth="1"/>
    <col min="6134" max="6136" width="8.5546875" style="66" customWidth="1"/>
    <col min="6137" max="6137" width="13.88671875" style="66" bestFit="1" customWidth="1"/>
    <col min="6138" max="6385" width="11.44140625" style="66"/>
    <col min="6386" max="6386" width="7.6640625" style="66" bestFit="1" customWidth="1"/>
    <col min="6387" max="6387" width="11.44140625" style="66"/>
    <col min="6388" max="6388" width="6.5546875" style="66" bestFit="1" customWidth="1"/>
    <col min="6389" max="6389" width="4.88671875" style="66" bestFit="1" customWidth="1"/>
    <col min="6390" max="6392" width="8.5546875" style="66" customWidth="1"/>
    <col min="6393" max="6393" width="13.88671875" style="66" bestFit="1" customWidth="1"/>
    <col min="6394" max="6641" width="11.44140625" style="66"/>
    <col min="6642" max="6642" width="7.6640625" style="66" bestFit="1" customWidth="1"/>
    <col min="6643" max="6643" width="11.44140625" style="66"/>
    <col min="6644" max="6644" width="6.5546875" style="66" bestFit="1" customWidth="1"/>
    <col min="6645" max="6645" width="4.88671875" style="66" bestFit="1" customWidth="1"/>
    <col min="6646" max="6648" width="8.5546875" style="66" customWidth="1"/>
    <col min="6649" max="6649" width="13.88671875" style="66" bestFit="1" customWidth="1"/>
    <col min="6650" max="6897" width="11.44140625" style="66"/>
    <col min="6898" max="6898" width="7.6640625" style="66" bestFit="1" customWidth="1"/>
    <col min="6899" max="6899" width="11.44140625" style="66"/>
    <col min="6900" max="6900" width="6.5546875" style="66" bestFit="1" customWidth="1"/>
    <col min="6901" max="6901" width="4.88671875" style="66" bestFit="1" customWidth="1"/>
    <col min="6902" max="6904" width="8.5546875" style="66" customWidth="1"/>
    <col min="6905" max="6905" width="13.88671875" style="66" bestFit="1" customWidth="1"/>
    <col min="6906" max="7153" width="11.44140625" style="66"/>
    <col min="7154" max="7154" width="7.6640625" style="66" bestFit="1" customWidth="1"/>
    <col min="7155" max="7155" width="11.44140625" style="66"/>
    <col min="7156" max="7156" width="6.5546875" style="66" bestFit="1" customWidth="1"/>
    <col min="7157" max="7157" width="4.88671875" style="66" bestFit="1" customWidth="1"/>
    <col min="7158" max="7160" width="8.5546875" style="66" customWidth="1"/>
    <col min="7161" max="7161" width="13.88671875" style="66" bestFit="1" customWidth="1"/>
    <col min="7162" max="7409" width="11.44140625" style="66"/>
    <col min="7410" max="7410" width="7.6640625" style="66" bestFit="1" customWidth="1"/>
    <col min="7411" max="7411" width="11.44140625" style="66"/>
    <col min="7412" max="7412" width="6.5546875" style="66" bestFit="1" customWidth="1"/>
    <col min="7413" max="7413" width="4.88671875" style="66" bestFit="1" customWidth="1"/>
    <col min="7414" max="7416" width="8.5546875" style="66" customWidth="1"/>
    <col min="7417" max="7417" width="13.88671875" style="66" bestFit="1" customWidth="1"/>
    <col min="7418" max="7665" width="11.44140625" style="66"/>
    <col min="7666" max="7666" width="7.6640625" style="66" bestFit="1" customWidth="1"/>
    <col min="7667" max="7667" width="11.44140625" style="66"/>
    <col min="7668" max="7668" width="6.5546875" style="66" bestFit="1" customWidth="1"/>
    <col min="7669" max="7669" width="4.88671875" style="66" bestFit="1" customWidth="1"/>
    <col min="7670" max="7672" width="8.5546875" style="66" customWidth="1"/>
    <col min="7673" max="7673" width="13.88671875" style="66" bestFit="1" customWidth="1"/>
    <col min="7674" max="7921" width="11.44140625" style="66"/>
    <col min="7922" max="7922" width="7.6640625" style="66" bestFit="1" customWidth="1"/>
    <col min="7923" max="7923" width="11.44140625" style="66"/>
    <col min="7924" max="7924" width="6.5546875" style="66" bestFit="1" customWidth="1"/>
    <col min="7925" max="7925" width="4.88671875" style="66" bestFit="1" customWidth="1"/>
    <col min="7926" max="7928" width="8.5546875" style="66" customWidth="1"/>
    <col min="7929" max="7929" width="13.88671875" style="66" bestFit="1" customWidth="1"/>
    <col min="7930" max="8177" width="11.44140625" style="66"/>
    <col min="8178" max="8178" width="7.6640625" style="66" bestFit="1" customWidth="1"/>
    <col min="8179" max="8179" width="11.44140625" style="66"/>
    <col min="8180" max="8180" width="6.5546875" style="66" bestFit="1" customWidth="1"/>
    <col min="8181" max="8181" width="4.88671875" style="66" bestFit="1" customWidth="1"/>
    <col min="8182" max="8184" width="8.5546875" style="66" customWidth="1"/>
    <col min="8185" max="8185" width="13.88671875" style="66" bestFit="1" customWidth="1"/>
    <col min="8186" max="8433" width="11.44140625" style="66"/>
    <col min="8434" max="8434" width="7.6640625" style="66" bestFit="1" customWidth="1"/>
    <col min="8435" max="8435" width="11.44140625" style="66"/>
    <col min="8436" max="8436" width="6.5546875" style="66" bestFit="1" customWidth="1"/>
    <col min="8437" max="8437" width="4.88671875" style="66" bestFit="1" customWidth="1"/>
    <col min="8438" max="8440" width="8.5546875" style="66" customWidth="1"/>
    <col min="8441" max="8441" width="13.88671875" style="66" bestFit="1" customWidth="1"/>
    <col min="8442" max="8689" width="11.44140625" style="66"/>
    <col min="8690" max="8690" width="7.6640625" style="66" bestFit="1" customWidth="1"/>
    <col min="8691" max="8691" width="11.44140625" style="66"/>
    <col min="8692" max="8692" width="6.5546875" style="66" bestFit="1" customWidth="1"/>
    <col min="8693" max="8693" width="4.88671875" style="66" bestFit="1" customWidth="1"/>
    <col min="8694" max="8696" width="8.5546875" style="66" customWidth="1"/>
    <col min="8697" max="8697" width="13.88671875" style="66" bestFit="1" customWidth="1"/>
    <col min="8698" max="8945" width="11.44140625" style="66"/>
    <col min="8946" max="8946" width="7.6640625" style="66" bestFit="1" customWidth="1"/>
    <col min="8947" max="8947" width="11.44140625" style="66"/>
    <col min="8948" max="8948" width="6.5546875" style="66" bestFit="1" customWidth="1"/>
    <col min="8949" max="8949" width="4.88671875" style="66" bestFit="1" customWidth="1"/>
    <col min="8950" max="8952" width="8.5546875" style="66" customWidth="1"/>
    <col min="8953" max="8953" width="13.88671875" style="66" bestFit="1" customWidth="1"/>
    <col min="8954" max="9201" width="11.44140625" style="66"/>
    <col min="9202" max="9202" width="7.6640625" style="66" bestFit="1" customWidth="1"/>
    <col min="9203" max="9203" width="11.44140625" style="66"/>
    <col min="9204" max="9204" width="6.5546875" style="66" bestFit="1" customWidth="1"/>
    <col min="9205" max="9205" width="4.88671875" style="66" bestFit="1" customWidth="1"/>
    <col min="9206" max="9208" width="8.5546875" style="66" customWidth="1"/>
    <col min="9209" max="9209" width="13.88671875" style="66" bestFit="1" customWidth="1"/>
    <col min="9210" max="9457" width="11.44140625" style="66"/>
    <col min="9458" max="9458" width="7.6640625" style="66" bestFit="1" customWidth="1"/>
    <col min="9459" max="9459" width="11.44140625" style="66"/>
    <col min="9460" max="9460" width="6.5546875" style="66" bestFit="1" customWidth="1"/>
    <col min="9461" max="9461" width="4.88671875" style="66" bestFit="1" customWidth="1"/>
    <col min="9462" max="9464" width="8.5546875" style="66" customWidth="1"/>
    <col min="9465" max="9465" width="13.88671875" style="66" bestFit="1" customWidth="1"/>
    <col min="9466" max="9713" width="11.44140625" style="66"/>
    <col min="9714" max="9714" width="7.6640625" style="66" bestFit="1" customWidth="1"/>
    <col min="9715" max="9715" width="11.44140625" style="66"/>
    <col min="9716" max="9716" width="6.5546875" style="66" bestFit="1" customWidth="1"/>
    <col min="9717" max="9717" width="4.88671875" style="66" bestFit="1" customWidth="1"/>
    <col min="9718" max="9720" width="8.5546875" style="66" customWidth="1"/>
    <col min="9721" max="9721" width="13.88671875" style="66" bestFit="1" customWidth="1"/>
    <col min="9722" max="9969" width="11.44140625" style="66"/>
    <col min="9970" max="9970" width="7.6640625" style="66" bestFit="1" customWidth="1"/>
    <col min="9971" max="9971" width="11.44140625" style="66"/>
    <col min="9972" max="9972" width="6.5546875" style="66" bestFit="1" customWidth="1"/>
    <col min="9973" max="9973" width="4.88671875" style="66" bestFit="1" customWidth="1"/>
    <col min="9974" max="9976" width="8.5546875" style="66" customWidth="1"/>
    <col min="9977" max="9977" width="13.88671875" style="66" bestFit="1" customWidth="1"/>
    <col min="9978" max="10225" width="11.44140625" style="66"/>
    <col min="10226" max="10226" width="7.6640625" style="66" bestFit="1" customWidth="1"/>
    <col min="10227" max="10227" width="11.44140625" style="66"/>
    <col min="10228" max="10228" width="6.5546875" style="66" bestFit="1" customWidth="1"/>
    <col min="10229" max="10229" width="4.88671875" style="66" bestFit="1" customWidth="1"/>
    <col min="10230" max="10232" width="8.5546875" style="66" customWidth="1"/>
    <col min="10233" max="10233" width="13.88671875" style="66" bestFit="1" customWidth="1"/>
    <col min="10234" max="10481" width="11.44140625" style="66"/>
    <col min="10482" max="10482" width="7.6640625" style="66" bestFit="1" customWidth="1"/>
    <col min="10483" max="10483" width="11.44140625" style="66"/>
    <col min="10484" max="10484" width="6.5546875" style="66" bestFit="1" customWidth="1"/>
    <col min="10485" max="10485" width="4.88671875" style="66" bestFit="1" customWidth="1"/>
    <col min="10486" max="10488" width="8.5546875" style="66" customWidth="1"/>
    <col min="10489" max="10489" width="13.88671875" style="66" bestFit="1" customWidth="1"/>
    <col min="10490" max="10737" width="11.44140625" style="66"/>
    <col min="10738" max="10738" width="7.6640625" style="66" bestFit="1" customWidth="1"/>
    <col min="10739" max="10739" width="11.44140625" style="66"/>
    <col min="10740" max="10740" width="6.5546875" style="66" bestFit="1" customWidth="1"/>
    <col min="10741" max="10741" width="4.88671875" style="66" bestFit="1" customWidth="1"/>
    <col min="10742" max="10744" width="8.5546875" style="66" customWidth="1"/>
    <col min="10745" max="10745" width="13.88671875" style="66" bestFit="1" customWidth="1"/>
    <col min="10746" max="10993" width="11.44140625" style="66"/>
    <col min="10994" max="10994" width="7.6640625" style="66" bestFit="1" customWidth="1"/>
    <col min="10995" max="10995" width="11.44140625" style="66"/>
    <col min="10996" max="10996" width="6.5546875" style="66" bestFit="1" customWidth="1"/>
    <col min="10997" max="10997" width="4.88671875" style="66" bestFit="1" customWidth="1"/>
    <col min="10998" max="11000" width="8.5546875" style="66" customWidth="1"/>
    <col min="11001" max="11001" width="13.88671875" style="66" bestFit="1" customWidth="1"/>
    <col min="11002" max="11249" width="11.44140625" style="66"/>
    <col min="11250" max="11250" width="7.6640625" style="66" bestFit="1" customWidth="1"/>
    <col min="11251" max="11251" width="11.44140625" style="66"/>
    <col min="11252" max="11252" width="6.5546875" style="66" bestFit="1" customWidth="1"/>
    <col min="11253" max="11253" width="4.88671875" style="66" bestFit="1" customWidth="1"/>
    <col min="11254" max="11256" width="8.5546875" style="66" customWidth="1"/>
    <col min="11257" max="11257" width="13.88671875" style="66" bestFit="1" customWidth="1"/>
    <col min="11258" max="11505" width="11.44140625" style="66"/>
    <col min="11506" max="11506" width="7.6640625" style="66" bestFit="1" customWidth="1"/>
    <col min="11507" max="11507" width="11.44140625" style="66"/>
    <col min="11508" max="11508" width="6.5546875" style="66" bestFit="1" customWidth="1"/>
    <col min="11509" max="11509" width="4.88671875" style="66" bestFit="1" customWidth="1"/>
    <col min="11510" max="11512" width="8.5546875" style="66" customWidth="1"/>
    <col min="11513" max="11513" width="13.88671875" style="66" bestFit="1" customWidth="1"/>
    <col min="11514" max="11761" width="11.44140625" style="66"/>
    <col min="11762" max="11762" width="7.6640625" style="66" bestFit="1" customWidth="1"/>
    <col min="11763" max="11763" width="11.44140625" style="66"/>
    <col min="11764" max="11764" width="6.5546875" style="66" bestFit="1" customWidth="1"/>
    <col min="11765" max="11765" width="4.88671875" style="66" bestFit="1" customWidth="1"/>
    <col min="11766" max="11768" width="8.5546875" style="66" customWidth="1"/>
    <col min="11769" max="11769" width="13.88671875" style="66" bestFit="1" customWidth="1"/>
    <col min="11770" max="12017" width="11.44140625" style="66"/>
    <col min="12018" max="12018" width="7.6640625" style="66" bestFit="1" customWidth="1"/>
    <col min="12019" max="12019" width="11.44140625" style="66"/>
    <col min="12020" max="12020" width="6.5546875" style="66" bestFit="1" customWidth="1"/>
    <col min="12021" max="12021" width="4.88671875" style="66" bestFit="1" customWidth="1"/>
    <col min="12022" max="12024" width="8.5546875" style="66" customWidth="1"/>
    <col min="12025" max="12025" width="13.88671875" style="66" bestFit="1" customWidth="1"/>
    <col min="12026" max="12273" width="11.44140625" style="66"/>
    <col min="12274" max="12274" width="7.6640625" style="66" bestFit="1" customWidth="1"/>
    <col min="12275" max="12275" width="11.44140625" style="66"/>
    <col min="12276" max="12276" width="6.5546875" style="66" bestFit="1" customWidth="1"/>
    <col min="12277" max="12277" width="4.88671875" style="66" bestFit="1" customWidth="1"/>
    <col min="12278" max="12280" width="8.5546875" style="66" customWidth="1"/>
    <col min="12281" max="12281" width="13.88671875" style="66" bestFit="1" customWidth="1"/>
    <col min="12282" max="12529" width="11.44140625" style="66"/>
    <col min="12530" max="12530" width="7.6640625" style="66" bestFit="1" customWidth="1"/>
    <col min="12531" max="12531" width="11.44140625" style="66"/>
    <col min="12532" max="12532" width="6.5546875" style="66" bestFit="1" customWidth="1"/>
    <col min="12533" max="12533" width="4.88671875" style="66" bestFit="1" customWidth="1"/>
    <col min="12534" max="12536" width="8.5546875" style="66" customWidth="1"/>
    <col min="12537" max="12537" width="13.88671875" style="66" bestFit="1" customWidth="1"/>
    <col min="12538" max="12785" width="11.44140625" style="66"/>
    <col min="12786" max="12786" width="7.6640625" style="66" bestFit="1" customWidth="1"/>
    <col min="12787" max="12787" width="11.44140625" style="66"/>
    <col min="12788" max="12788" width="6.5546875" style="66" bestFit="1" customWidth="1"/>
    <col min="12789" max="12789" width="4.88671875" style="66" bestFit="1" customWidth="1"/>
    <col min="12790" max="12792" width="8.5546875" style="66" customWidth="1"/>
    <col min="12793" max="12793" width="13.88671875" style="66" bestFit="1" customWidth="1"/>
    <col min="12794" max="13041" width="11.44140625" style="66"/>
    <col min="13042" max="13042" width="7.6640625" style="66" bestFit="1" customWidth="1"/>
    <col min="13043" max="13043" width="11.44140625" style="66"/>
    <col min="13044" max="13044" width="6.5546875" style="66" bestFit="1" customWidth="1"/>
    <col min="13045" max="13045" width="4.88671875" style="66" bestFit="1" customWidth="1"/>
    <col min="13046" max="13048" width="8.5546875" style="66" customWidth="1"/>
    <col min="13049" max="13049" width="13.88671875" style="66" bestFit="1" customWidth="1"/>
    <col min="13050" max="13297" width="11.44140625" style="66"/>
    <col min="13298" max="13298" width="7.6640625" style="66" bestFit="1" customWidth="1"/>
    <col min="13299" max="13299" width="11.44140625" style="66"/>
    <col min="13300" max="13300" width="6.5546875" style="66" bestFit="1" customWidth="1"/>
    <col min="13301" max="13301" width="4.88671875" style="66" bestFit="1" customWidth="1"/>
    <col min="13302" max="13304" width="8.5546875" style="66" customWidth="1"/>
    <col min="13305" max="13305" width="13.88671875" style="66" bestFit="1" customWidth="1"/>
    <col min="13306" max="13553" width="11.44140625" style="66"/>
    <col min="13554" max="13554" width="7.6640625" style="66" bestFit="1" customWidth="1"/>
    <col min="13555" max="13555" width="11.44140625" style="66"/>
    <col min="13556" max="13556" width="6.5546875" style="66" bestFit="1" customWidth="1"/>
    <col min="13557" max="13557" width="4.88671875" style="66" bestFit="1" customWidth="1"/>
    <col min="13558" max="13560" width="8.5546875" style="66" customWidth="1"/>
    <col min="13561" max="13561" width="13.88671875" style="66" bestFit="1" customWidth="1"/>
    <col min="13562" max="13809" width="11.44140625" style="66"/>
    <col min="13810" max="13810" width="7.6640625" style="66" bestFit="1" customWidth="1"/>
    <col min="13811" max="13811" width="11.44140625" style="66"/>
    <col min="13812" max="13812" width="6.5546875" style="66" bestFit="1" customWidth="1"/>
    <col min="13813" max="13813" width="4.88671875" style="66" bestFit="1" customWidth="1"/>
    <col min="13814" max="13816" width="8.5546875" style="66" customWidth="1"/>
    <col min="13817" max="13817" width="13.88671875" style="66" bestFit="1" customWidth="1"/>
    <col min="13818" max="14065" width="11.44140625" style="66"/>
    <col min="14066" max="14066" width="7.6640625" style="66" bestFit="1" customWidth="1"/>
    <col min="14067" max="14067" width="11.44140625" style="66"/>
    <col min="14068" max="14068" width="6.5546875" style="66" bestFit="1" customWidth="1"/>
    <col min="14069" max="14069" width="4.88671875" style="66" bestFit="1" customWidth="1"/>
    <col min="14070" max="14072" width="8.5546875" style="66" customWidth="1"/>
    <col min="14073" max="14073" width="13.88671875" style="66" bestFit="1" customWidth="1"/>
    <col min="14074" max="14321" width="11.44140625" style="66"/>
    <col min="14322" max="14322" width="7.6640625" style="66" bestFit="1" customWidth="1"/>
    <col min="14323" max="14323" width="11.44140625" style="66"/>
    <col min="14324" max="14324" width="6.5546875" style="66" bestFit="1" customWidth="1"/>
    <col min="14325" max="14325" width="4.88671875" style="66" bestFit="1" customWidth="1"/>
    <col min="14326" max="14328" width="8.5546875" style="66" customWidth="1"/>
    <col min="14329" max="14329" width="13.88671875" style="66" bestFit="1" customWidth="1"/>
    <col min="14330" max="14577" width="11.44140625" style="66"/>
    <col min="14578" max="14578" width="7.6640625" style="66" bestFit="1" customWidth="1"/>
    <col min="14579" max="14579" width="11.44140625" style="66"/>
    <col min="14580" max="14580" width="6.5546875" style="66" bestFit="1" customWidth="1"/>
    <col min="14581" max="14581" width="4.88671875" style="66" bestFit="1" customWidth="1"/>
    <col min="14582" max="14584" width="8.5546875" style="66" customWidth="1"/>
    <col min="14585" max="14585" width="13.88671875" style="66" bestFit="1" customWidth="1"/>
    <col min="14586" max="14833" width="11.44140625" style="66"/>
    <col min="14834" max="14834" width="7.6640625" style="66" bestFit="1" customWidth="1"/>
    <col min="14835" max="14835" width="11.44140625" style="66"/>
    <col min="14836" max="14836" width="6.5546875" style="66" bestFit="1" customWidth="1"/>
    <col min="14837" max="14837" width="4.88671875" style="66" bestFit="1" customWidth="1"/>
    <col min="14838" max="14840" width="8.5546875" style="66" customWidth="1"/>
    <col min="14841" max="14841" width="13.88671875" style="66" bestFit="1" customWidth="1"/>
    <col min="14842" max="15089" width="11.44140625" style="66"/>
    <col min="15090" max="15090" width="7.6640625" style="66" bestFit="1" customWidth="1"/>
    <col min="15091" max="15091" width="11.44140625" style="66"/>
    <col min="15092" max="15092" width="6.5546875" style="66" bestFit="1" customWidth="1"/>
    <col min="15093" max="15093" width="4.88671875" style="66" bestFit="1" customWidth="1"/>
    <col min="15094" max="15096" width="8.5546875" style="66" customWidth="1"/>
    <col min="15097" max="15097" width="13.88671875" style="66" bestFit="1" customWidth="1"/>
    <col min="15098" max="15345" width="11.44140625" style="66"/>
    <col min="15346" max="15346" width="7.6640625" style="66" bestFit="1" customWidth="1"/>
    <col min="15347" max="15347" width="11.44140625" style="66"/>
    <col min="15348" max="15348" width="6.5546875" style="66" bestFit="1" customWidth="1"/>
    <col min="15349" max="15349" width="4.88671875" style="66" bestFit="1" customWidth="1"/>
    <col min="15350" max="15352" width="8.5546875" style="66" customWidth="1"/>
    <col min="15353" max="15353" width="13.88671875" style="66" bestFit="1" customWidth="1"/>
    <col min="15354" max="15601" width="11.44140625" style="66"/>
    <col min="15602" max="15602" width="7.6640625" style="66" bestFit="1" customWidth="1"/>
    <col min="15603" max="15603" width="11.44140625" style="66"/>
    <col min="15604" max="15604" width="6.5546875" style="66" bestFit="1" customWidth="1"/>
    <col min="15605" max="15605" width="4.88671875" style="66" bestFit="1" customWidth="1"/>
    <col min="15606" max="15608" width="8.5546875" style="66" customWidth="1"/>
    <col min="15609" max="15609" width="13.88671875" style="66" bestFit="1" customWidth="1"/>
    <col min="15610" max="15857" width="11.44140625" style="66"/>
    <col min="15858" max="15858" width="7.6640625" style="66" bestFit="1" customWidth="1"/>
    <col min="15859" max="15859" width="11.44140625" style="66"/>
    <col min="15860" max="15860" width="6.5546875" style="66" bestFit="1" customWidth="1"/>
    <col min="15861" max="15861" width="4.88671875" style="66" bestFit="1" customWidth="1"/>
    <col min="15862" max="15864" width="8.5546875" style="66" customWidth="1"/>
    <col min="15865" max="15865" width="13.88671875" style="66" bestFit="1" customWidth="1"/>
    <col min="15866" max="16113" width="11.44140625" style="66"/>
    <col min="16114" max="16114" width="7.6640625" style="66" bestFit="1" customWidth="1"/>
    <col min="16115" max="16115" width="11.44140625" style="66"/>
    <col min="16116" max="16116" width="6.5546875" style="66" bestFit="1" customWidth="1"/>
    <col min="16117" max="16117" width="4.88671875" style="66" bestFit="1" customWidth="1"/>
    <col min="16118" max="16120" width="8.5546875" style="66" customWidth="1"/>
    <col min="16121" max="16121" width="13.88671875" style="66" bestFit="1" customWidth="1"/>
    <col min="16122" max="16384" width="11.44140625" style="66"/>
  </cols>
  <sheetData>
    <row r="2" spans="2:11" x14ac:dyDescent="0.2">
      <c r="B2" s="45"/>
      <c r="C2" s="45"/>
      <c r="D2" s="45"/>
      <c r="E2" s="45"/>
      <c r="F2" s="45"/>
      <c r="G2" s="45"/>
      <c r="H2" s="45"/>
      <c r="I2" s="45"/>
    </row>
    <row r="3" spans="2:11" ht="13.2" x14ac:dyDescent="0.25">
      <c r="B3" s="25" t="s">
        <v>43</v>
      </c>
      <c r="C3" s="45"/>
      <c r="D3" s="45"/>
      <c r="E3" s="45"/>
      <c r="F3" s="45"/>
      <c r="G3" s="45"/>
      <c r="H3" s="45"/>
      <c r="I3" s="45"/>
    </row>
    <row r="4" spans="2:11" ht="13.8" x14ac:dyDescent="0.2">
      <c r="B4" s="46" t="s">
        <v>44</v>
      </c>
      <c r="C4" s="46" t="s">
        <v>3</v>
      </c>
      <c r="D4" s="46" t="s">
        <v>45</v>
      </c>
      <c r="E4" s="46" t="s">
        <v>46</v>
      </c>
      <c r="F4" s="46" t="s">
        <v>47</v>
      </c>
      <c r="G4" s="46" t="s">
        <v>73</v>
      </c>
      <c r="H4" s="46" t="s">
        <v>74</v>
      </c>
      <c r="I4" s="46" t="s">
        <v>72</v>
      </c>
      <c r="J4" s="46" t="s">
        <v>49</v>
      </c>
      <c r="K4" s="46" t="s">
        <v>50</v>
      </c>
    </row>
    <row r="5" spans="2:11" x14ac:dyDescent="0.2">
      <c r="B5" s="45"/>
      <c r="C5" s="45"/>
      <c r="D5" s="45" t="s">
        <v>51</v>
      </c>
      <c r="E5" s="45"/>
      <c r="F5" s="45"/>
      <c r="G5" s="45">
        <v>0</v>
      </c>
      <c r="H5" s="45">
        <v>0</v>
      </c>
      <c r="I5" s="48">
        <f>Data!J34*0.05*0.7</f>
        <v>866.13663463242108</v>
      </c>
      <c r="J5" s="45" t="s">
        <v>89</v>
      </c>
      <c r="K5" s="45"/>
    </row>
    <row r="6" spans="2:11" x14ac:dyDescent="0.2">
      <c r="B6" s="45"/>
      <c r="C6" s="45"/>
      <c r="D6" s="45" t="s">
        <v>51</v>
      </c>
      <c r="E6" s="45"/>
      <c r="F6" s="45"/>
      <c r="G6" s="45">
        <v>0</v>
      </c>
      <c r="H6" s="45">
        <v>0</v>
      </c>
      <c r="I6" s="48">
        <v>0</v>
      </c>
      <c r="J6" s="45" t="s">
        <v>90</v>
      </c>
      <c r="K6" s="45"/>
    </row>
    <row r="7" spans="2:11" x14ac:dyDescent="0.2">
      <c r="B7" s="45"/>
      <c r="C7" s="45"/>
      <c r="D7" s="45" t="s">
        <v>51</v>
      </c>
      <c r="E7" s="45"/>
      <c r="F7" s="45"/>
      <c r="G7" s="45">
        <v>0</v>
      </c>
      <c r="H7" s="45">
        <v>0</v>
      </c>
      <c r="I7" s="48">
        <f>Data!J34*0.95*0.7</f>
        <v>16456.596058015999</v>
      </c>
      <c r="J7" s="45" t="s">
        <v>91</v>
      </c>
      <c r="K7" s="45"/>
    </row>
    <row r="8" spans="2:11" x14ac:dyDescent="0.2">
      <c r="B8" s="45"/>
      <c r="C8" s="45"/>
      <c r="D8" s="45" t="s">
        <v>51</v>
      </c>
      <c r="E8" s="45"/>
      <c r="F8" s="45"/>
      <c r="G8" s="45">
        <v>0</v>
      </c>
      <c r="H8" s="45">
        <v>0</v>
      </c>
      <c r="I8" s="48">
        <v>0</v>
      </c>
      <c r="J8" s="45" t="s">
        <v>75</v>
      </c>
      <c r="K8" s="45"/>
    </row>
    <row r="9" spans="2:11" x14ac:dyDescent="0.2">
      <c r="B9" s="45"/>
      <c r="C9" s="45"/>
      <c r="D9" s="45" t="s">
        <v>51</v>
      </c>
      <c r="E9" s="45"/>
      <c r="F9" s="45"/>
      <c r="G9" s="45">
        <v>0</v>
      </c>
      <c r="H9" s="45">
        <v>0</v>
      </c>
      <c r="I9" s="48">
        <f>Data!J34*0.05*0.3</f>
        <v>371.20141484246619</v>
      </c>
      <c r="J9" s="45" t="s">
        <v>92</v>
      </c>
      <c r="K9" s="45"/>
    </row>
    <row r="10" spans="2:11" x14ac:dyDescent="0.2">
      <c r="B10" s="45"/>
      <c r="C10" s="45"/>
      <c r="D10" s="45" t="s">
        <v>51</v>
      </c>
      <c r="E10" s="45"/>
      <c r="F10" s="45"/>
      <c r="G10" s="45">
        <v>0</v>
      </c>
      <c r="H10" s="45">
        <v>0</v>
      </c>
      <c r="I10" s="48">
        <v>0</v>
      </c>
      <c r="J10" s="45" t="s">
        <v>93</v>
      </c>
      <c r="K10" s="45"/>
    </row>
    <row r="11" spans="2:11" x14ac:dyDescent="0.2">
      <c r="B11" s="45"/>
      <c r="C11" s="45"/>
      <c r="D11" s="45" t="s">
        <v>51</v>
      </c>
      <c r="E11" s="45"/>
      <c r="F11" s="45"/>
      <c r="G11" s="45">
        <v>0</v>
      </c>
      <c r="H11" s="45">
        <v>0</v>
      </c>
      <c r="I11" s="48">
        <f>Data!J34*0.95*0.3</f>
        <v>7052.826882006857</v>
      </c>
      <c r="J11" s="45" t="s">
        <v>94</v>
      </c>
      <c r="K11" s="45"/>
    </row>
    <row r="12" spans="2:11" x14ac:dyDescent="0.2">
      <c r="B12" s="45"/>
      <c r="C12" s="45"/>
      <c r="D12" s="45" t="s">
        <v>51</v>
      </c>
      <c r="E12" s="45"/>
      <c r="F12" s="45"/>
      <c r="G12" s="45">
        <v>0</v>
      </c>
      <c r="H12" s="45">
        <v>0</v>
      </c>
      <c r="I12" s="45">
        <v>0</v>
      </c>
      <c r="J12" s="45" t="s">
        <v>76</v>
      </c>
      <c r="K12" s="45"/>
    </row>
    <row r="13" spans="2:11" x14ac:dyDescent="0.2">
      <c r="B13" s="45"/>
      <c r="C13" s="45"/>
      <c r="D13" s="45" t="s">
        <v>52</v>
      </c>
      <c r="E13" s="45">
        <v>2017</v>
      </c>
      <c r="F13" s="45"/>
      <c r="G13" s="45">
        <v>0.9</v>
      </c>
      <c r="H13" s="45">
        <v>0.9</v>
      </c>
      <c r="I13" s="45">
        <v>0.9</v>
      </c>
      <c r="J13" s="45" t="s">
        <v>89</v>
      </c>
      <c r="K13" s="45" t="str">
        <f>MID(J13,4,9)</f>
        <v>RSVCOABIC</v>
      </c>
    </row>
    <row r="14" spans="2:11" x14ac:dyDescent="0.2">
      <c r="B14" s="45"/>
      <c r="C14" s="45"/>
      <c r="D14" s="45" t="s">
        <v>52</v>
      </c>
      <c r="E14" s="45">
        <v>2017</v>
      </c>
      <c r="F14" s="45"/>
      <c r="G14" s="45">
        <v>0.9</v>
      </c>
      <c r="H14" s="45">
        <v>0.9</v>
      </c>
      <c r="I14" s="45">
        <v>0.9</v>
      </c>
      <c r="J14" s="45" t="s">
        <v>90</v>
      </c>
      <c r="K14" s="45" t="str">
        <f>MID(J14,4,9)</f>
        <v>RSVCOASUB</v>
      </c>
    </row>
    <row r="15" spans="2:11" x14ac:dyDescent="0.2">
      <c r="B15" s="45"/>
      <c r="C15" s="45"/>
      <c r="D15" s="45" t="s">
        <v>52</v>
      </c>
      <c r="E15" s="45">
        <v>2017</v>
      </c>
      <c r="F15" s="45"/>
      <c r="G15" s="45">
        <v>0.5</v>
      </c>
      <c r="H15" s="45">
        <v>0.5</v>
      </c>
      <c r="I15" s="45">
        <v>0.5</v>
      </c>
      <c r="J15" s="45" t="s">
        <v>91</v>
      </c>
      <c r="K15" s="45" t="str">
        <f>MID(J15,4,9)</f>
        <v>RSVCOABCO</v>
      </c>
    </row>
    <row r="16" spans="2:11" x14ac:dyDescent="0.2">
      <c r="B16" s="45"/>
      <c r="C16" s="45"/>
      <c r="D16" s="45" t="s">
        <v>52</v>
      </c>
      <c r="E16" s="45">
        <v>2017</v>
      </c>
      <c r="F16" s="45"/>
      <c r="G16" s="45">
        <v>0.5</v>
      </c>
      <c r="H16" s="45">
        <v>0.5</v>
      </c>
      <c r="I16" s="45">
        <v>0.5</v>
      </c>
      <c r="J16" s="45" t="s">
        <v>75</v>
      </c>
      <c r="K16" s="45" t="str">
        <f t="shared" ref="K16:K28" si="0">MID(J16,4,6)</f>
        <v>COACOK</v>
      </c>
    </row>
    <row r="17" spans="2:11" x14ac:dyDescent="0.2">
      <c r="B17" s="45"/>
      <c r="C17" s="45"/>
      <c r="D17" s="45" t="s">
        <v>52</v>
      </c>
      <c r="E17" s="45">
        <v>2017</v>
      </c>
      <c r="F17" s="45"/>
      <c r="G17" s="45">
        <v>1.5</v>
      </c>
      <c r="H17" s="45">
        <v>1.5</v>
      </c>
      <c r="I17" s="45">
        <v>1.5</v>
      </c>
      <c r="J17" s="45" t="s">
        <v>92</v>
      </c>
      <c r="K17" s="45" t="str">
        <f>MID(J17,4,9)</f>
        <v>RSVCOABIC</v>
      </c>
    </row>
    <row r="18" spans="2:11" x14ac:dyDescent="0.2">
      <c r="B18" s="45"/>
      <c r="C18" s="45"/>
      <c r="D18" s="45" t="s">
        <v>52</v>
      </c>
      <c r="E18" s="45">
        <v>2017</v>
      </c>
      <c r="F18" s="45"/>
      <c r="G18" s="45">
        <v>1.5</v>
      </c>
      <c r="H18" s="45">
        <v>1.5</v>
      </c>
      <c r="I18" s="45">
        <v>1.5</v>
      </c>
      <c r="J18" s="45" t="s">
        <v>93</v>
      </c>
      <c r="K18" s="45" t="str">
        <f>MID(J18,4,9)</f>
        <v>RSVCOASUB</v>
      </c>
    </row>
    <row r="19" spans="2:11" x14ac:dyDescent="0.2">
      <c r="B19" s="45"/>
      <c r="C19" s="45"/>
      <c r="D19" s="45" t="s">
        <v>52</v>
      </c>
      <c r="E19" s="45">
        <v>2017</v>
      </c>
      <c r="F19" s="45"/>
      <c r="G19" s="45">
        <v>2</v>
      </c>
      <c r="H19" s="45">
        <v>2</v>
      </c>
      <c r="I19" s="45">
        <v>2</v>
      </c>
      <c r="J19" s="45" t="s">
        <v>94</v>
      </c>
      <c r="K19" s="45" t="str">
        <f>MID(J19,4,9)</f>
        <v>RSVCOABCO</v>
      </c>
    </row>
    <row r="20" spans="2:11" x14ac:dyDescent="0.2">
      <c r="B20" s="45"/>
      <c r="C20" s="45"/>
      <c r="D20" s="45" t="s">
        <v>52</v>
      </c>
      <c r="E20" s="45">
        <v>2017</v>
      </c>
      <c r="F20" s="45"/>
      <c r="G20" s="45">
        <v>2</v>
      </c>
      <c r="H20" s="45">
        <v>2</v>
      </c>
      <c r="I20" s="45">
        <v>2</v>
      </c>
      <c r="J20" s="45" t="s">
        <v>76</v>
      </c>
      <c r="K20" s="45" t="str">
        <f t="shared" si="0"/>
        <v>COACOK</v>
      </c>
    </row>
    <row r="21" spans="2:11" x14ac:dyDescent="0.2">
      <c r="B21" s="45"/>
      <c r="C21" s="45"/>
      <c r="D21" s="45" t="s">
        <v>52</v>
      </c>
      <c r="E21" s="45">
        <v>2050</v>
      </c>
      <c r="F21" s="45"/>
      <c r="G21" s="45">
        <v>1.08</v>
      </c>
      <c r="H21" s="45">
        <v>1.08</v>
      </c>
      <c r="I21" s="45">
        <v>1.08</v>
      </c>
      <c r="J21" s="45" t="s">
        <v>89</v>
      </c>
      <c r="K21" s="45" t="str">
        <f>MID(J21,4,9)</f>
        <v>RSVCOABIC</v>
      </c>
    </row>
    <row r="22" spans="2:11" x14ac:dyDescent="0.2">
      <c r="B22" s="45"/>
      <c r="C22" s="45"/>
      <c r="D22" s="45" t="s">
        <v>52</v>
      </c>
      <c r="E22" s="45">
        <v>2050</v>
      </c>
      <c r="F22" s="45"/>
      <c r="G22" s="45">
        <v>1.08</v>
      </c>
      <c r="H22" s="45">
        <v>1.08</v>
      </c>
      <c r="I22" s="45">
        <v>1.08</v>
      </c>
      <c r="J22" s="45" t="s">
        <v>90</v>
      </c>
      <c r="K22" s="45" t="str">
        <f t="shared" ref="K22:K27" si="1">MID(J22,4,9)</f>
        <v>RSVCOASUB</v>
      </c>
    </row>
    <row r="23" spans="2:11" x14ac:dyDescent="0.2">
      <c r="B23" s="45"/>
      <c r="C23" s="45"/>
      <c r="D23" s="45" t="s">
        <v>52</v>
      </c>
      <c r="E23" s="45">
        <v>2050</v>
      </c>
      <c r="F23" s="45"/>
      <c r="G23" s="45">
        <v>0.6</v>
      </c>
      <c r="H23" s="45">
        <v>0.6</v>
      </c>
      <c r="I23" s="45">
        <v>0.6</v>
      </c>
      <c r="J23" s="45" t="s">
        <v>91</v>
      </c>
      <c r="K23" s="45" t="str">
        <f t="shared" si="1"/>
        <v>RSVCOABCO</v>
      </c>
    </row>
    <row r="24" spans="2:11" x14ac:dyDescent="0.2">
      <c r="B24" s="45"/>
      <c r="C24" s="45"/>
      <c r="D24" s="45" t="s">
        <v>52</v>
      </c>
      <c r="E24" s="45">
        <v>2050</v>
      </c>
      <c r="F24" s="45"/>
      <c r="G24" s="45">
        <v>0.6</v>
      </c>
      <c r="H24" s="45">
        <v>0.6</v>
      </c>
      <c r="I24" s="45">
        <v>0.6</v>
      </c>
      <c r="J24" s="45" t="s">
        <v>75</v>
      </c>
      <c r="K24" s="45" t="str">
        <f t="shared" si="0"/>
        <v>COACOK</v>
      </c>
    </row>
    <row r="25" spans="2:11" x14ac:dyDescent="0.2">
      <c r="B25" s="45"/>
      <c r="C25" s="45"/>
      <c r="D25" s="45" t="s">
        <v>52</v>
      </c>
      <c r="E25" s="45">
        <v>2050</v>
      </c>
      <c r="F25" s="45"/>
      <c r="G25" s="45">
        <v>1.7999999999999998</v>
      </c>
      <c r="H25" s="45">
        <v>1.7999999999999998</v>
      </c>
      <c r="I25" s="45">
        <v>1.7999999999999998</v>
      </c>
      <c r="J25" s="45" t="s">
        <v>92</v>
      </c>
      <c r="K25" s="45" t="str">
        <f t="shared" si="1"/>
        <v>RSVCOABIC</v>
      </c>
    </row>
    <row r="26" spans="2:11" x14ac:dyDescent="0.2">
      <c r="B26" s="45"/>
      <c r="C26" s="45"/>
      <c r="D26" s="45" t="s">
        <v>52</v>
      </c>
      <c r="E26" s="45">
        <v>2050</v>
      </c>
      <c r="F26" s="45"/>
      <c r="G26" s="45">
        <v>1.7999999999999998</v>
      </c>
      <c r="H26" s="45">
        <v>1.7999999999999998</v>
      </c>
      <c r="I26" s="45">
        <v>1.7999999999999998</v>
      </c>
      <c r="J26" s="45" t="s">
        <v>93</v>
      </c>
      <c r="K26" s="45" t="str">
        <f t="shared" si="1"/>
        <v>RSVCOASUB</v>
      </c>
    </row>
    <row r="27" spans="2:11" x14ac:dyDescent="0.2">
      <c r="B27" s="45"/>
      <c r="C27" s="45"/>
      <c r="D27" s="45" t="s">
        <v>52</v>
      </c>
      <c r="E27" s="45">
        <v>2050</v>
      </c>
      <c r="F27" s="45"/>
      <c r="G27" s="45">
        <v>2.4</v>
      </c>
      <c r="H27" s="45">
        <v>2.4</v>
      </c>
      <c r="I27" s="45">
        <v>2.4</v>
      </c>
      <c r="J27" s="45" t="s">
        <v>94</v>
      </c>
      <c r="K27" s="45" t="str">
        <f t="shared" si="1"/>
        <v>RSVCOABCO</v>
      </c>
    </row>
    <row r="28" spans="2:11" x14ac:dyDescent="0.2">
      <c r="B28" s="45"/>
      <c r="C28" s="45"/>
      <c r="D28" s="45" t="s">
        <v>52</v>
      </c>
      <c r="E28" s="45">
        <v>2050</v>
      </c>
      <c r="F28" s="45"/>
      <c r="G28" s="45">
        <v>2.4</v>
      </c>
      <c r="H28" s="45">
        <v>2.4</v>
      </c>
      <c r="I28" s="45">
        <v>2.4</v>
      </c>
      <c r="J28" s="45" t="s">
        <v>76</v>
      </c>
      <c r="K28" s="45" t="str">
        <f t="shared" si="0"/>
        <v>COACOK</v>
      </c>
    </row>
    <row r="29" spans="2:11" x14ac:dyDescent="0.2">
      <c r="B29" s="45"/>
      <c r="C29" s="45"/>
      <c r="D29" s="45"/>
      <c r="E29" s="45"/>
      <c r="F29" s="45"/>
      <c r="G29" s="45"/>
      <c r="H29" s="45"/>
      <c r="I29" s="45"/>
    </row>
    <row r="30" spans="2:11" x14ac:dyDescent="0.2">
      <c r="B30" s="45"/>
      <c r="C30" s="45"/>
      <c r="D30" s="45"/>
      <c r="E30" s="45"/>
      <c r="F30" s="45"/>
      <c r="G30" s="45"/>
      <c r="H30" s="45"/>
      <c r="I30"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413E1-8B4A-4F4A-9DCC-DF4B9CEF8E3C}">
  <dimension ref="B3:O24"/>
  <sheetViews>
    <sheetView zoomScale="85" zoomScaleNormal="85" workbookViewId="0">
      <selection sqref="A1:XFD1048576"/>
    </sheetView>
  </sheetViews>
  <sheetFormatPr defaultColWidth="11.44140625" defaultRowHeight="11.4" x14ac:dyDescent="0.2"/>
  <cols>
    <col min="1" max="9" width="11.44140625" style="66"/>
    <col min="10" max="10" width="16.44140625" style="66" bestFit="1" customWidth="1"/>
    <col min="11" max="11" width="12" style="66" bestFit="1" customWidth="1"/>
    <col min="12" max="241" width="11.44140625" style="66"/>
    <col min="242" max="242" width="7.6640625" style="66" bestFit="1" customWidth="1"/>
    <col min="243" max="243" width="9" style="66" bestFit="1" customWidth="1"/>
    <col min="244" max="244" width="5" style="66" bestFit="1" customWidth="1"/>
    <col min="245" max="245" width="6.109375" style="66" bestFit="1" customWidth="1"/>
    <col min="246" max="248" width="9.109375" style="66" customWidth="1"/>
    <col min="249" max="249" width="14.33203125" style="66" bestFit="1" customWidth="1"/>
    <col min="250" max="250" width="11.44140625" style="66"/>
    <col min="251" max="251" width="12.6640625" style="66" bestFit="1" customWidth="1"/>
    <col min="252" max="497" width="11.44140625" style="66"/>
    <col min="498" max="498" width="7.6640625" style="66" bestFit="1" customWidth="1"/>
    <col min="499" max="499" width="9" style="66" bestFit="1" customWidth="1"/>
    <col min="500" max="500" width="5" style="66" bestFit="1" customWidth="1"/>
    <col min="501" max="501" width="6.109375" style="66" bestFit="1" customWidth="1"/>
    <col min="502" max="504" width="9.109375" style="66" customWidth="1"/>
    <col min="505" max="505" width="14.33203125" style="66" bestFit="1" customWidth="1"/>
    <col min="506" max="506" width="11.44140625" style="66"/>
    <col min="507" max="507" width="12.6640625" style="66" bestFit="1" customWidth="1"/>
    <col min="508" max="753" width="11.44140625" style="66"/>
    <col min="754" max="754" width="7.6640625" style="66" bestFit="1" customWidth="1"/>
    <col min="755" max="755" width="9" style="66" bestFit="1" customWidth="1"/>
    <col min="756" max="756" width="5" style="66" bestFit="1" customWidth="1"/>
    <col min="757" max="757" width="6.109375" style="66" bestFit="1" customWidth="1"/>
    <col min="758" max="760" width="9.109375" style="66" customWidth="1"/>
    <col min="761" max="761" width="14.33203125" style="66" bestFit="1" customWidth="1"/>
    <col min="762" max="762" width="11.44140625" style="66"/>
    <col min="763" max="763" width="12.6640625" style="66" bestFit="1" customWidth="1"/>
    <col min="764" max="1009" width="11.44140625" style="66"/>
    <col min="1010" max="1010" width="7.6640625" style="66" bestFit="1" customWidth="1"/>
    <col min="1011" max="1011" width="9" style="66" bestFit="1" customWidth="1"/>
    <col min="1012" max="1012" width="5" style="66" bestFit="1" customWidth="1"/>
    <col min="1013" max="1013" width="6.109375" style="66" bestFit="1" customWidth="1"/>
    <col min="1014" max="1016" width="9.109375" style="66" customWidth="1"/>
    <col min="1017" max="1017" width="14.33203125" style="66" bestFit="1" customWidth="1"/>
    <col min="1018" max="1018" width="11.44140625" style="66"/>
    <col min="1019" max="1019" width="12.6640625" style="66" bestFit="1" customWidth="1"/>
    <col min="1020" max="1265" width="11.44140625" style="66"/>
    <col min="1266" max="1266" width="7.6640625" style="66" bestFit="1" customWidth="1"/>
    <col min="1267" max="1267" width="9" style="66" bestFit="1" customWidth="1"/>
    <col min="1268" max="1268" width="5" style="66" bestFit="1" customWidth="1"/>
    <col min="1269" max="1269" width="6.109375" style="66" bestFit="1" customWidth="1"/>
    <col min="1270" max="1272" width="9.109375" style="66" customWidth="1"/>
    <col min="1273" max="1273" width="14.33203125" style="66" bestFit="1" customWidth="1"/>
    <col min="1274" max="1274" width="11.44140625" style="66"/>
    <col min="1275" max="1275" width="12.6640625" style="66" bestFit="1" customWidth="1"/>
    <col min="1276" max="1521" width="11.44140625" style="66"/>
    <col min="1522" max="1522" width="7.6640625" style="66" bestFit="1" customWidth="1"/>
    <col min="1523" max="1523" width="9" style="66" bestFit="1" customWidth="1"/>
    <col min="1524" max="1524" width="5" style="66" bestFit="1" customWidth="1"/>
    <col min="1525" max="1525" width="6.109375" style="66" bestFit="1" customWidth="1"/>
    <col min="1526" max="1528" width="9.109375" style="66" customWidth="1"/>
    <col min="1529" max="1529" width="14.33203125" style="66" bestFit="1" customWidth="1"/>
    <col min="1530" max="1530" width="11.44140625" style="66"/>
    <col min="1531" max="1531" width="12.6640625" style="66" bestFit="1" customWidth="1"/>
    <col min="1532" max="1777" width="11.44140625" style="66"/>
    <col min="1778" max="1778" width="7.6640625" style="66" bestFit="1" customWidth="1"/>
    <col min="1779" max="1779" width="9" style="66" bestFit="1" customWidth="1"/>
    <col min="1780" max="1780" width="5" style="66" bestFit="1" customWidth="1"/>
    <col min="1781" max="1781" width="6.109375" style="66" bestFit="1" customWidth="1"/>
    <col min="1782" max="1784" width="9.109375" style="66" customWidth="1"/>
    <col min="1785" max="1785" width="14.33203125" style="66" bestFit="1" customWidth="1"/>
    <col min="1786" max="1786" width="11.44140625" style="66"/>
    <col min="1787" max="1787" width="12.6640625" style="66" bestFit="1" customWidth="1"/>
    <col min="1788" max="2033" width="11.44140625" style="66"/>
    <col min="2034" max="2034" width="7.6640625" style="66" bestFit="1" customWidth="1"/>
    <col min="2035" max="2035" width="9" style="66" bestFit="1" customWidth="1"/>
    <col min="2036" max="2036" width="5" style="66" bestFit="1" customWidth="1"/>
    <col min="2037" max="2037" width="6.109375" style="66" bestFit="1" customWidth="1"/>
    <col min="2038" max="2040" width="9.109375" style="66" customWidth="1"/>
    <col min="2041" max="2041" width="14.33203125" style="66" bestFit="1" customWidth="1"/>
    <col min="2042" max="2042" width="11.44140625" style="66"/>
    <col min="2043" max="2043" width="12.6640625" style="66" bestFit="1" customWidth="1"/>
    <col min="2044" max="2289" width="11.44140625" style="66"/>
    <col min="2290" max="2290" width="7.6640625" style="66" bestFit="1" customWidth="1"/>
    <col min="2291" max="2291" width="9" style="66" bestFit="1" customWidth="1"/>
    <col min="2292" max="2292" width="5" style="66" bestFit="1" customWidth="1"/>
    <col min="2293" max="2293" width="6.109375" style="66" bestFit="1" customWidth="1"/>
    <col min="2294" max="2296" width="9.109375" style="66" customWidth="1"/>
    <col min="2297" max="2297" width="14.33203125" style="66" bestFit="1" customWidth="1"/>
    <col min="2298" max="2298" width="11.44140625" style="66"/>
    <col min="2299" max="2299" width="12.6640625" style="66" bestFit="1" customWidth="1"/>
    <col min="2300" max="2545" width="11.44140625" style="66"/>
    <col min="2546" max="2546" width="7.6640625" style="66" bestFit="1" customWidth="1"/>
    <col min="2547" max="2547" width="9" style="66" bestFit="1" customWidth="1"/>
    <col min="2548" max="2548" width="5" style="66" bestFit="1" customWidth="1"/>
    <col min="2549" max="2549" width="6.109375" style="66" bestFit="1" customWidth="1"/>
    <col min="2550" max="2552" width="9.109375" style="66" customWidth="1"/>
    <col min="2553" max="2553" width="14.33203125" style="66" bestFit="1" customWidth="1"/>
    <col min="2554" max="2554" width="11.44140625" style="66"/>
    <col min="2555" max="2555" width="12.6640625" style="66" bestFit="1" customWidth="1"/>
    <col min="2556" max="2801" width="11.44140625" style="66"/>
    <col min="2802" max="2802" width="7.6640625" style="66" bestFit="1" customWidth="1"/>
    <col min="2803" max="2803" width="9" style="66" bestFit="1" customWidth="1"/>
    <col min="2804" max="2804" width="5" style="66" bestFit="1" customWidth="1"/>
    <col min="2805" max="2805" width="6.109375" style="66" bestFit="1" customWidth="1"/>
    <col min="2806" max="2808" width="9.109375" style="66" customWidth="1"/>
    <col min="2809" max="2809" width="14.33203125" style="66" bestFit="1" customWidth="1"/>
    <col min="2810" max="2810" width="11.44140625" style="66"/>
    <col min="2811" max="2811" width="12.6640625" style="66" bestFit="1" customWidth="1"/>
    <col min="2812" max="3057" width="11.44140625" style="66"/>
    <col min="3058" max="3058" width="7.6640625" style="66" bestFit="1" customWidth="1"/>
    <col min="3059" max="3059" width="9" style="66" bestFit="1" customWidth="1"/>
    <col min="3060" max="3060" width="5" style="66" bestFit="1" customWidth="1"/>
    <col min="3061" max="3061" width="6.109375" style="66" bestFit="1" customWidth="1"/>
    <col min="3062" max="3064" width="9.109375" style="66" customWidth="1"/>
    <col min="3065" max="3065" width="14.33203125" style="66" bestFit="1" customWidth="1"/>
    <col min="3066" max="3066" width="11.44140625" style="66"/>
    <col min="3067" max="3067" width="12.6640625" style="66" bestFit="1" customWidth="1"/>
    <col min="3068" max="3313" width="11.44140625" style="66"/>
    <col min="3314" max="3314" width="7.6640625" style="66" bestFit="1" customWidth="1"/>
    <col min="3315" max="3315" width="9" style="66" bestFit="1" customWidth="1"/>
    <col min="3316" max="3316" width="5" style="66" bestFit="1" customWidth="1"/>
    <col min="3317" max="3317" width="6.109375" style="66" bestFit="1" customWidth="1"/>
    <col min="3318" max="3320" width="9.109375" style="66" customWidth="1"/>
    <col min="3321" max="3321" width="14.33203125" style="66" bestFit="1" customWidth="1"/>
    <col min="3322" max="3322" width="11.44140625" style="66"/>
    <col min="3323" max="3323" width="12.6640625" style="66" bestFit="1" customWidth="1"/>
    <col min="3324" max="3569" width="11.44140625" style="66"/>
    <col min="3570" max="3570" width="7.6640625" style="66" bestFit="1" customWidth="1"/>
    <col min="3571" max="3571" width="9" style="66" bestFit="1" customWidth="1"/>
    <col min="3572" max="3572" width="5" style="66" bestFit="1" customWidth="1"/>
    <col min="3573" max="3573" width="6.109375" style="66" bestFit="1" customWidth="1"/>
    <col min="3574" max="3576" width="9.109375" style="66" customWidth="1"/>
    <col min="3577" max="3577" width="14.33203125" style="66" bestFit="1" customWidth="1"/>
    <col min="3578" max="3578" width="11.44140625" style="66"/>
    <col min="3579" max="3579" width="12.6640625" style="66" bestFit="1" customWidth="1"/>
    <col min="3580" max="3825" width="11.44140625" style="66"/>
    <col min="3826" max="3826" width="7.6640625" style="66" bestFit="1" customWidth="1"/>
    <col min="3827" max="3827" width="9" style="66" bestFit="1" customWidth="1"/>
    <col min="3828" max="3828" width="5" style="66" bestFit="1" customWidth="1"/>
    <col min="3829" max="3829" width="6.109375" style="66" bestFit="1" customWidth="1"/>
    <col min="3830" max="3832" width="9.109375" style="66" customWidth="1"/>
    <col min="3833" max="3833" width="14.33203125" style="66" bestFit="1" customWidth="1"/>
    <col min="3834" max="3834" width="11.44140625" style="66"/>
    <col min="3835" max="3835" width="12.6640625" style="66" bestFit="1" customWidth="1"/>
    <col min="3836" max="4081" width="11.44140625" style="66"/>
    <col min="4082" max="4082" width="7.6640625" style="66" bestFit="1" customWidth="1"/>
    <col min="4083" max="4083" width="9" style="66" bestFit="1" customWidth="1"/>
    <col min="4084" max="4084" width="5" style="66" bestFit="1" customWidth="1"/>
    <col min="4085" max="4085" width="6.109375" style="66" bestFit="1" customWidth="1"/>
    <col min="4086" max="4088" width="9.109375" style="66" customWidth="1"/>
    <col min="4089" max="4089" width="14.33203125" style="66" bestFit="1" customWidth="1"/>
    <col min="4090" max="4090" width="11.44140625" style="66"/>
    <col min="4091" max="4091" width="12.6640625" style="66" bestFit="1" customWidth="1"/>
    <col min="4092" max="4337" width="11.44140625" style="66"/>
    <col min="4338" max="4338" width="7.6640625" style="66" bestFit="1" customWidth="1"/>
    <col min="4339" max="4339" width="9" style="66" bestFit="1" customWidth="1"/>
    <col min="4340" max="4340" width="5" style="66" bestFit="1" customWidth="1"/>
    <col min="4341" max="4341" width="6.109375" style="66" bestFit="1" customWidth="1"/>
    <col min="4342" max="4344" width="9.109375" style="66" customWidth="1"/>
    <col min="4345" max="4345" width="14.33203125" style="66" bestFit="1" customWidth="1"/>
    <col min="4346" max="4346" width="11.44140625" style="66"/>
    <col min="4347" max="4347" width="12.6640625" style="66" bestFit="1" customWidth="1"/>
    <col min="4348" max="4593" width="11.44140625" style="66"/>
    <col min="4594" max="4594" width="7.6640625" style="66" bestFit="1" customWidth="1"/>
    <col min="4595" max="4595" width="9" style="66" bestFit="1" customWidth="1"/>
    <col min="4596" max="4596" width="5" style="66" bestFit="1" customWidth="1"/>
    <col min="4597" max="4597" width="6.109375" style="66" bestFit="1" customWidth="1"/>
    <col min="4598" max="4600" width="9.109375" style="66" customWidth="1"/>
    <col min="4601" max="4601" width="14.33203125" style="66" bestFit="1" customWidth="1"/>
    <col min="4602" max="4602" width="11.44140625" style="66"/>
    <col min="4603" max="4603" width="12.6640625" style="66" bestFit="1" customWidth="1"/>
    <col min="4604" max="4849" width="11.44140625" style="66"/>
    <col min="4850" max="4850" width="7.6640625" style="66" bestFit="1" customWidth="1"/>
    <col min="4851" max="4851" width="9" style="66" bestFit="1" customWidth="1"/>
    <col min="4852" max="4852" width="5" style="66" bestFit="1" customWidth="1"/>
    <col min="4853" max="4853" width="6.109375" style="66" bestFit="1" customWidth="1"/>
    <col min="4854" max="4856" width="9.109375" style="66" customWidth="1"/>
    <col min="4857" max="4857" width="14.33203125" style="66" bestFit="1" customWidth="1"/>
    <col min="4858" max="4858" width="11.44140625" style="66"/>
    <col min="4859" max="4859" width="12.6640625" style="66" bestFit="1" customWidth="1"/>
    <col min="4860" max="5105" width="11.44140625" style="66"/>
    <col min="5106" max="5106" width="7.6640625" style="66" bestFit="1" customWidth="1"/>
    <col min="5107" max="5107" width="9" style="66" bestFit="1" customWidth="1"/>
    <col min="5108" max="5108" width="5" style="66" bestFit="1" customWidth="1"/>
    <col min="5109" max="5109" width="6.109375" style="66" bestFit="1" customWidth="1"/>
    <col min="5110" max="5112" width="9.109375" style="66" customWidth="1"/>
    <col min="5113" max="5113" width="14.33203125" style="66" bestFit="1" customWidth="1"/>
    <col min="5114" max="5114" width="11.44140625" style="66"/>
    <col min="5115" max="5115" width="12.6640625" style="66" bestFit="1" customWidth="1"/>
    <col min="5116" max="5361" width="11.44140625" style="66"/>
    <col min="5362" max="5362" width="7.6640625" style="66" bestFit="1" customWidth="1"/>
    <col min="5363" max="5363" width="9" style="66" bestFit="1" customWidth="1"/>
    <col min="5364" max="5364" width="5" style="66" bestFit="1" customWidth="1"/>
    <col min="5365" max="5365" width="6.109375" style="66" bestFit="1" customWidth="1"/>
    <col min="5366" max="5368" width="9.109375" style="66" customWidth="1"/>
    <col min="5369" max="5369" width="14.33203125" style="66" bestFit="1" customWidth="1"/>
    <col min="5370" max="5370" width="11.44140625" style="66"/>
    <col min="5371" max="5371" width="12.6640625" style="66" bestFit="1" customWidth="1"/>
    <col min="5372" max="5617" width="11.44140625" style="66"/>
    <col min="5618" max="5618" width="7.6640625" style="66" bestFit="1" customWidth="1"/>
    <col min="5619" max="5619" width="9" style="66" bestFit="1" customWidth="1"/>
    <col min="5620" max="5620" width="5" style="66" bestFit="1" customWidth="1"/>
    <col min="5621" max="5621" width="6.109375" style="66" bestFit="1" customWidth="1"/>
    <col min="5622" max="5624" width="9.109375" style="66" customWidth="1"/>
    <col min="5625" max="5625" width="14.33203125" style="66" bestFit="1" customWidth="1"/>
    <col min="5626" max="5626" width="11.44140625" style="66"/>
    <col min="5627" max="5627" width="12.6640625" style="66" bestFit="1" customWidth="1"/>
    <col min="5628" max="5873" width="11.44140625" style="66"/>
    <col min="5874" max="5874" width="7.6640625" style="66" bestFit="1" customWidth="1"/>
    <col min="5875" max="5875" width="9" style="66" bestFit="1" customWidth="1"/>
    <col min="5876" max="5876" width="5" style="66" bestFit="1" customWidth="1"/>
    <col min="5877" max="5877" width="6.109375" style="66" bestFit="1" customWidth="1"/>
    <col min="5878" max="5880" width="9.109375" style="66" customWidth="1"/>
    <col min="5881" max="5881" width="14.33203125" style="66" bestFit="1" customWidth="1"/>
    <col min="5882" max="5882" width="11.44140625" style="66"/>
    <col min="5883" max="5883" width="12.6640625" style="66" bestFit="1" customWidth="1"/>
    <col min="5884" max="6129" width="11.44140625" style="66"/>
    <col min="6130" max="6130" width="7.6640625" style="66" bestFit="1" customWidth="1"/>
    <col min="6131" max="6131" width="9" style="66" bestFit="1" customWidth="1"/>
    <col min="6132" max="6132" width="5" style="66" bestFit="1" customWidth="1"/>
    <col min="6133" max="6133" width="6.109375" style="66" bestFit="1" customWidth="1"/>
    <col min="6134" max="6136" width="9.109375" style="66" customWidth="1"/>
    <col min="6137" max="6137" width="14.33203125" style="66" bestFit="1" customWidth="1"/>
    <col min="6138" max="6138" width="11.44140625" style="66"/>
    <col min="6139" max="6139" width="12.6640625" style="66" bestFit="1" customWidth="1"/>
    <col min="6140" max="6385" width="11.44140625" style="66"/>
    <col min="6386" max="6386" width="7.6640625" style="66" bestFit="1" customWidth="1"/>
    <col min="6387" max="6387" width="9" style="66" bestFit="1" customWidth="1"/>
    <col min="6388" max="6388" width="5" style="66" bestFit="1" customWidth="1"/>
    <col min="6389" max="6389" width="6.109375" style="66" bestFit="1" customWidth="1"/>
    <col min="6390" max="6392" width="9.109375" style="66" customWidth="1"/>
    <col min="6393" max="6393" width="14.33203125" style="66" bestFit="1" customWidth="1"/>
    <col min="6394" max="6394" width="11.44140625" style="66"/>
    <col min="6395" max="6395" width="12.6640625" style="66" bestFit="1" customWidth="1"/>
    <col min="6396" max="6641" width="11.44140625" style="66"/>
    <col min="6642" max="6642" width="7.6640625" style="66" bestFit="1" customWidth="1"/>
    <col min="6643" max="6643" width="9" style="66" bestFit="1" customWidth="1"/>
    <col min="6644" max="6644" width="5" style="66" bestFit="1" customWidth="1"/>
    <col min="6645" max="6645" width="6.109375" style="66" bestFit="1" customWidth="1"/>
    <col min="6646" max="6648" width="9.109375" style="66" customWidth="1"/>
    <col min="6649" max="6649" width="14.33203125" style="66" bestFit="1" customWidth="1"/>
    <col min="6650" max="6650" width="11.44140625" style="66"/>
    <col min="6651" max="6651" width="12.6640625" style="66" bestFit="1" customWidth="1"/>
    <col min="6652" max="6897" width="11.44140625" style="66"/>
    <col min="6898" max="6898" width="7.6640625" style="66" bestFit="1" customWidth="1"/>
    <col min="6899" max="6899" width="9" style="66" bestFit="1" customWidth="1"/>
    <col min="6900" max="6900" width="5" style="66" bestFit="1" customWidth="1"/>
    <col min="6901" max="6901" width="6.109375" style="66" bestFit="1" customWidth="1"/>
    <col min="6902" max="6904" width="9.109375" style="66" customWidth="1"/>
    <col min="6905" max="6905" width="14.33203125" style="66" bestFit="1" customWidth="1"/>
    <col min="6906" max="6906" width="11.44140625" style="66"/>
    <col min="6907" max="6907" width="12.6640625" style="66" bestFit="1" customWidth="1"/>
    <col min="6908" max="7153" width="11.44140625" style="66"/>
    <col min="7154" max="7154" width="7.6640625" style="66" bestFit="1" customWidth="1"/>
    <col min="7155" max="7155" width="9" style="66" bestFit="1" customWidth="1"/>
    <col min="7156" max="7156" width="5" style="66" bestFit="1" customWidth="1"/>
    <col min="7157" max="7157" width="6.109375" style="66" bestFit="1" customWidth="1"/>
    <col min="7158" max="7160" width="9.109375" style="66" customWidth="1"/>
    <col min="7161" max="7161" width="14.33203125" style="66" bestFit="1" customWidth="1"/>
    <col min="7162" max="7162" width="11.44140625" style="66"/>
    <col min="7163" max="7163" width="12.6640625" style="66" bestFit="1" customWidth="1"/>
    <col min="7164" max="7409" width="11.44140625" style="66"/>
    <col min="7410" max="7410" width="7.6640625" style="66" bestFit="1" customWidth="1"/>
    <col min="7411" max="7411" width="9" style="66" bestFit="1" customWidth="1"/>
    <col min="7412" max="7412" width="5" style="66" bestFit="1" customWidth="1"/>
    <col min="7413" max="7413" width="6.109375" style="66" bestFit="1" customWidth="1"/>
    <col min="7414" max="7416" width="9.109375" style="66" customWidth="1"/>
    <col min="7417" max="7417" width="14.33203125" style="66" bestFit="1" customWidth="1"/>
    <col min="7418" max="7418" width="11.44140625" style="66"/>
    <col min="7419" max="7419" width="12.6640625" style="66" bestFit="1" customWidth="1"/>
    <col min="7420" max="7665" width="11.44140625" style="66"/>
    <col min="7666" max="7666" width="7.6640625" style="66" bestFit="1" customWidth="1"/>
    <col min="7667" max="7667" width="9" style="66" bestFit="1" customWidth="1"/>
    <col min="7668" max="7668" width="5" style="66" bestFit="1" customWidth="1"/>
    <col min="7669" max="7669" width="6.109375" style="66" bestFit="1" customWidth="1"/>
    <col min="7670" max="7672" width="9.109375" style="66" customWidth="1"/>
    <col min="7673" max="7673" width="14.33203125" style="66" bestFit="1" customWidth="1"/>
    <col min="7674" max="7674" width="11.44140625" style="66"/>
    <col min="7675" max="7675" width="12.6640625" style="66" bestFit="1" customWidth="1"/>
    <col min="7676" max="7921" width="11.44140625" style="66"/>
    <col min="7922" max="7922" width="7.6640625" style="66" bestFit="1" customWidth="1"/>
    <col min="7923" max="7923" width="9" style="66" bestFit="1" customWidth="1"/>
    <col min="7924" max="7924" width="5" style="66" bestFit="1" customWidth="1"/>
    <col min="7925" max="7925" width="6.109375" style="66" bestFit="1" customWidth="1"/>
    <col min="7926" max="7928" width="9.109375" style="66" customWidth="1"/>
    <col min="7929" max="7929" width="14.33203125" style="66" bestFit="1" customWidth="1"/>
    <col min="7930" max="7930" width="11.44140625" style="66"/>
    <col min="7931" max="7931" width="12.6640625" style="66" bestFit="1" customWidth="1"/>
    <col min="7932" max="8177" width="11.44140625" style="66"/>
    <col min="8178" max="8178" width="7.6640625" style="66" bestFit="1" customWidth="1"/>
    <col min="8179" max="8179" width="9" style="66" bestFit="1" customWidth="1"/>
    <col min="8180" max="8180" width="5" style="66" bestFit="1" customWidth="1"/>
    <col min="8181" max="8181" width="6.109375" style="66" bestFit="1" customWidth="1"/>
    <col min="8182" max="8184" width="9.109375" style="66" customWidth="1"/>
    <col min="8185" max="8185" width="14.33203125" style="66" bestFit="1" customWidth="1"/>
    <col min="8186" max="8186" width="11.44140625" style="66"/>
    <col min="8187" max="8187" width="12.6640625" style="66" bestFit="1" customWidth="1"/>
    <col min="8188" max="8433" width="11.44140625" style="66"/>
    <col min="8434" max="8434" width="7.6640625" style="66" bestFit="1" customWidth="1"/>
    <col min="8435" max="8435" width="9" style="66" bestFit="1" customWidth="1"/>
    <col min="8436" max="8436" width="5" style="66" bestFit="1" customWidth="1"/>
    <col min="8437" max="8437" width="6.109375" style="66" bestFit="1" customWidth="1"/>
    <col min="8438" max="8440" width="9.109375" style="66" customWidth="1"/>
    <col min="8441" max="8441" width="14.33203125" style="66" bestFit="1" customWidth="1"/>
    <col min="8442" max="8442" width="11.44140625" style="66"/>
    <col min="8443" max="8443" width="12.6640625" style="66" bestFit="1" customWidth="1"/>
    <col min="8444" max="8689" width="11.44140625" style="66"/>
    <col min="8690" max="8690" width="7.6640625" style="66" bestFit="1" customWidth="1"/>
    <col min="8691" max="8691" width="9" style="66" bestFit="1" customWidth="1"/>
    <col min="8692" max="8692" width="5" style="66" bestFit="1" customWidth="1"/>
    <col min="8693" max="8693" width="6.109375" style="66" bestFit="1" customWidth="1"/>
    <col min="8694" max="8696" width="9.109375" style="66" customWidth="1"/>
    <col min="8697" max="8697" width="14.33203125" style="66" bestFit="1" customWidth="1"/>
    <col min="8698" max="8698" width="11.44140625" style="66"/>
    <col min="8699" max="8699" width="12.6640625" style="66" bestFit="1" customWidth="1"/>
    <col min="8700" max="8945" width="11.44140625" style="66"/>
    <col min="8946" max="8946" width="7.6640625" style="66" bestFit="1" customWidth="1"/>
    <col min="8947" max="8947" width="9" style="66" bestFit="1" customWidth="1"/>
    <col min="8948" max="8948" width="5" style="66" bestFit="1" customWidth="1"/>
    <col min="8949" max="8949" width="6.109375" style="66" bestFit="1" customWidth="1"/>
    <col min="8950" max="8952" width="9.109375" style="66" customWidth="1"/>
    <col min="8953" max="8953" width="14.33203125" style="66" bestFit="1" customWidth="1"/>
    <col min="8954" max="8954" width="11.44140625" style="66"/>
    <col min="8955" max="8955" width="12.6640625" style="66" bestFit="1" customWidth="1"/>
    <col min="8956" max="9201" width="11.44140625" style="66"/>
    <col min="9202" max="9202" width="7.6640625" style="66" bestFit="1" customWidth="1"/>
    <col min="9203" max="9203" width="9" style="66" bestFit="1" customWidth="1"/>
    <col min="9204" max="9204" width="5" style="66" bestFit="1" customWidth="1"/>
    <col min="9205" max="9205" width="6.109375" style="66" bestFit="1" customWidth="1"/>
    <col min="9206" max="9208" width="9.109375" style="66" customWidth="1"/>
    <col min="9209" max="9209" width="14.33203125" style="66" bestFit="1" customWidth="1"/>
    <col min="9210" max="9210" width="11.44140625" style="66"/>
    <col min="9211" max="9211" width="12.6640625" style="66" bestFit="1" customWidth="1"/>
    <col min="9212" max="9457" width="11.44140625" style="66"/>
    <col min="9458" max="9458" width="7.6640625" style="66" bestFit="1" customWidth="1"/>
    <col min="9459" max="9459" width="9" style="66" bestFit="1" customWidth="1"/>
    <col min="9460" max="9460" width="5" style="66" bestFit="1" customWidth="1"/>
    <col min="9461" max="9461" width="6.109375" style="66" bestFit="1" customWidth="1"/>
    <col min="9462" max="9464" width="9.109375" style="66" customWidth="1"/>
    <col min="9465" max="9465" width="14.33203125" style="66" bestFit="1" customWidth="1"/>
    <col min="9466" max="9466" width="11.44140625" style="66"/>
    <col min="9467" max="9467" width="12.6640625" style="66" bestFit="1" customWidth="1"/>
    <col min="9468" max="9713" width="11.44140625" style="66"/>
    <col min="9714" max="9714" width="7.6640625" style="66" bestFit="1" customWidth="1"/>
    <col min="9715" max="9715" width="9" style="66" bestFit="1" customWidth="1"/>
    <col min="9716" max="9716" width="5" style="66" bestFit="1" customWidth="1"/>
    <col min="9717" max="9717" width="6.109375" style="66" bestFit="1" customWidth="1"/>
    <col min="9718" max="9720" width="9.109375" style="66" customWidth="1"/>
    <col min="9721" max="9721" width="14.33203125" style="66" bestFit="1" customWidth="1"/>
    <col min="9722" max="9722" width="11.44140625" style="66"/>
    <col min="9723" max="9723" width="12.6640625" style="66" bestFit="1" customWidth="1"/>
    <col min="9724" max="9969" width="11.44140625" style="66"/>
    <col min="9970" max="9970" width="7.6640625" style="66" bestFit="1" customWidth="1"/>
    <col min="9971" max="9971" width="9" style="66" bestFit="1" customWidth="1"/>
    <col min="9972" max="9972" width="5" style="66" bestFit="1" customWidth="1"/>
    <col min="9973" max="9973" width="6.109375" style="66" bestFit="1" customWidth="1"/>
    <col min="9974" max="9976" width="9.109375" style="66" customWidth="1"/>
    <col min="9977" max="9977" width="14.33203125" style="66" bestFit="1" customWidth="1"/>
    <col min="9978" max="9978" width="11.44140625" style="66"/>
    <col min="9979" max="9979" width="12.6640625" style="66" bestFit="1" customWidth="1"/>
    <col min="9980" max="10225" width="11.44140625" style="66"/>
    <col min="10226" max="10226" width="7.6640625" style="66" bestFit="1" customWidth="1"/>
    <col min="10227" max="10227" width="9" style="66" bestFit="1" customWidth="1"/>
    <col min="10228" max="10228" width="5" style="66" bestFit="1" customWidth="1"/>
    <col min="10229" max="10229" width="6.109375" style="66" bestFit="1" customWidth="1"/>
    <col min="10230" max="10232" width="9.109375" style="66" customWidth="1"/>
    <col min="10233" max="10233" width="14.33203125" style="66" bestFit="1" customWidth="1"/>
    <col min="10234" max="10234" width="11.44140625" style="66"/>
    <col min="10235" max="10235" width="12.6640625" style="66" bestFit="1" customWidth="1"/>
    <col min="10236" max="10481" width="11.44140625" style="66"/>
    <col min="10482" max="10482" width="7.6640625" style="66" bestFit="1" customWidth="1"/>
    <col min="10483" max="10483" width="9" style="66" bestFit="1" customWidth="1"/>
    <col min="10484" max="10484" width="5" style="66" bestFit="1" customWidth="1"/>
    <col min="10485" max="10485" width="6.109375" style="66" bestFit="1" customWidth="1"/>
    <col min="10486" max="10488" width="9.109375" style="66" customWidth="1"/>
    <col min="10489" max="10489" width="14.33203125" style="66" bestFit="1" customWidth="1"/>
    <col min="10490" max="10490" width="11.44140625" style="66"/>
    <col min="10491" max="10491" width="12.6640625" style="66" bestFit="1" customWidth="1"/>
    <col min="10492" max="10737" width="11.44140625" style="66"/>
    <col min="10738" max="10738" width="7.6640625" style="66" bestFit="1" customWidth="1"/>
    <col min="10739" max="10739" width="9" style="66" bestFit="1" customWidth="1"/>
    <col min="10740" max="10740" width="5" style="66" bestFit="1" customWidth="1"/>
    <col min="10741" max="10741" width="6.109375" style="66" bestFit="1" customWidth="1"/>
    <col min="10742" max="10744" width="9.109375" style="66" customWidth="1"/>
    <col min="10745" max="10745" width="14.33203125" style="66" bestFit="1" customWidth="1"/>
    <col min="10746" max="10746" width="11.44140625" style="66"/>
    <col min="10747" max="10747" width="12.6640625" style="66" bestFit="1" customWidth="1"/>
    <col min="10748" max="10993" width="11.44140625" style="66"/>
    <col min="10994" max="10994" width="7.6640625" style="66" bestFit="1" customWidth="1"/>
    <col min="10995" max="10995" width="9" style="66" bestFit="1" customWidth="1"/>
    <col min="10996" max="10996" width="5" style="66" bestFit="1" customWidth="1"/>
    <col min="10997" max="10997" width="6.109375" style="66" bestFit="1" customWidth="1"/>
    <col min="10998" max="11000" width="9.109375" style="66" customWidth="1"/>
    <col min="11001" max="11001" width="14.33203125" style="66" bestFit="1" customWidth="1"/>
    <col min="11002" max="11002" width="11.44140625" style="66"/>
    <col min="11003" max="11003" width="12.6640625" style="66" bestFit="1" customWidth="1"/>
    <col min="11004" max="11249" width="11.44140625" style="66"/>
    <col min="11250" max="11250" width="7.6640625" style="66" bestFit="1" customWidth="1"/>
    <col min="11251" max="11251" width="9" style="66" bestFit="1" customWidth="1"/>
    <col min="11252" max="11252" width="5" style="66" bestFit="1" customWidth="1"/>
    <col min="11253" max="11253" width="6.109375" style="66" bestFit="1" customWidth="1"/>
    <col min="11254" max="11256" width="9.109375" style="66" customWidth="1"/>
    <col min="11257" max="11257" width="14.33203125" style="66" bestFit="1" customWidth="1"/>
    <col min="11258" max="11258" width="11.44140625" style="66"/>
    <col min="11259" max="11259" width="12.6640625" style="66" bestFit="1" customWidth="1"/>
    <col min="11260" max="11505" width="11.44140625" style="66"/>
    <col min="11506" max="11506" width="7.6640625" style="66" bestFit="1" customWidth="1"/>
    <col min="11507" max="11507" width="9" style="66" bestFit="1" customWidth="1"/>
    <col min="11508" max="11508" width="5" style="66" bestFit="1" customWidth="1"/>
    <col min="11509" max="11509" width="6.109375" style="66" bestFit="1" customWidth="1"/>
    <col min="11510" max="11512" width="9.109375" style="66" customWidth="1"/>
    <col min="11513" max="11513" width="14.33203125" style="66" bestFit="1" customWidth="1"/>
    <col min="11514" max="11514" width="11.44140625" style="66"/>
    <col min="11515" max="11515" width="12.6640625" style="66" bestFit="1" customWidth="1"/>
    <col min="11516" max="11761" width="11.44140625" style="66"/>
    <col min="11762" max="11762" width="7.6640625" style="66" bestFit="1" customWidth="1"/>
    <col min="11763" max="11763" width="9" style="66" bestFit="1" customWidth="1"/>
    <col min="11764" max="11764" width="5" style="66" bestFit="1" customWidth="1"/>
    <col min="11765" max="11765" width="6.109375" style="66" bestFit="1" customWidth="1"/>
    <col min="11766" max="11768" width="9.109375" style="66" customWidth="1"/>
    <col min="11769" max="11769" width="14.33203125" style="66" bestFit="1" customWidth="1"/>
    <col min="11770" max="11770" width="11.44140625" style="66"/>
    <col min="11771" max="11771" width="12.6640625" style="66" bestFit="1" customWidth="1"/>
    <col min="11772" max="12017" width="11.44140625" style="66"/>
    <col min="12018" max="12018" width="7.6640625" style="66" bestFit="1" customWidth="1"/>
    <col min="12019" max="12019" width="9" style="66" bestFit="1" customWidth="1"/>
    <col min="12020" max="12020" width="5" style="66" bestFit="1" customWidth="1"/>
    <col min="12021" max="12021" width="6.109375" style="66" bestFit="1" customWidth="1"/>
    <col min="12022" max="12024" width="9.109375" style="66" customWidth="1"/>
    <col min="12025" max="12025" width="14.33203125" style="66" bestFit="1" customWidth="1"/>
    <col min="12026" max="12026" width="11.44140625" style="66"/>
    <col min="12027" max="12027" width="12.6640625" style="66" bestFit="1" customWidth="1"/>
    <col min="12028" max="12273" width="11.44140625" style="66"/>
    <col min="12274" max="12274" width="7.6640625" style="66" bestFit="1" customWidth="1"/>
    <col min="12275" max="12275" width="9" style="66" bestFit="1" customWidth="1"/>
    <col min="12276" max="12276" width="5" style="66" bestFit="1" customWidth="1"/>
    <col min="12277" max="12277" width="6.109375" style="66" bestFit="1" customWidth="1"/>
    <col min="12278" max="12280" width="9.109375" style="66" customWidth="1"/>
    <col min="12281" max="12281" width="14.33203125" style="66" bestFit="1" customWidth="1"/>
    <col min="12282" max="12282" width="11.44140625" style="66"/>
    <col min="12283" max="12283" width="12.6640625" style="66" bestFit="1" customWidth="1"/>
    <col min="12284" max="12529" width="11.44140625" style="66"/>
    <col min="12530" max="12530" width="7.6640625" style="66" bestFit="1" customWidth="1"/>
    <col min="12531" max="12531" width="9" style="66" bestFit="1" customWidth="1"/>
    <col min="12532" max="12532" width="5" style="66" bestFit="1" customWidth="1"/>
    <col min="12533" max="12533" width="6.109375" style="66" bestFit="1" customWidth="1"/>
    <col min="12534" max="12536" width="9.109375" style="66" customWidth="1"/>
    <col min="12537" max="12537" width="14.33203125" style="66" bestFit="1" customWidth="1"/>
    <col min="12538" max="12538" width="11.44140625" style="66"/>
    <col min="12539" max="12539" width="12.6640625" style="66" bestFit="1" customWidth="1"/>
    <col min="12540" max="12785" width="11.44140625" style="66"/>
    <col min="12786" max="12786" width="7.6640625" style="66" bestFit="1" customWidth="1"/>
    <col min="12787" max="12787" width="9" style="66" bestFit="1" customWidth="1"/>
    <col min="12788" max="12788" width="5" style="66" bestFit="1" customWidth="1"/>
    <col min="12789" max="12789" width="6.109375" style="66" bestFit="1" customWidth="1"/>
    <col min="12790" max="12792" width="9.109375" style="66" customWidth="1"/>
    <col min="12793" max="12793" width="14.33203125" style="66" bestFit="1" customWidth="1"/>
    <col min="12794" max="12794" width="11.44140625" style="66"/>
    <col min="12795" max="12795" width="12.6640625" style="66" bestFit="1" customWidth="1"/>
    <col min="12796" max="13041" width="11.44140625" style="66"/>
    <col min="13042" max="13042" width="7.6640625" style="66" bestFit="1" customWidth="1"/>
    <col min="13043" max="13043" width="9" style="66" bestFit="1" customWidth="1"/>
    <col min="13044" max="13044" width="5" style="66" bestFit="1" customWidth="1"/>
    <col min="13045" max="13045" width="6.109375" style="66" bestFit="1" customWidth="1"/>
    <col min="13046" max="13048" width="9.109375" style="66" customWidth="1"/>
    <col min="13049" max="13049" width="14.33203125" style="66" bestFit="1" customWidth="1"/>
    <col min="13050" max="13050" width="11.44140625" style="66"/>
    <col min="13051" max="13051" width="12.6640625" style="66" bestFit="1" customWidth="1"/>
    <col min="13052" max="13297" width="11.44140625" style="66"/>
    <col min="13298" max="13298" width="7.6640625" style="66" bestFit="1" customWidth="1"/>
    <col min="13299" max="13299" width="9" style="66" bestFit="1" customWidth="1"/>
    <col min="13300" max="13300" width="5" style="66" bestFit="1" customWidth="1"/>
    <col min="13301" max="13301" width="6.109375" style="66" bestFit="1" customWidth="1"/>
    <col min="13302" max="13304" width="9.109375" style="66" customWidth="1"/>
    <col min="13305" max="13305" width="14.33203125" style="66" bestFit="1" customWidth="1"/>
    <col min="13306" max="13306" width="11.44140625" style="66"/>
    <col min="13307" max="13307" width="12.6640625" style="66" bestFit="1" customWidth="1"/>
    <col min="13308" max="13553" width="11.44140625" style="66"/>
    <col min="13554" max="13554" width="7.6640625" style="66" bestFit="1" customWidth="1"/>
    <col min="13555" max="13555" width="9" style="66" bestFit="1" customWidth="1"/>
    <col min="13556" max="13556" width="5" style="66" bestFit="1" customWidth="1"/>
    <col min="13557" max="13557" width="6.109375" style="66" bestFit="1" customWidth="1"/>
    <col min="13558" max="13560" width="9.109375" style="66" customWidth="1"/>
    <col min="13561" max="13561" width="14.33203125" style="66" bestFit="1" customWidth="1"/>
    <col min="13562" max="13562" width="11.44140625" style="66"/>
    <col min="13563" max="13563" width="12.6640625" style="66" bestFit="1" customWidth="1"/>
    <col min="13564" max="13809" width="11.44140625" style="66"/>
    <col min="13810" max="13810" width="7.6640625" style="66" bestFit="1" customWidth="1"/>
    <col min="13811" max="13811" width="9" style="66" bestFit="1" customWidth="1"/>
    <col min="13812" max="13812" width="5" style="66" bestFit="1" customWidth="1"/>
    <col min="13813" max="13813" width="6.109375" style="66" bestFit="1" customWidth="1"/>
    <col min="13814" max="13816" width="9.109375" style="66" customWidth="1"/>
    <col min="13817" max="13817" width="14.33203125" style="66" bestFit="1" customWidth="1"/>
    <col min="13818" max="13818" width="11.44140625" style="66"/>
    <col min="13819" max="13819" width="12.6640625" style="66" bestFit="1" customWidth="1"/>
    <col min="13820" max="14065" width="11.44140625" style="66"/>
    <col min="14066" max="14066" width="7.6640625" style="66" bestFit="1" customWidth="1"/>
    <col min="14067" max="14067" width="9" style="66" bestFit="1" customWidth="1"/>
    <col min="14068" max="14068" width="5" style="66" bestFit="1" customWidth="1"/>
    <col min="14069" max="14069" width="6.109375" style="66" bestFit="1" customWidth="1"/>
    <col min="14070" max="14072" width="9.109375" style="66" customWidth="1"/>
    <col min="14073" max="14073" width="14.33203125" style="66" bestFit="1" customWidth="1"/>
    <col min="14074" max="14074" width="11.44140625" style="66"/>
    <col min="14075" max="14075" width="12.6640625" style="66" bestFit="1" customWidth="1"/>
    <col min="14076" max="14321" width="11.44140625" style="66"/>
    <col min="14322" max="14322" width="7.6640625" style="66" bestFit="1" customWidth="1"/>
    <col min="14323" max="14323" width="9" style="66" bestFit="1" customWidth="1"/>
    <col min="14324" max="14324" width="5" style="66" bestFit="1" customWidth="1"/>
    <col min="14325" max="14325" width="6.109375" style="66" bestFit="1" customWidth="1"/>
    <col min="14326" max="14328" width="9.109375" style="66" customWidth="1"/>
    <col min="14329" max="14329" width="14.33203125" style="66" bestFit="1" customWidth="1"/>
    <col min="14330" max="14330" width="11.44140625" style="66"/>
    <col min="14331" max="14331" width="12.6640625" style="66" bestFit="1" customWidth="1"/>
    <col min="14332" max="14577" width="11.44140625" style="66"/>
    <col min="14578" max="14578" width="7.6640625" style="66" bestFit="1" customWidth="1"/>
    <col min="14579" max="14579" width="9" style="66" bestFit="1" customWidth="1"/>
    <col min="14580" max="14580" width="5" style="66" bestFit="1" customWidth="1"/>
    <col min="14581" max="14581" width="6.109375" style="66" bestFit="1" customWidth="1"/>
    <col min="14582" max="14584" width="9.109375" style="66" customWidth="1"/>
    <col min="14585" max="14585" width="14.33203125" style="66" bestFit="1" customWidth="1"/>
    <col min="14586" max="14586" width="11.44140625" style="66"/>
    <col min="14587" max="14587" width="12.6640625" style="66" bestFit="1" customWidth="1"/>
    <col min="14588" max="14833" width="11.44140625" style="66"/>
    <col min="14834" max="14834" width="7.6640625" style="66" bestFit="1" customWidth="1"/>
    <col min="14835" max="14835" width="9" style="66" bestFit="1" customWidth="1"/>
    <col min="14836" max="14836" width="5" style="66" bestFit="1" customWidth="1"/>
    <col min="14837" max="14837" width="6.109375" style="66" bestFit="1" customWidth="1"/>
    <col min="14838" max="14840" width="9.109375" style="66" customWidth="1"/>
    <col min="14841" max="14841" width="14.33203125" style="66" bestFit="1" customWidth="1"/>
    <col min="14842" max="14842" width="11.44140625" style="66"/>
    <col min="14843" max="14843" width="12.6640625" style="66" bestFit="1" customWidth="1"/>
    <col min="14844" max="15089" width="11.44140625" style="66"/>
    <col min="15090" max="15090" width="7.6640625" style="66" bestFit="1" customWidth="1"/>
    <col min="15091" max="15091" width="9" style="66" bestFit="1" customWidth="1"/>
    <col min="15092" max="15092" width="5" style="66" bestFit="1" customWidth="1"/>
    <col min="15093" max="15093" width="6.109375" style="66" bestFit="1" customWidth="1"/>
    <col min="15094" max="15096" width="9.109375" style="66" customWidth="1"/>
    <col min="15097" max="15097" width="14.33203125" style="66" bestFit="1" customWidth="1"/>
    <col min="15098" max="15098" width="11.44140625" style="66"/>
    <col min="15099" max="15099" width="12.6640625" style="66" bestFit="1" customWidth="1"/>
    <col min="15100" max="15345" width="11.44140625" style="66"/>
    <col min="15346" max="15346" width="7.6640625" style="66" bestFit="1" customWidth="1"/>
    <col min="15347" max="15347" width="9" style="66" bestFit="1" customWidth="1"/>
    <col min="15348" max="15348" width="5" style="66" bestFit="1" customWidth="1"/>
    <col min="15349" max="15349" width="6.109375" style="66" bestFit="1" customWidth="1"/>
    <col min="15350" max="15352" width="9.109375" style="66" customWidth="1"/>
    <col min="15353" max="15353" width="14.33203125" style="66" bestFit="1" customWidth="1"/>
    <col min="15354" max="15354" width="11.44140625" style="66"/>
    <col min="15355" max="15355" width="12.6640625" style="66" bestFit="1" customWidth="1"/>
    <col min="15356" max="15601" width="11.44140625" style="66"/>
    <col min="15602" max="15602" width="7.6640625" style="66" bestFit="1" customWidth="1"/>
    <col min="15603" max="15603" width="9" style="66" bestFit="1" customWidth="1"/>
    <col min="15604" max="15604" width="5" style="66" bestFit="1" customWidth="1"/>
    <col min="15605" max="15605" width="6.109375" style="66" bestFit="1" customWidth="1"/>
    <col min="15606" max="15608" width="9.109375" style="66" customWidth="1"/>
    <col min="15609" max="15609" width="14.33203125" style="66" bestFit="1" customWidth="1"/>
    <col min="15610" max="15610" width="11.44140625" style="66"/>
    <col min="15611" max="15611" width="12.6640625" style="66" bestFit="1" customWidth="1"/>
    <col min="15612" max="15857" width="11.44140625" style="66"/>
    <col min="15858" max="15858" width="7.6640625" style="66" bestFit="1" customWidth="1"/>
    <col min="15859" max="15859" width="9" style="66" bestFit="1" customWidth="1"/>
    <col min="15860" max="15860" width="5" style="66" bestFit="1" customWidth="1"/>
    <col min="15861" max="15861" width="6.109375" style="66" bestFit="1" customWidth="1"/>
    <col min="15862" max="15864" width="9.109375" style="66" customWidth="1"/>
    <col min="15865" max="15865" width="14.33203125" style="66" bestFit="1" customWidth="1"/>
    <col min="15866" max="15866" width="11.44140625" style="66"/>
    <col min="15867" max="15867" width="12.6640625" style="66" bestFit="1" customWidth="1"/>
    <col min="15868" max="16113" width="11.44140625" style="66"/>
    <col min="16114" max="16114" width="7.6640625" style="66" bestFit="1" customWidth="1"/>
    <col min="16115" max="16115" width="9" style="66" bestFit="1" customWidth="1"/>
    <col min="16116" max="16116" width="5" style="66" bestFit="1" customWidth="1"/>
    <col min="16117" max="16117" width="6.109375" style="66" bestFit="1" customWidth="1"/>
    <col min="16118" max="16120" width="9.109375" style="66" customWidth="1"/>
    <col min="16121" max="16121" width="14.33203125" style="66" bestFit="1" customWidth="1"/>
    <col min="16122" max="16122" width="11.44140625" style="66"/>
    <col min="16123" max="16123" width="12.6640625" style="66" bestFit="1" customWidth="1"/>
    <col min="16124" max="16384" width="11.44140625" style="66"/>
  </cols>
  <sheetData>
    <row r="3" spans="2:15" ht="13.2" x14ac:dyDescent="0.25">
      <c r="B3" s="25" t="s">
        <v>43</v>
      </c>
      <c r="C3" s="45"/>
      <c r="D3" s="45"/>
      <c r="E3" s="45"/>
      <c r="F3" s="45"/>
      <c r="G3" s="45"/>
      <c r="H3" s="45"/>
      <c r="I3" s="45"/>
    </row>
    <row r="4" spans="2:15" ht="13.8" x14ac:dyDescent="0.2">
      <c r="B4" s="67" t="s">
        <v>44</v>
      </c>
      <c r="C4" s="67" t="s">
        <v>3</v>
      </c>
      <c r="D4" s="67" t="s">
        <v>45</v>
      </c>
      <c r="E4" s="67" t="s">
        <v>46</v>
      </c>
      <c r="F4" s="67" t="s">
        <v>47</v>
      </c>
      <c r="G4" s="67" t="s">
        <v>73</v>
      </c>
      <c r="H4" s="67" t="s">
        <v>74</v>
      </c>
      <c r="I4" s="67" t="s">
        <v>72</v>
      </c>
      <c r="J4" s="67" t="s">
        <v>49</v>
      </c>
      <c r="K4" s="67" t="s">
        <v>50</v>
      </c>
    </row>
    <row r="5" spans="2:15" x14ac:dyDescent="0.2">
      <c r="D5" s="45" t="s">
        <v>51</v>
      </c>
      <c r="E5" s="45"/>
      <c r="F5" s="45"/>
      <c r="G5" s="48">
        <f>Data!$I$20*0.5</f>
        <v>38349.114159292032</v>
      </c>
      <c r="H5" s="48">
        <f>Data!$I$23*0.5</f>
        <v>350742.46951106185</v>
      </c>
      <c r="I5" s="48">
        <f>Data!$I$24*0.5</f>
        <v>21789.676581238935</v>
      </c>
      <c r="J5" s="45" t="s">
        <v>77</v>
      </c>
      <c r="K5" s="45"/>
    </row>
    <row r="6" spans="2:15" x14ac:dyDescent="0.2">
      <c r="D6" s="45" t="s">
        <v>51</v>
      </c>
      <c r="E6" s="45"/>
      <c r="F6" s="45"/>
      <c r="G6" s="48">
        <f>Data!$I$20*0.25</f>
        <v>19174.557079646016</v>
      </c>
      <c r="H6" s="48">
        <f>Data!$I$23*0.25</f>
        <v>175371.23475553092</v>
      </c>
      <c r="I6" s="48">
        <f>Data!$I$24*0.25</f>
        <v>10894.838290619467</v>
      </c>
      <c r="J6" s="45" t="s">
        <v>78</v>
      </c>
      <c r="K6" s="45"/>
    </row>
    <row r="7" spans="2:15" x14ac:dyDescent="0.2">
      <c r="D7" s="45" t="s">
        <v>51</v>
      </c>
      <c r="E7" s="45"/>
      <c r="F7" s="45"/>
      <c r="G7" s="48">
        <f>Data!$I$20*0.25*3</f>
        <v>57523.671238938048</v>
      </c>
      <c r="H7" s="48">
        <f>Data!$I$23*0.25</f>
        <v>175371.23475553092</v>
      </c>
      <c r="I7" s="68">
        <f>Data!$I$24*0.25*3</f>
        <v>32684.514871858402</v>
      </c>
      <c r="J7" s="45" t="s">
        <v>79</v>
      </c>
      <c r="K7" s="45"/>
      <c r="M7" s="66" t="s">
        <v>176</v>
      </c>
      <c r="O7" s="66" t="s">
        <v>173</v>
      </c>
    </row>
    <row r="8" spans="2:15" x14ac:dyDescent="0.2">
      <c r="D8" s="45" t="s">
        <v>51</v>
      </c>
      <c r="E8" s="45"/>
      <c r="F8" s="45"/>
      <c r="G8" s="45">
        <v>0</v>
      </c>
      <c r="H8" s="45">
        <v>0</v>
      </c>
      <c r="I8" s="45">
        <v>0</v>
      </c>
      <c r="J8" s="45" t="s">
        <v>80</v>
      </c>
      <c r="K8" s="45"/>
    </row>
    <row r="9" spans="2:15" x14ac:dyDescent="0.2">
      <c r="D9" s="45" t="s">
        <v>51</v>
      </c>
      <c r="E9" s="45"/>
      <c r="F9" s="45"/>
      <c r="G9" s="45">
        <v>0</v>
      </c>
      <c r="H9" s="45">
        <v>0</v>
      </c>
      <c r="I9" s="45">
        <v>0</v>
      </c>
      <c r="J9" s="45" t="s">
        <v>81</v>
      </c>
      <c r="K9" s="45"/>
    </row>
    <row r="10" spans="2:15" x14ac:dyDescent="0.2">
      <c r="D10" s="45" t="s">
        <v>51</v>
      </c>
      <c r="E10" s="45"/>
      <c r="F10" s="45"/>
      <c r="G10" s="45">
        <v>0</v>
      </c>
      <c r="H10" s="45">
        <v>0</v>
      </c>
      <c r="I10" s="45">
        <v>0</v>
      </c>
      <c r="J10" s="45" t="s">
        <v>82</v>
      </c>
      <c r="K10" s="45"/>
    </row>
    <row r="11" spans="2:15" x14ac:dyDescent="0.2">
      <c r="D11" s="45" t="s">
        <v>52</v>
      </c>
      <c r="E11" s="45">
        <v>2017</v>
      </c>
      <c r="F11" s="45"/>
      <c r="G11" s="45">
        <v>3</v>
      </c>
      <c r="H11" s="45">
        <v>2</v>
      </c>
      <c r="I11" s="45">
        <v>3</v>
      </c>
      <c r="J11" s="45" t="s">
        <v>77</v>
      </c>
      <c r="K11" s="45" t="str">
        <f>MID(J11,4,9)</f>
        <v>RSVGASNAT</v>
      </c>
    </row>
    <row r="12" spans="2:15" x14ac:dyDescent="0.2">
      <c r="D12" s="45" t="s">
        <v>52</v>
      </c>
      <c r="E12" s="45">
        <v>2017</v>
      </c>
      <c r="F12" s="45"/>
      <c r="G12" s="45">
        <v>4</v>
      </c>
      <c r="H12" s="45">
        <v>3</v>
      </c>
      <c r="I12" s="45">
        <v>4</v>
      </c>
      <c r="J12" s="45" t="s">
        <v>78</v>
      </c>
      <c r="K12" s="45" t="str">
        <f t="shared" ref="K12:K22" si="0">MID(J12,4,9)</f>
        <v>RSVGASNAT</v>
      </c>
    </row>
    <row r="13" spans="2:15" x14ac:dyDescent="0.2">
      <c r="D13" s="45" t="s">
        <v>52</v>
      </c>
      <c r="E13" s="45">
        <v>2017</v>
      </c>
      <c r="F13" s="45"/>
      <c r="G13" s="45">
        <v>5</v>
      </c>
      <c r="H13" s="45">
        <v>4</v>
      </c>
      <c r="I13" s="45">
        <v>5</v>
      </c>
      <c r="J13" s="45" t="s">
        <v>79</v>
      </c>
      <c r="K13" s="45" t="str">
        <f t="shared" si="0"/>
        <v>RSVGASNAT</v>
      </c>
    </row>
    <row r="14" spans="2:15" x14ac:dyDescent="0.2">
      <c r="D14" s="45" t="s">
        <v>52</v>
      </c>
      <c r="E14" s="45">
        <v>2017</v>
      </c>
      <c r="F14" s="45"/>
      <c r="G14" s="45">
        <f>G11/10</f>
        <v>0.3</v>
      </c>
      <c r="H14" s="45">
        <f>H11/10</f>
        <v>0.2</v>
      </c>
      <c r="I14" s="45">
        <f>I11/10</f>
        <v>0.3</v>
      </c>
      <c r="J14" s="45" t="s">
        <v>80</v>
      </c>
      <c r="K14" s="45" t="str">
        <f t="shared" si="0"/>
        <v>RSVGASNAA</v>
      </c>
    </row>
    <row r="15" spans="2:15" x14ac:dyDescent="0.2">
      <c r="D15" s="45" t="s">
        <v>52</v>
      </c>
      <c r="E15" s="45">
        <v>2017</v>
      </c>
      <c r="F15" s="45"/>
      <c r="G15" s="45">
        <f t="shared" ref="G15:I16" si="1">G12/10</f>
        <v>0.4</v>
      </c>
      <c r="H15" s="45">
        <f t="shared" si="1"/>
        <v>0.3</v>
      </c>
      <c r="I15" s="45">
        <f t="shared" si="1"/>
        <v>0.4</v>
      </c>
      <c r="J15" s="45" t="s">
        <v>81</v>
      </c>
      <c r="K15" s="45" t="str">
        <f t="shared" si="0"/>
        <v>RSVGASNAA</v>
      </c>
    </row>
    <row r="16" spans="2:15" x14ac:dyDescent="0.2">
      <c r="D16" s="45" t="s">
        <v>52</v>
      </c>
      <c r="E16" s="45">
        <v>2017</v>
      </c>
      <c r="F16" s="45"/>
      <c r="G16" s="45">
        <f t="shared" si="1"/>
        <v>0.5</v>
      </c>
      <c r="H16" s="45">
        <f t="shared" si="1"/>
        <v>0.4</v>
      </c>
      <c r="I16" s="45">
        <f t="shared" si="1"/>
        <v>0.5</v>
      </c>
      <c r="J16" s="45" t="s">
        <v>82</v>
      </c>
      <c r="K16" s="45" t="str">
        <f t="shared" si="0"/>
        <v>RSVGASNAA</v>
      </c>
    </row>
    <row r="17" spans="4:11" x14ac:dyDescent="0.2">
      <c r="D17" s="45" t="s">
        <v>52</v>
      </c>
      <c r="E17" s="45">
        <v>2050</v>
      </c>
      <c r="F17" s="45"/>
      <c r="G17" s="45">
        <f t="shared" ref="G17:I19" si="2">G11*1.2</f>
        <v>3.5999999999999996</v>
      </c>
      <c r="H17" s="45">
        <f t="shared" si="2"/>
        <v>2.4</v>
      </c>
      <c r="I17" s="45">
        <f t="shared" si="2"/>
        <v>3.5999999999999996</v>
      </c>
      <c r="J17" s="45" t="s">
        <v>77</v>
      </c>
      <c r="K17" s="45" t="str">
        <f t="shared" si="0"/>
        <v>RSVGASNAT</v>
      </c>
    </row>
    <row r="18" spans="4:11" x14ac:dyDescent="0.2">
      <c r="D18" s="45" t="s">
        <v>52</v>
      </c>
      <c r="E18" s="45">
        <v>2050</v>
      </c>
      <c r="F18" s="45"/>
      <c r="G18" s="45">
        <f t="shared" si="2"/>
        <v>4.8</v>
      </c>
      <c r="H18" s="45">
        <f t="shared" si="2"/>
        <v>3.5999999999999996</v>
      </c>
      <c r="I18" s="45">
        <f t="shared" si="2"/>
        <v>4.8</v>
      </c>
      <c r="J18" s="45" t="s">
        <v>78</v>
      </c>
      <c r="K18" s="45" t="str">
        <f t="shared" si="0"/>
        <v>RSVGASNAT</v>
      </c>
    </row>
    <row r="19" spans="4:11" x14ac:dyDescent="0.2">
      <c r="D19" s="45" t="s">
        <v>52</v>
      </c>
      <c r="E19" s="45">
        <v>2050</v>
      </c>
      <c r="F19" s="45"/>
      <c r="G19" s="45">
        <f t="shared" si="2"/>
        <v>6</v>
      </c>
      <c r="H19" s="45">
        <f t="shared" si="2"/>
        <v>4.8</v>
      </c>
      <c r="I19" s="45">
        <f t="shared" si="2"/>
        <v>6</v>
      </c>
      <c r="J19" s="45" t="s">
        <v>79</v>
      </c>
      <c r="K19" s="45" t="str">
        <f t="shared" si="0"/>
        <v>RSVGASNAT</v>
      </c>
    </row>
    <row r="20" spans="4:11" x14ac:dyDescent="0.2">
      <c r="D20" s="45" t="s">
        <v>52</v>
      </c>
      <c r="E20" s="45">
        <v>2050</v>
      </c>
      <c r="F20" s="45"/>
      <c r="G20" s="45">
        <f>G17/10</f>
        <v>0.36</v>
      </c>
      <c r="H20" s="45">
        <f>H17/10</f>
        <v>0.24</v>
      </c>
      <c r="I20" s="45">
        <f>I17/10</f>
        <v>0.36</v>
      </c>
      <c r="J20" s="45" t="s">
        <v>80</v>
      </c>
      <c r="K20" s="45" t="str">
        <f t="shared" si="0"/>
        <v>RSVGASNAA</v>
      </c>
    </row>
    <row r="21" spans="4:11" x14ac:dyDescent="0.2">
      <c r="D21" s="45" t="s">
        <v>52</v>
      </c>
      <c r="E21" s="45">
        <v>2050</v>
      </c>
      <c r="F21" s="45"/>
      <c r="G21" s="45">
        <f t="shared" ref="G21:I22" si="3">G18/10</f>
        <v>0.48</v>
      </c>
      <c r="H21" s="45">
        <f t="shared" si="3"/>
        <v>0.36</v>
      </c>
      <c r="I21" s="45">
        <f t="shared" si="3"/>
        <v>0.48</v>
      </c>
      <c r="J21" s="45" t="s">
        <v>81</v>
      </c>
      <c r="K21" s="45" t="str">
        <f t="shared" si="0"/>
        <v>RSVGASNAA</v>
      </c>
    </row>
    <row r="22" spans="4:11" x14ac:dyDescent="0.2">
      <c r="D22" s="45" t="s">
        <v>52</v>
      </c>
      <c r="E22" s="45">
        <v>2050</v>
      </c>
      <c r="F22" s="45"/>
      <c r="G22" s="45">
        <f t="shared" si="3"/>
        <v>0.6</v>
      </c>
      <c r="H22" s="45">
        <f t="shared" si="3"/>
        <v>0.48</v>
      </c>
      <c r="I22" s="45">
        <f t="shared" si="3"/>
        <v>0.6</v>
      </c>
      <c r="J22" s="45" t="s">
        <v>82</v>
      </c>
      <c r="K22" s="45" t="str">
        <f t="shared" si="0"/>
        <v>RSVGASNAA</v>
      </c>
    </row>
    <row r="23" spans="4:11" x14ac:dyDescent="0.2">
      <c r="G23" s="45"/>
      <c r="H23" s="45"/>
      <c r="I23" s="45"/>
    </row>
    <row r="24" spans="4:11" x14ac:dyDescent="0.2">
      <c r="G24" s="45"/>
      <c r="H24" s="45"/>
      <c r="I24" s="4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09A6-41A1-4C73-AD91-3A0E569BA181}">
  <dimension ref="B3:Q30"/>
  <sheetViews>
    <sheetView zoomScale="85" zoomScaleNormal="85" workbookViewId="0">
      <selection sqref="A1:XFD1048576"/>
    </sheetView>
  </sheetViews>
  <sheetFormatPr defaultColWidth="11.44140625" defaultRowHeight="11.4" x14ac:dyDescent="0.2"/>
  <cols>
    <col min="1" max="240" width="11.44140625" style="66"/>
    <col min="241" max="241" width="9.109375" style="66" bestFit="1" customWidth="1"/>
    <col min="242" max="242" width="7.6640625" style="66" bestFit="1" customWidth="1"/>
    <col min="243" max="243" width="9" style="66" bestFit="1" customWidth="1"/>
    <col min="244" max="244" width="5" style="66" bestFit="1" customWidth="1"/>
    <col min="245" max="245" width="4.88671875" style="66" bestFit="1" customWidth="1"/>
    <col min="246" max="248" width="9.33203125" style="66" customWidth="1"/>
    <col min="249" max="249" width="12.6640625" style="66" bestFit="1" customWidth="1"/>
    <col min="250" max="496" width="11.44140625" style="66"/>
    <col min="497" max="497" width="9.109375" style="66" bestFit="1" customWidth="1"/>
    <col min="498" max="498" width="7.6640625" style="66" bestFit="1" customWidth="1"/>
    <col min="499" max="499" width="9" style="66" bestFit="1" customWidth="1"/>
    <col min="500" max="500" width="5" style="66" bestFit="1" customWidth="1"/>
    <col min="501" max="501" width="4.88671875" style="66" bestFit="1" customWidth="1"/>
    <col min="502" max="504" width="9.33203125" style="66" customWidth="1"/>
    <col min="505" max="505" width="12.6640625" style="66" bestFit="1" customWidth="1"/>
    <col min="506" max="752" width="11.44140625" style="66"/>
    <col min="753" max="753" width="9.109375" style="66" bestFit="1" customWidth="1"/>
    <col min="754" max="754" width="7.6640625" style="66" bestFit="1" customWidth="1"/>
    <col min="755" max="755" width="9" style="66" bestFit="1" customWidth="1"/>
    <col min="756" max="756" width="5" style="66" bestFit="1" customWidth="1"/>
    <col min="757" max="757" width="4.88671875" style="66" bestFit="1" customWidth="1"/>
    <col min="758" max="760" width="9.33203125" style="66" customWidth="1"/>
    <col min="761" max="761" width="12.6640625" style="66" bestFit="1" customWidth="1"/>
    <col min="762" max="1008" width="11.44140625" style="66"/>
    <col min="1009" max="1009" width="9.109375" style="66" bestFit="1" customWidth="1"/>
    <col min="1010" max="1010" width="7.6640625" style="66" bestFit="1" customWidth="1"/>
    <col min="1011" max="1011" width="9" style="66" bestFit="1" customWidth="1"/>
    <col min="1012" max="1012" width="5" style="66" bestFit="1" customWidth="1"/>
    <col min="1013" max="1013" width="4.88671875" style="66" bestFit="1" customWidth="1"/>
    <col min="1014" max="1016" width="9.33203125" style="66" customWidth="1"/>
    <col min="1017" max="1017" width="12.6640625" style="66" bestFit="1" customWidth="1"/>
    <col min="1018" max="1264" width="11.44140625" style="66"/>
    <col min="1265" max="1265" width="9.109375" style="66" bestFit="1" customWidth="1"/>
    <col min="1266" max="1266" width="7.6640625" style="66" bestFit="1" customWidth="1"/>
    <col min="1267" max="1267" width="9" style="66" bestFit="1" customWidth="1"/>
    <col min="1268" max="1268" width="5" style="66" bestFit="1" customWidth="1"/>
    <col min="1269" max="1269" width="4.88671875" style="66" bestFit="1" customWidth="1"/>
    <col min="1270" max="1272" width="9.33203125" style="66" customWidth="1"/>
    <col min="1273" max="1273" width="12.6640625" style="66" bestFit="1" customWidth="1"/>
    <col min="1274" max="1520" width="11.44140625" style="66"/>
    <col min="1521" max="1521" width="9.109375" style="66" bestFit="1" customWidth="1"/>
    <col min="1522" max="1522" width="7.6640625" style="66" bestFit="1" customWidth="1"/>
    <col min="1523" max="1523" width="9" style="66" bestFit="1" customWidth="1"/>
    <col min="1524" max="1524" width="5" style="66" bestFit="1" customWidth="1"/>
    <col min="1525" max="1525" width="4.88671875" style="66" bestFit="1" customWidth="1"/>
    <col min="1526" max="1528" width="9.33203125" style="66" customWidth="1"/>
    <col min="1529" max="1529" width="12.6640625" style="66" bestFit="1" customWidth="1"/>
    <col min="1530" max="1776" width="11.44140625" style="66"/>
    <col min="1777" max="1777" width="9.109375" style="66" bestFit="1" customWidth="1"/>
    <col min="1778" max="1778" width="7.6640625" style="66" bestFit="1" customWidth="1"/>
    <col min="1779" max="1779" width="9" style="66" bestFit="1" customWidth="1"/>
    <col min="1780" max="1780" width="5" style="66" bestFit="1" customWidth="1"/>
    <col min="1781" max="1781" width="4.88671875" style="66" bestFit="1" customWidth="1"/>
    <col min="1782" max="1784" width="9.33203125" style="66" customWidth="1"/>
    <col min="1785" max="1785" width="12.6640625" style="66" bestFit="1" customWidth="1"/>
    <col min="1786" max="2032" width="11.44140625" style="66"/>
    <col min="2033" max="2033" width="9.109375" style="66" bestFit="1" customWidth="1"/>
    <col min="2034" max="2034" width="7.6640625" style="66" bestFit="1" customWidth="1"/>
    <col min="2035" max="2035" width="9" style="66" bestFit="1" customWidth="1"/>
    <col min="2036" max="2036" width="5" style="66" bestFit="1" customWidth="1"/>
    <col min="2037" max="2037" width="4.88671875" style="66" bestFit="1" customWidth="1"/>
    <col min="2038" max="2040" width="9.33203125" style="66" customWidth="1"/>
    <col min="2041" max="2041" width="12.6640625" style="66" bestFit="1" customWidth="1"/>
    <col min="2042" max="2288" width="11.44140625" style="66"/>
    <col min="2289" max="2289" width="9.109375" style="66" bestFit="1" customWidth="1"/>
    <col min="2290" max="2290" width="7.6640625" style="66" bestFit="1" customWidth="1"/>
    <col min="2291" max="2291" width="9" style="66" bestFit="1" customWidth="1"/>
    <col min="2292" max="2292" width="5" style="66" bestFit="1" customWidth="1"/>
    <col min="2293" max="2293" width="4.88671875" style="66" bestFit="1" customWidth="1"/>
    <col min="2294" max="2296" width="9.33203125" style="66" customWidth="1"/>
    <col min="2297" max="2297" width="12.6640625" style="66" bestFit="1" customWidth="1"/>
    <col min="2298" max="2544" width="11.44140625" style="66"/>
    <col min="2545" max="2545" width="9.109375" style="66" bestFit="1" customWidth="1"/>
    <col min="2546" max="2546" width="7.6640625" style="66" bestFit="1" customWidth="1"/>
    <col min="2547" max="2547" width="9" style="66" bestFit="1" customWidth="1"/>
    <col min="2548" max="2548" width="5" style="66" bestFit="1" customWidth="1"/>
    <col min="2549" max="2549" width="4.88671875" style="66" bestFit="1" customWidth="1"/>
    <col min="2550" max="2552" width="9.33203125" style="66" customWidth="1"/>
    <col min="2553" max="2553" width="12.6640625" style="66" bestFit="1" customWidth="1"/>
    <col min="2554" max="2800" width="11.44140625" style="66"/>
    <col min="2801" max="2801" width="9.109375" style="66" bestFit="1" customWidth="1"/>
    <col min="2802" max="2802" width="7.6640625" style="66" bestFit="1" customWidth="1"/>
    <col min="2803" max="2803" width="9" style="66" bestFit="1" customWidth="1"/>
    <col min="2804" max="2804" width="5" style="66" bestFit="1" customWidth="1"/>
    <col min="2805" max="2805" width="4.88671875" style="66" bestFit="1" customWidth="1"/>
    <col min="2806" max="2808" width="9.33203125" style="66" customWidth="1"/>
    <col min="2809" max="2809" width="12.6640625" style="66" bestFit="1" customWidth="1"/>
    <col min="2810" max="3056" width="11.44140625" style="66"/>
    <col min="3057" max="3057" width="9.109375" style="66" bestFit="1" customWidth="1"/>
    <col min="3058" max="3058" width="7.6640625" style="66" bestFit="1" customWidth="1"/>
    <col min="3059" max="3059" width="9" style="66" bestFit="1" customWidth="1"/>
    <col min="3060" max="3060" width="5" style="66" bestFit="1" customWidth="1"/>
    <col min="3061" max="3061" width="4.88671875" style="66" bestFit="1" customWidth="1"/>
    <col min="3062" max="3064" width="9.33203125" style="66" customWidth="1"/>
    <col min="3065" max="3065" width="12.6640625" style="66" bestFit="1" customWidth="1"/>
    <col min="3066" max="3312" width="11.44140625" style="66"/>
    <col min="3313" max="3313" width="9.109375" style="66" bestFit="1" customWidth="1"/>
    <col min="3314" max="3314" width="7.6640625" style="66" bestFit="1" customWidth="1"/>
    <col min="3315" max="3315" width="9" style="66" bestFit="1" customWidth="1"/>
    <col min="3316" max="3316" width="5" style="66" bestFit="1" customWidth="1"/>
    <col min="3317" max="3317" width="4.88671875" style="66" bestFit="1" customWidth="1"/>
    <col min="3318" max="3320" width="9.33203125" style="66" customWidth="1"/>
    <col min="3321" max="3321" width="12.6640625" style="66" bestFit="1" customWidth="1"/>
    <col min="3322" max="3568" width="11.44140625" style="66"/>
    <col min="3569" max="3569" width="9.109375" style="66" bestFit="1" customWidth="1"/>
    <col min="3570" max="3570" width="7.6640625" style="66" bestFit="1" customWidth="1"/>
    <col min="3571" max="3571" width="9" style="66" bestFit="1" customWidth="1"/>
    <col min="3572" max="3572" width="5" style="66" bestFit="1" customWidth="1"/>
    <col min="3573" max="3573" width="4.88671875" style="66" bestFit="1" customWidth="1"/>
    <col min="3574" max="3576" width="9.33203125" style="66" customWidth="1"/>
    <col min="3577" max="3577" width="12.6640625" style="66" bestFit="1" customWidth="1"/>
    <col min="3578" max="3824" width="11.44140625" style="66"/>
    <col min="3825" max="3825" width="9.109375" style="66" bestFit="1" customWidth="1"/>
    <col min="3826" max="3826" width="7.6640625" style="66" bestFit="1" customWidth="1"/>
    <col min="3827" max="3827" width="9" style="66" bestFit="1" customWidth="1"/>
    <col min="3828" max="3828" width="5" style="66" bestFit="1" customWidth="1"/>
    <col min="3829" max="3829" width="4.88671875" style="66" bestFit="1" customWidth="1"/>
    <col min="3830" max="3832" width="9.33203125" style="66" customWidth="1"/>
    <col min="3833" max="3833" width="12.6640625" style="66" bestFit="1" customWidth="1"/>
    <col min="3834" max="4080" width="11.44140625" style="66"/>
    <col min="4081" max="4081" width="9.109375" style="66" bestFit="1" customWidth="1"/>
    <col min="4082" max="4082" width="7.6640625" style="66" bestFit="1" customWidth="1"/>
    <col min="4083" max="4083" width="9" style="66" bestFit="1" customWidth="1"/>
    <col min="4084" max="4084" width="5" style="66" bestFit="1" customWidth="1"/>
    <col min="4085" max="4085" width="4.88671875" style="66" bestFit="1" customWidth="1"/>
    <col min="4086" max="4088" width="9.33203125" style="66" customWidth="1"/>
    <col min="4089" max="4089" width="12.6640625" style="66" bestFit="1" customWidth="1"/>
    <col min="4090" max="4336" width="11.44140625" style="66"/>
    <col min="4337" max="4337" width="9.109375" style="66" bestFit="1" customWidth="1"/>
    <col min="4338" max="4338" width="7.6640625" style="66" bestFit="1" customWidth="1"/>
    <col min="4339" max="4339" width="9" style="66" bestFit="1" customWidth="1"/>
    <col min="4340" max="4340" width="5" style="66" bestFit="1" customWidth="1"/>
    <col min="4341" max="4341" width="4.88671875" style="66" bestFit="1" customWidth="1"/>
    <col min="4342" max="4344" width="9.33203125" style="66" customWidth="1"/>
    <col min="4345" max="4345" width="12.6640625" style="66" bestFit="1" customWidth="1"/>
    <col min="4346" max="4592" width="11.44140625" style="66"/>
    <col min="4593" max="4593" width="9.109375" style="66" bestFit="1" customWidth="1"/>
    <col min="4594" max="4594" width="7.6640625" style="66" bestFit="1" customWidth="1"/>
    <col min="4595" max="4595" width="9" style="66" bestFit="1" customWidth="1"/>
    <col min="4596" max="4596" width="5" style="66" bestFit="1" customWidth="1"/>
    <col min="4597" max="4597" width="4.88671875" style="66" bestFit="1" customWidth="1"/>
    <col min="4598" max="4600" width="9.33203125" style="66" customWidth="1"/>
    <col min="4601" max="4601" width="12.6640625" style="66" bestFit="1" customWidth="1"/>
    <col min="4602" max="4848" width="11.44140625" style="66"/>
    <col min="4849" max="4849" width="9.109375" style="66" bestFit="1" customWidth="1"/>
    <col min="4850" max="4850" width="7.6640625" style="66" bestFit="1" customWidth="1"/>
    <col min="4851" max="4851" width="9" style="66" bestFit="1" customWidth="1"/>
    <col min="4852" max="4852" width="5" style="66" bestFit="1" customWidth="1"/>
    <col min="4853" max="4853" width="4.88671875" style="66" bestFit="1" customWidth="1"/>
    <col min="4854" max="4856" width="9.33203125" style="66" customWidth="1"/>
    <col min="4857" max="4857" width="12.6640625" style="66" bestFit="1" customWidth="1"/>
    <col min="4858" max="5104" width="11.44140625" style="66"/>
    <col min="5105" max="5105" width="9.109375" style="66" bestFit="1" customWidth="1"/>
    <col min="5106" max="5106" width="7.6640625" style="66" bestFit="1" customWidth="1"/>
    <col min="5107" max="5107" width="9" style="66" bestFit="1" customWidth="1"/>
    <col min="5108" max="5108" width="5" style="66" bestFit="1" customWidth="1"/>
    <col min="5109" max="5109" width="4.88671875" style="66" bestFit="1" customWidth="1"/>
    <col min="5110" max="5112" width="9.33203125" style="66" customWidth="1"/>
    <col min="5113" max="5113" width="12.6640625" style="66" bestFit="1" customWidth="1"/>
    <col min="5114" max="5360" width="11.44140625" style="66"/>
    <col min="5361" max="5361" width="9.109375" style="66" bestFit="1" customWidth="1"/>
    <col min="5362" max="5362" width="7.6640625" style="66" bestFit="1" customWidth="1"/>
    <col min="5363" max="5363" width="9" style="66" bestFit="1" customWidth="1"/>
    <col min="5364" max="5364" width="5" style="66" bestFit="1" customWidth="1"/>
    <col min="5365" max="5365" width="4.88671875" style="66" bestFit="1" customWidth="1"/>
    <col min="5366" max="5368" width="9.33203125" style="66" customWidth="1"/>
    <col min="5369" max="5369" width="12.6640625" style="66" bestFit="1" customWidth="1"/>
    <col min="5370" max="5616" width="11.44140625" style="66"/>
    <col min="5617" max="5617" width="9.109375" style="66" bestFit="1" customWidth="1"/>
    <col min="5618" max="5618" width="7.6640625" style="66" bestFit="1" customWidth="1"/>
    <col min="5619" max="5619" width="9" style="66" bestFit="1" customWidth="1"/>
    <col min="5620" max="5620" width="5" style="66" bestFit="1" customWidth="1"/>
    <col min="5621" max="5621" width="4.88671875" style="66" bestFit="1" customWidth="1"/>
    <col min="5622" max="5624" width="9.33203125" style="66" customWidth="1"/>
    <col min="5625" max="5625" width="12.6640625" style="66" bestFit="1" customWidth="1"/>
    <col min="5626" max="5872" width="11.44140625" style="66"/>
    <col min="5873" max="5873" width="9.109375" style="66" bestFit="1" customWidth="1"/>
    <col min="5874" max="5874" width="7.6640625" style="66" bestFit="1" customWidth="1"/>
    <col min="5875" max="5875" width="9" style="66" bestFit="1" customWidth="1"/>
    <col min="5876" max="5876" width="5" style="66" bestFit="1" customWidth="1"/>
    <col min="5877" max="5877" width="4.88671875" style="66" bestFit="1" customWidth="1"/>
    <col min="5878" max="5880" width="9.33203125" style="66" customWidth="1"/>
    <col min="5881" max="5881" width="12.6640625" style="66" bestFit="1" customWidth="1"/>
    <col min="5882" max="6128" width="11.44140625" style="66"/>
    <col min="6129" max="6129" width="9.109375" style="66" bestFit="1" customWidth="1"/>
    <col min="6130" max="6130" width="7.6640625" style="66" bestFit="1" customWidth="1"/>
    <col min="6131" max="6131" width="9" style="66" bestFit="1" customWidth="1"/>
    <col min="6132" max="6132" width="5" style="66" bestFit="1" customWidth="1"/>
    <col min="6133" max="6133" width="4.88671875" style="66" bestFit="1" customWidth="1"/>
    <col min="6134" max="6136" width="9.33203125" style="66" customWidth="1"/>
    <col min="6137" max="6137" width="12.6640625" style="66" bestFit="1" customWidth="1"/>
    <col min="6138" max="6384" width="11.44140625" style="66"/>
    <col min="6385" max="6385" width="9.109375" style="66" bestFit="1" customWidth="1"/>
    <col min="6386" max="6386" width="7.6640625" style="66" bestFit="1" customWidth="1"/>
    <col min="6387" max="6387" width="9" style="66" bestFit="1" customWidth="1"/>
    <col min="6388" max="6388" width="5" style="66" bestFit="1" customWidth="1"/>
    <col min="6389" max="6389" width="4.88671875" style="66" bestFit="1" customWidth="1"/>
    <col min="6390" max="6392" width="9.33203125" style="66" customWidth="1"/>
    <col min="6393" max="6393" width="12.6640625" style="66" bestFit="1" customWidth="1"/>
    <col min="6394" max="6640" width="11.44140625" style="66"/>
    <col min="6641" max="6641" width="9.109375" style="66" bestFit="1" customWidth="1"/>
    <col min="6642" max="6642" width="7.6640625" style="66" bestFit="1" customWidth="1"/>
    <col min="6643" max="6643" width="9" style="66" bestFit="1" customWidth="1"/>
    <col min="6644" max="6644" width="5" style="66" bestFit="1" customWidth="1"/>
    <col min="6645" max="6645" width="4.88671875" style="66" bestFit="1" customWidth="1"/>
    <col min="6646" max="6648" width="9.33203125" style="66" customWidth="1"/>
    <col min="6649" max="6649" width="12.6640625" style="66" bestFit="1" customWidth="1"/>
    <col min="6650" max="6896" width="11.44140625" style="66"/>
    <col min="6897" max="6897" width="9.109375" style="66" bestFit="1" customWidth="1"/>
    <col min="6898" max="6898" width="7.6640625" style="66" bestFit="1" customWidth="1"/>
    <col min="6899" max="6899" width="9" style="66" bestFit="1" customWidth="1"/>
    <col min="6900" max="6900" width="5" style="66" bestFit="1" customWidth="1"/>
    <col min="6901" max="6901" width="4.88671875" style="66" bestFit="1" customWidth="1"/>
    <col min="6902" max="6904" width="9.33203125" style="66" customWidth="1"/>
    <col min="6905" max="6905" width="12.6640625" style="66" bestFit="1" customWidth="1"/>
    <col min="6906" max="7152" width="11.44140625" style="66"/>
    <col min="7153" max="7153" width="9.109375" style="66" bestFit="1" customWidth="1"/>
    <col min="7154" max="7154" width="7.6640625" style="66" bestFit="1" customWidth="1"/>
    <col min="7155" max="7155" width="9" style="66" bestFit="1" customWidth="1"/>
    <col min="7156" max="7156" width="5" style="66" bestFit="1" customWidth="1"/>
    <col min="7157" max="7157" width="4.88671875" style="66" bestFit="1" customWidth="1"/>
    <col min="7158" max="7160" width="9.33203125" style="66" customWidth="1"/>
    <col min="7161" max="7161" width="12.6640625" style="66" bestFit="1" customWidth="1"/>
    <col min="7162" max="7408" width="11.44140625" style="66"/>
    <col min="7409" max="7409" width="9.109375" style="66" bestFit="1" customWidth="1"/>
    <col min="7410" max="7410" width="7.6640625" style="66" bestFit="1" customWidth="1"/>
    <col min="7411" max="7411" width="9" style="66" bestFit="1" customWidth="1"/>
    <col min="7412" max="7412" width="5" style="66" bestFit="1" customWidth="1"/>
    <col min="7413" max="7413" width="4.88671875" style="66" bestFit="1" customWidth="1"/>
    <col min="7414" max="7416" width="9.33203125" style="66" customWidth="1"/>
    <col min="7417" max="7417" width="12.6640625" style="66" bestFit="1" customWidth="1"/>
    <col min="7418" max="7664" width="11.44140625" style="66"/>
    <col min="7665" max="7665" width="9.109375" style="66" bestFit="1" customWidth="1"/>
    <col min="7666" max="7666" width="7.6640625" style="66" bestFit="1" customWidth="1"/>
    <col min="7667" max="7667" width="9" style="66" bestFit="1" customWidth="1"/>
    <col min="7668" max="7668" width="5" style="66" bestFit="1" customWidth="1"/>
    <col min="7669" max="7669" width="4.88671875" style="66" bestFit="1" customWidth="1"/>
    <col min="7670" max="7672" width="9.33203125" style="66" customWidth="1"/>
    <col min="7673" max="7673" width="12.6640625" style="66" bestFit="1" customWidth="1"/>
    <col min="7674" max="7920" width="11.44140625" style="66"/>
    <col min="7921" max="7921" width="9.109375" style="66" bestFit="1" customWidth="1"/>
    <col min="7922" max="7922" width="7.6640625" style="66" bestFit="1" customWidth="1"/>
    <col min="7923" max="7923" width="9" style="66" bestFit="1" customWidth="1"/>
    <col min="7924" max="7924" width="5" style="66" bestFit="1" customWidth="1"/>
    <col min="7925" max="7925" width="4.88671875" style="66" bestFit="1" customWidth="1"/>
    <col min="7926" max="7928" width="9.33203125" style="66" customWidth="1"/>
    <col min="7929" max="7929" width="12.6640625" style="66" bestFit="1" customWidth="1"/>
    <col min="7930" max="8176" width="11.44140625" style="66"/>
    <col min="8177" max="8177" width="9.109375" style="66" bestFit="1" customWidth="1"/>
    <col min="8178" max="8178" width="7.6640625" style="66" bestFit="1" customWidth="1"/>
    <col min="8179" max="8179" width="9" style="66" bestFit="1" customWidth="1"/>
    <col min="8180" max="8180" width="5" style="66" bestFit="1" customWidth="1"/>
    <col min="8181" max="8181" width="4.88671875" style="66" bestFit="1" customWidth="1"/>
    <col min="8182" max="8184" width="9.33203125" style="66" customWidth="1"/>
    <col min="8185" max="8185" width="12.6640625" style="66" bestFit="1" customWidth="1"/>
    <col min="8186" max="8432" width="11.44140625" style="66"/>
    <col min="8433" max="8433" width="9.109375" style="66" bestFit="1" customWidth="1"/>
    <col min="8434" max="8434" width="7.6640625" style="66" bestFit="1" customWidth="1"/>
    <col min="8435" max="8435" width="9" style="66" bestFit="1" customWidth="1"/>
    <col min="8436" max="8436" width="5" style="66" bestFit="1" customWidth="1"/>
    <col min="8437" max="8437" width="4.88671875" style="66" bestFit="1" customWidth="1"/>
    <col min="8438" max="8440" width="9.33203125" style="66" customWidth="1"/>
    <col min="8441" max="8441" width="12.6640625" style="66" bestFit="1" customWidth="1"/>
    <col min="8442" max="8688" width="11.44140625" style="66"/>
    <col min="8689" max="8689" width="9.109375" style="66" bestFit="1" customWidth="1"/>
    <col min="8690" max="8690" width="7.6640625" style="66" bestFit="1" customWidth="1"/>
    <col min="8691" max="8691" width="9" style="66" bestFit="1" customWidth="1"/>
    <col min="8692" max="8692" width="5" style="66" bestFit="1" customWidth="1"/>
    <col min="8693" max="8693" width="4.88671875" style="66" bestFit="1" customWidth="1"/>
    <col min="8694" max="8696" width="9.33203125" style="66" customWidth="1"/>
    <col min="8697" max="8697" width="12.6640625" style="66" bestFit="1" customWidth="1"/>
    <col min="8698" max="8944" width="11.44140625" style="66"/>
    <col min="8945" max="8945" width="9.109375" style="66" bestFit="1" customWidth="1"/>
    <col min="8946" max="8946" width="7.6640625" style="66" bestFit="1" customWidth="1"/>
    <col min="8947" max="8947" width="9" style="66" bestFit="1" customWidth="1"/>
    <col min="8948" max="8948" width="5" style="66" bestFit="1" customWidth="1"/>
    <col min="8949" max="8949" width="4.88671875" style="66" bestFit="1" customWidth="1"/>
    <col min="8950" max="8952" width="9.33203125" style="66" customWidth="1"/>
    <col min="8953" max="8953" width="12.6640625" style="66" bestFit="1" customWidth="1"/>
    <col min="8954" max="9200" width="11.44140625" style="66"/>
    <col min="9201" max="9201" width="9.109375" style="66" bestFit="1" customWidth="1"/>
    <col min="9202" max="9202" width="7.6640625" style="66" bestFit="1" customWidth="1"/>
    <col min="9203" max="9203" width="9" style="66" bestFit="1" customWidth="1"/>
    <col min="9204" max="9204" width="5" style="66" bestFit="1" customWidth="1"/>
    <col min="9205" max="9205" width="4.88671875" style="66" bestFit="1" customWidth="1"/>
    <col min="9206" max="9208" width="9.33203125" style="66" customWidth="1"/>
    <col min="9209" max="9209" width="12.6640625" style="66" bestFit="1" customWidth="1"/>
    <col min="9210" max="9456" width="11.44140625" style="66"/>
    <col min="9457" max="9457" width="9.109375" style="66" bestFit="1" customWidth="1"/>
    <col min="9458" max="9458" width="7.6640625" style="66" bestFit="1" customWidth="1"/>
    <col min="9459" max="9459" width="9" style="66" bestFit="1" customWidth="1"/>
    <col min="9460" max="9460" width="5" style="66" bestFit="1" customWidth="1"/>
    <col min="9461" max="9461" width="4.88671875" style="66" bestFit="1" customWidth="1"/>
    <col min="9462" max="9464" width="9.33203125" style="66" customWidth="1"/>
    <col min="9465" max="9465" width="12.6640625" style="66" bestFit="1" customWidth="1"/>
    <col min="9466" max="9712" width="11.44140625" style="66"/>
    <col min="9713" max="9713" width="9.109375" style="66" bestFit="1" customWidth="1"/>
    <col min="9714" max="9714" width="7.6640625" style="66" bestFit="1" customWidth="1"/>
    <col min="9715" max="9715" width="9" style="66" bestFit="1" customWidth="1"/>
    <col min="9716" max="9716" width="5" style="66" bestFit="1" customWidth="1"/>
    <col min="9717" max="9717" width="4.88671875" style="66" bestFit="1" customWidth="1"/>
    <col min="9718" max="9720" width="9.33203125" style="66" customWidth="1"/>
    <col min="9721" max="9721" width="12.6640625" style="66" bestFit="1" customWidth="1"/>
    <col min="9722" max="9968" width="11.44140625" style="66"/>
    <col min="9969" max="9969" width="9.109375" style="66" bestFit="1" customWidth="1"/>
    <col min="9970" max="9970" width="7.6640625" style="66" bestFit="1" customWidth="1"/>
    <col min="9971" max="9971" width="9" style="66" bestFit="1" customWidth="1"/>
    <col min="9972" max="9972" width="5" style="66" bestFit="1" customWidth="1"/>
    <col min="9973" max="9973" width="4.88671875" style="66" bestFit="1" customWidth="1"/>
    <col min="9974" max="9976" width="9.33203125" style="66" customWidth="1"/>
    <col min="9977" max="9977" width="12.6640625" style="66" bestFit="1" customWidth="1"/>
    <col min="9978" max="10224" width="11.44140625" style="66"/>
    <col min="10225" max="10225" width="9.109375" style="66" bestFit="1" customWidth="1"/>
    <col min="10226" max="10226" width="7.6640625" style="66" bestFit="1" customWidth="1"/>
    <col min="10227" max="10227" width="9" style="66" bestFit="1" customWidth="1"/>
    <col min="10228" max="10228" width="5" style="66" bestFit="1" customWidth="1"/>
    <col min="10229" max="10229" width="4.88671875" style="66" bestFit="1" customWidth="1"/>
    <col min="10230" max="10232" width="9.33203125" style="66" customWidth="1"/>
    <col min="10233" max="10233" width="12.6640625" style="66" bestFit="1" customWidth="1"/>
    <col min="10234" max="10480" width="11.44140625" style="66"/>
    <col min="10481" max="10481" width="9.109375" style="66" bestFit="1" customWidth="1"/>
    <col min="10482" max="10482" width="7.6640625" style="66" bestFit="1" customWidth="1"/>
    <col min="10483" max="10483" width="9" style="66" bestFit="1" customWidth="1"/>
    <col min="10484" max="10484" width="5" style="66" bestFit="1" customWidth="1"/>
    <col min="10485" max="10485" width="4.88671875" style="66" bestFit="1" customWidth="1"/>
    <col min="10486" max="10488" width="9.33203125" style="66" customWidth="1"/>
    <col min="10489" max="10489" width="12.6640625" style="66" bestFit="1" customWidth="1"/>
    <col min="10490" max="10736" width="11.44140625" style="66"/>
    <col min="10737" max="10737" width="9.109375" style="66" bestFit="1" customWidth="1"/>
    <col min="10738" max="10738" width="7.6640625" style="66" bestFit="1" customWidth="1"/>
    <col min="10739" max="10739" width="9" style="66" bestFit="1" customWidth="1"/>
    <col min="10740" max="10740" width="5" style="66" bestFit="1" customWidth="1"/>
    <col min="10741" max="10741" width="4.88671875" style="66" bestFit="1" customWidth="1"/>
    <col min="10742" max="10744" width="9.33203125" style="66" customWidth="1"/>
    <col min="10745" max="10745" width="12.6640625" style="66" bestFit="1" customWidth="1"/>
    <col min="10746" max="10992" width="11.44140625" style="66"/>
    <col min="10993" max="10993" width="9.109375" style="66" bestFit="1" customWidth="1"/>
    <col min="10994" max="10994" width="7.6640625" style="66" bestFit="1" customWidth="1"/>
    <col min="10995" max="10995" width="9" style="66" bestFit="1" customWidth="1"/>
    <col min="10996" max="10996" width="5" style="66" bestFit="1" customWidth="1"/>
    <col min="10997" max="10997" width="4.88671875" style="66" bestFit="1" customWidth="1"/>
    <col min="10998" max="11000" width="9.33203125" style="66" customWidth="1"/>
    <col min="11001" max="11001" width="12.6640625" style="66" bestFit="1" customWidth="1"/>
    <col min="11002" max="11248" width="11.44140625" style="66"/>
    <col min="11249" max="11249" width="9.109375" style="66" bestFit="1" customWidth="1"/>
    <col min="11250" max="11250" width="7.6640625" style="66" bestFit="1" customWidth="1"/>
    <col min="11251" max="11251" width="9" style="66" bestFit="1" customWidth="1"/>
    <col min="11252" max="11252" width="5" style="66" bestFit="1" customWidth="1"/>
    <col min="11253" max="11253" width="4.88671875" style="66" bestFit="1" customWidth="1"/>
    <col min="11254" max="11256" width="9.33203125" style="66" customWidth="1"/>
    <col min="11257" max="11257" width="12.6640625" style="66" bestFit="1" customWidth="1"/>
    <col min="11258" max="11504" width="11.44140625" style="66"/>
    <col min="11505" max="11505" width="9.109375" style="66" bestFit="1" customWidth="1"/>
    <col min="11506" max="11506" width="7.6640625" style="66" bestFit="1" customWidth="1"/>
    <col min="11507" max="11507" width="9" style="66" bestFit="1" customWidth="1"/>
    <col min="11508" max="11508" width="5" style="66" bestFit="1" customWidth="1"/>
    <col min="11509" max="11509" width="4.88671875" style="66" bestFit="1" customWidth="1"/>
    <col min="11510" max="11512" width="9.33203125" style="66" customWidth="1"/>
    <col min="11513" max="11513" width="12.6640625" style="66" bestFit="1" customWidth="1"/>
    <col min="11514" max="11760" width="11.44140625" style="66"/>
    <col min="11761" max="11761" width="9.109375" style="66" bestFit="1" customWidth="1"/>
    <col min="11762" max="11762" width="7.6640625" style="66" bestFit="1" customWidth="1"/>
    <col min="11763" max="11763" width="9" style="66" bestFit="1" customWidth="1"/>
    <col min="11764" max="11764" width="5" style="66" bestFit="1" customWidth="1"/>
    <col min="11765" max="11765" width="4.88671875" style="66" bestFit="1" customWidth="1"/>
    <col min="11766" max="11768" width="9.33203125" style="66" customWidth="1"/>
    <col min="11769" max="11769" width="12.6640625" style="66" bestFit="1" customWidth="1"/>
    <col min="11770" max="12016" width="11.44140625" style="66"/>
    <col min="12017" max="12017" width="9.109375" style="66" bestFit="1" customWidth="1"/>
    <col min="12018" max="12018" width="7.6640625" style="66" bestFit="1" customWidth="1"/>
    <col min="12019" max="12019" width="9" style="66" bestFit="1" customWidth="1"/>
    <col min="12020" max="12020" width="5" style="66" bestFit="1" customWidth="1"/>
    <col min="12021" max="12021" width="4.88671875" style="66" bestFit="1" customWidth="1"/>
    <col min="12022" max="12024" width="9.33203125" style="66" customWidth="1"/>
    <col min="12025" max="12025" width="12.6640625" style="66" bestFit="1" customWidth="1"/>
    <col min="12026" max="12272" width="11.44140625" style="66"/>
    <col min="12273" max="12273" width="9.109375" style="66" bestFit="1" customWidth="1"/>
    <col min="12274" max="12274" width="7.6640625" style="66" bestFit="1" customWidth="1"/>
    <col min="12275" max="12275" width="9" style="66" bestFit="1" customWidth="1"/>
    <col min="12276" max="12276" width="5" style="66" bestFit="1" customWidth="1"/>
    <col min="12277" max="12277" width="4.88671875" style="66" bestFit="1" customWidth="1"/>
    <col min="12278" max="12280" width="9.33203125" style="66" customWidth="1"/>
    <col min="12281" max="12281" width="12.6640625" style="66" bestFit="1" customWidth="1"/>
    <col min="12282" max="12528" width="11.44140625" style="66"/>
    <col min="12529" max="12529" width="9.109375" style="66" bestFit="1" customWidth="1"/>
    <col min="12530" max="12530" width="7.6640625" style="66" bestFit="1" customWidth="1"/>
    <col min="12531" max="12531" width="9" style="66" bestFit="1" customWidth="1"/>
    <col min="12532" max="12532" width="5" style="66" bestFit="1" customWidth="1"/>
    <col min="12533" max="12533" width="4.88671875" style="66" bestFit="1" customWidth="1"/>
    <col min="12534" max="12536" width="9.33203125" style="66" customWidth="1"/>
    <col min="12537" max="12537" width="12.6640625" style="66" bestFit="1" customWidth="1"/>
    <col min="12538" max="12784" width="11.44140625" style="66"/>
    <col min="12785" max="12785" width="9.109375" style="66" bestFit="1" customWidth="1"/>
    <col min="12786" max="12786" width="7.6640625" style="66" bestFit="1" customWidth="1"/>
    <col min="12787" max="12787" width="9" style="66" bestFit="1" customWidth="1"/>
    <col min="12788" max="12788" width="5" style="66" bestFit="1" customWidth="1"/>
    <col min="12789" max="12789" width="4.88671875" style="66" bestFit="1" customWidth="1"/>
    <col min="12790" max="12792" width="9.33203125" style="66" customWidth="1"/>
    <col min="12793" max="12793" width="12.6640625" style="66" bestFit="1" customWidth="1"/>
    <col min="12794" max="13040" width="11.44140625" style="66"/>
    <col min="13041" max="13041" width="9.109375" style="66" bestFit="1" customWidth="1"/>
    <col min="13042" max="13042" width="7.6640625" style="66" bestFit="1" customWidth="1"/>
    <col min="13043" max="13043" width="9" style="66" bestFit="1" customWidth="1"/>
    <col min="13044" max="13044" width="5" style="66" bestFit="1" customWidth="1"/>
    <col min="13045" max="13045" width="4.88671875" style="66" bestFit="1" customWidth="1"/>
    <col min="13046" max="13048" width="9.33203125" style="66" customWidth="1"/>
    <col min="13049" max="13049" width="12.6640625" style="66" bestFit="1" customWidth="1"/>
    <col min="13050" max="13296" width="11.44140625" style="66"/>
    <col min="13297" max="13297" width="9.109375" style="66" bestFit="1" customWidth="1"/>
    <col min="13298" max="13298" width="7.6640625" style="66" bestFit="1" customWidth="1"/>
    <col min="13299" max="13299" width="9" style="66" bestFit="1" customWidth="1"/>
    <col min="13300" max="13300" width="5" style="66" bestFit="1" customWidth="1"/>
    <col min="13301" max="13301" width="4.88671875" style="66" bestFit="1" customWidth="1"/>
    <col min="13302" max="13304" width="9.33203125" style="66" customWidth="1"/>
    <col min="13305" max="13305" width="12.6640625" style="66" bestFit="1" customWidth="1"/>
    <col min="13306" max="13552" width="11.44140625" style="66"/>
    <col min="13553" max="13553" width="9.109375" style="66" bestFit="1" customWidth="1"/>
    <col min="13554" max="13554" width="7.6640625" style="66" bestFit="1" customWidth="1"/>
    <col min="13555" max="13555" width="9" style="66" bestFit="1" customWidth="1"/>
    <col min="13556" max="13556" width="5" style="66" bestFit="1" customWidth="1"/>
    <col min="13557" max="13557" width="4.88671875" style="66" bestFit="1" customWidth="1"/>
    <col min="13558" max="13560" width="9.33203125" style="66" customWidth="1"/>
    <col min="13561" max="13561" width="12.6640625" style="66" bestFit="1" customWidth="1"/>
    <col min="13562" max="13808" width="11.44140625" style="66"/>
    <col min="13809" max="13809" width="9.109375" style="66" bestFit="1" customWidth="1"/>
    <col min="13810" max="13810" width="7.6640625" style="66" bestFit="1" customWidth="1"/>
    <col min="13811" max="13811" width="9" style="66" bestFit="1" customWidth="1"/>
    <col min="13812" max="13812" width="5" style="66" bestFit="1" customWidth="1"/>
    <col min="13813" max="13813" width="4.88671875" style="66" bestFit="1" customWidth="1"/>
    <col min="13814" max="13816" width="9.33203125" style="66" customWidth="1"/>
    <col min="13817" max="13817" width="12.6640625" style="66" bestFit="1" customWidth="1"/>
    <col min="13818" max="14064" width="11.44140625" style="66"/>
    <col min="14065" max="14065" width="9.109375" style="66" bestFit="1" customWidth="1"/>
    <col min="14066" max="14066" width="7.6640625" style="66" bestFit="1" customWidth="1"/>
    <col min="14067" max="14067" width="9" style="66" bestFit="1" customWidth="1"/>
    <col min="14068" max="14068" width="5" style="66" bestFit="1" customWidth="1"/>
    <col min="14069" max="14069" width="4.88671875" style="66" bestFit="1" customWidth="1"/>
    <col min="14070" max="14072" width="9.33203125" style="66" customWidth="1"/>
    <col min="14073" max="14073" width="12.6640625" style="66" bestFit="1" customWidth="1"/>
    <col min="14074" max="14320" width="11.44140625" style="66"/>
    <col min="14321" max="14321" width="9.109375" style="66" bestFit="1" customWidth="1"/>
    <col min="14322" max="14322" width="7.6640625" style="66" bestFit="1" customWidth="1"/>
    <col min="14323" max="14323" width="9" style="66" bestFit="1" customWidth="1"/>
    <col min="14324" max="14324" width="5" style="66" bestFit="1" customWidth="1"/>
    <col min="14325" max="14325" width="4.88671875" style="66" bestFit="1" customWidth="1"/>
    <col min="14326" max="14328" width="9.33203125" style="66" customWidth="1"/>
    <col min="14329" max="14329" width="12.6640625" style="66" bestFit="1" customWidth="1"/>
    <col min="14330" max="14576" width="11.44140625" style="66"/>
    <col min="14577" max="14577" width="9.109375" style="66" bestFit="1" customWidth="1"/>
    <col min="14578" max="14578" width="7.6640625" style="66" bestFit="1" customWidth="1"/>
    <col min="14579" max="14579" width="9" style="66" bestFit="1" customWidth="1"/>
    <col min="14580" max="14580" width="5" style="66" bestFit="1" customWidth="1"/>
    <col min="14581" max="14581" width="4.88671875" style="66" bestFit="1" customWidth="1"/>
    <col min="14582" max="14584" width="9.33203125" style="66" customWidth="1"/>
    <col min="14585" max="14585" width="12.6640625" style="66" bestFit="1" customWidth="1"/>
    <col min="14586" max="14832" width="11.44140625" style="66"/>
    <col min="14833" max="14833" width="9.109375" style="66" bestFit="1" customWidth="1"/>
    <col min="14834" max="14834" width="7.6640625" style="66" bestFit="1" customWidth="1"/>
    <col min="14835" max="14835" width="9" style="66" bestFit="1" customWidth="1"/>
    <col min="14836" max="14836" width="5" style="66" bestFit="1" customWidth="1"/>
    <col min="14837" max="14837" width="4.88671875" style="66" bestFit="1" customWidth="1"/>
    <col min="14838" max="14840" width="9.33203125" style="66" customWidth="1"/>
    <col min="14841" max="14841" width="12.6640625" style="66" bestFit="1" customWidth="1"/>
    <col min="14842" max="15088" width="11.44140625" style="66"/>
    <col min="15089" max="15089" width="9.109375" style="66" bestFit="1" customWidth="1"/>
    <col min="15090" max="15090" width="7.6640625" style="66" bestFit="1" customWidth="1"/>
    <col min="15091" max="15091" width="9" style="66" bestFit="1" customWidth="1"/>
    <col min="15092" max="15092" width="5" style="66" bestFit="1" customWidth="1"/>
    <col min="15093" max="15093" width="4.88671875" style="66" bestFit="1" customWidth="1"/>
    <col min="15094" max="15096" width="9.33203125" style="66" customWidth="1"/>
    <col min="15097" max="15097" width="12.6640625" style="66" bestFit="1" customWidth="1"/>
    <col min="15098" max="15344" width="11.44140625" style="66"/>
    <col min="15345" max="15345" width="9.109375" style="66" bestFit="1" customWidth="1"/>
    <col min="15346" max="15346" width="7.6640625" style="66" bestFit="1" customWidth="1"/>
    <col min="15347" max="15347" width="9" style="66" bestFit="1" customWidth="1"/>
    <col min="15348" max="15348" width="5" style="66" bestFit="1" customWidth="1"/>
    <col min="15349" max="15349" width="4.88671875" style="66" bestFit="1" customWidth="1"/>
    <col min="15350" max="15352" width="9.33203125" style="66" customWidth="1"/>
    <col min="15353" max="15353" width="12.6640625" style="66" bestFit="1" customWidth="1"/>
    <col min="15354" max="15600" width="11.44140625" style="66"/>
    <col min="15601" max="15601" width="9.109375" style="66" bestFit="1" customWidth="1"/>
    <col min="15602" max="15602" width="7.6640625" style="66" bestFit="1" customWidth="1"/>
    <col min="15603" max="15603" width="9" style="66" bestFit="1" customWidth="1"/>
    <col min="15604" max="15604" width="5" style="66" bestFit="1" customWidth="1"/>
    <col min="15605" max="15605" width="4.88671875" style="66" bestFit="1" customWidth="1"/>
    <col min="15606" max="15608" width="9.33203125" style="66" customWidth="1"/>
    <col min="15609" max="15609" width="12.6640625" style="66" bestFit="1" customWidth="1"/>
    <col min="15610" max="15856" width="11.44140625" style="66"/>
    <col min="15857" max="15857" width="9.109375" style="66" bestFit="1" customWidth="1"/>
    <col min="15858" max="15858" width="7.6640625" style="66" bestFit="1" customWidth="1"/>
    <col min="15859" max="15859" width="9" style="66" bestFit="1" customWidth="1"/>
    <col min="15860" max="15860" width="5" style="66" bestFit="1" customWidth="1"/>
    <col min="15861" max="15861" width="4.88671875" style="66" bestFit="1" customWidth="1"/>
    <col min="15862" max="15864" width="9.33203125" style="66" customWidth="1"/>
    <col min="15865" max="15865" width="12.6640625" style="66" bestFit="1" customWidth="1"/>
    <col min="15866" max="16112" width="11.44140625" style="66"/>
    <col min="16113" max="16113" width="9.109375" style="66" bestFit="1" customWidth="1"/>
    <col min="16114" max="16114" width="7.6640625" style="66" bestFit="1" customWidth="1"/>
    <col min="16115" max="16115" width="9" style="66" bestFit="1" customWidth="1"/>
    <col min="16116" max="16116" width="5" style="66" bestFit="1" customWidth="1"/>
    <col min="16117" max="16117" width="4.88671875" style="66" bestFit="1" customWidth="1"/>
    <col min="16118" max="16120" width="9.33203125" style="66" customWidth="1"/>
    <col min="16121" max="16121" width="12.6640625" style="66" bestFit="1" customWidth="1"/>
    <col min="16122" max="16384" width="11.44140625" style="66"/>
  </cols>
  <sheetData>
    <row r="3" spans="2:17" ht="13.2" x14ac:dyDescent="0.25">
      <c r="B3" s="25" t="s">
        <v>43</v>
      </c>
      <c r="C3" s="45"/>
      <c r="D3" s="45"/>
      <c r="E3" s="45"/>
      <c r="F3" s="45"/>
      <c r="G3" s="45"/>
      <c r="H3" s="45"/>
      <c r="I3" s="45"/>
    </row>
    <row r="4" spans="2:17" ht="13.8" x14ac:dyDescent="0.2">
      <c r="B4" s="67" t="s">
        <v>44</v>
      </c>
      <c r="C4" s="67" t="s">
        <v>3</v>
      </c>
      <c r="D4" s="67" t="s">
        <v>45</v>
      </c>
      <c r="E4" s="67" t="s">
        <v>46</v>
      </c>
      <c r="F4" s="67" t="s">
        <v>47</v>
      </c>
      <c r="G4" s="67" t="s">
        <v>73</v>
      </c>
      <c r="H4" s="67" t="s">
        <v>74</v>
      </c>
      <c r="I4" s="67" t="s">
        <v>72</v>
      </c>
      <c r="J4" s="67" t="s">
        <v>49</v>
      </c>
      <c r="K4" s="67" t="s">
        <v>50</v>
      </c>
    </row>
    <row r="5" spans="2:17" x14ac:dyDescent="0.2">
      <c r="D5" s="45" t="s">
        <v>51</v>
      </c>
      <c r="E5" s="45"/>
      <c r="F5" s="45"/>
      <c r="G5" s="48">
        <f>Data!$I$6*0.5*0.9</f>
        <v>18861.247232876714</v>
      </c>
      <c r="H5" s="48">
        <f>Data!$I$9*0.9*0.5</f>
        <v>1616.6783342465758</v>
      </c>
      <c r="I5" s="48">
        <f>Data!$I$10*0.5</f>
        <v>1744.2782334246579</v>
      </c>
      <c r="J5" s="45" t="s">
        <v>83</v>
      </c>
      <c r="K5" s="45"/>
    </row>
    <row r="6" spans="2:17" x14ac:dyDescent="0.2">
      <c r="D6" s="45" t="s">
        <v>51</v>
      </c>
      <c r="E6" s="45"/>
      <c r="F6" s="45"/>
      <c r="G6" s="48">
        <f>Data!$I$6*0.25*0.9</f>
        <v>9430.6236164383572</v>
      </c>
      <c r="H6" s="48">
        <f>Data!$I$9*0.9*0.5</f>
        <v>1616.6783342465758</v>
      </c>
      <c r="I6" s="48">
        <f>Data!$I$10*0.25</f>
        <v>872.13911671232893</v>
      </c>
      <c r="J6" s="45" t="s">
        <v>84</v>
      </c>
      <c r="K6" s="45"/>
    </row>
    <row r="7" spans="2:17" x14ac:dyDescent="0.2">
      <c r="D7" s="45" t="s">
        <v>51</v>
      </c>
      <c r="E7" s="45"/>
      <c r="F7" s="45"/>
      <c r="G7" s="48">
        <f>Data!$I$6*0.25*0.9*3</f>
        <v>28291.87084931507</v>
      </c>
      <c r="H7" s="48">
        <f>SUM(H5:H6)*5</f>
        <v>16166.783342465758</v>
      </c>
      <c r="I7" s="48">
        <f>Data!$I$10*0.25*3</f>
        <v>2616.4173501369869</v>
      </c>
      <c r="J7" s="45" t="s">
        <v>85</v>
      </c>
      <c r="K7" s="45"/>
      <c r="M7" s="66" t="s">
        <v>175</v>
      </c>
      <c r="Q7" s="66" t="s">
        <v>172</v>
      </c>
    </row>
    <row r="8" spans="2:17" x14ac:dyDescent="0.2">
      <c r="D8" s="45" t="s">
        <v>51</v>
      </c>
      <c r="E8" s="45"/>
      <c r="F8" s="45"/>
      <c r="G8" s="48">
        <f>Data!$I$6*0.5*0.1</f>
        <v>2095.6941369863016</v>
      </c>
      <c r="H8" s="48">
        <f>Data!$I$9*0.1*0.5</f>
        <v>179.63092602739732</v>
      </c>
      <c r="I8" s="48">
        <v>0</v>
      </c>
      <c r="J8" s="45" t="s">
        <v>86</v>
      </c>
      <c r="K8" s="45"/>
    </row>
    <row r="9" spans="2:17" x14ac:dyDescent="0.2">
      <c r="D9" s="45" t="s">
        <v>51</v>
      </c>
      <c r="E9" s="45"/>
      <c r="F9" s="45"/>
      <c r="G9" s="48">
        <f>Data!$I$6*0.25*0.1</f>
        <v>1047.8470684931508</v>
      </c>
      <c r="H9" s="48">
        <f>Data!$I$9*0.1*0.5</f>
        <v>179.63092602739732</v>
      </c>
      <c r="I9" s="48">
        <v>0</v>
      </c>
      <c r="J9" s="45" t="s">
        <v>87</v>
      </c>
      <c r="K9" s="45"/>
    </row>
    <row r="10" spans="2:17" x14ac:dyDescent="0.2">
      <c r="D10" s="45" t="s">
        <v>51</v>
      </c>
      <c r="E10" s="45"/>
      <c r="F10" s="45"/>
      <c r="G10" s="48">
        <f>Data!$I$6*0.25*0.1</f>
        <v>1047.8470684931508</v>
      </c>
      <c r="H10" s="48">
        <f>SUM(H8:H9)*5</f>
        <v>1796.3092602739732</v>
      </c>
      <c r="I10" s="48">
        <v>0</v>
      </c>
      <c r="J10" s="45" t="s">
        <v>88</v>
      </c>
      <c r="K10" s="45"/>
    </row>
    <row r="11" spans="2:17" x14ac:dyDescent="0.2">
      <c r="D11" s="45" t="s">
        <v>52</v>
      </c>
      <c r="E11" s="45">
        <v>2017</v>
      </c>
      <c r="F11" s="45"/>
      <c r="G11" s="45">
        <v>2</v>
      </c>
      <c r="H11" s="45">
        <v>2</v>
      </c>
      <c r="I11" s="45">
        <v>2</v>
      </c>
      <c r="J11" s="45" t="s">
        <v>83</v>
      </c>
      <c r="K11" s="45" t="str">
        <f>MID(J11,4,6)</f>
        <v>RSVOIL</v>
      </c>
    </row>
    <row r="12" spans="2:17" x14ac:dyDescent="0.2">
      <c r="D12" s="45" t="s">
        <v>52</v>
      </c>
      <c r="E12" s="45">
        <v>2017</v>
      </c>
      <c r="F12" s="45"/>
      <c r="G12" s="45">
        <v>3</v>
      </c>
      <c r="H12" s="45">
        <v>3</v>
      </c>
      <c r="I12" s="45">
        <v>3</v>
      </c>
      <c r="J12" s="45" t="s">
        <v>84</v>
      </c>
      <c r="K12" s="45" t="str">
        <f t="shared" ref="K12:K22" si="0">MID(J12,4,6)</f>
        <v>RSVOIL</v>
      </c>
    </row>
    <row r="13" spans="2:17" x14ac:dyDescent="0.2">
      <c r="D13" s="45" t="s">
        <v>52</v>
      </c>
      <c r="E13" s="45">
        <v>2017</v>
      </c>
      <c r="F13" s="45"/>
      <c r="G13" s="45">
        <v>3.5</v>
      </c>
      <c r="H13" s="45">
        <v>3.5</v>
      </c>
      <c r="I13" s="45">
        <v>3.5</v>
      </c>
      <c r="J13" s="45" t="s">
        <v>85</v>
      </c>
      <c r="K13" s="45" t="str">
        <f t="shared" si="0"/>
        <v>RSVOIL</v>
      </c>
    </row>
    <row r="14" spans="2:17" x14ac:dyDescent="0.2">
      <c r="D14" s="45" t="s">
        <v>52</v>
      </c>
      <c r="E14" s="45">
        <v>2017</v>
      </c>
      <c r="F14" s="45"/>
      <c r="G14" s="45">
        <f>G11/10</f>
        <v>0.2</v>
      </c>
      <c r="H14" s="45">
        <f>H11/10</f>
        <v>0.2</v>
      </c>
      <c r="I14" s="45">
        <f>I11/10</f>
        <v>0.2</v>
      </c>
      <c r="J14" s="45" t="s">
        <v>86</v>
      </c>
      <c r="K14" s="45" t="str">
        <f t="shared" si="0"/>
        <v>OILNGL</v>
      </c>
    </row>
    <row r="15" spans="2:17" x14ac:dyDescent="0.2">
      <c r="D15" s="45" t="s">
        <v>52</v>
      </c>
      <c r="E15" s="45">
        <v>2017</v>
      </c>
      <c r="F15" s="45"/>
      <c r="G15" s="45">
        <f t="shared" ref="G15:I16" si="1">G12/10</f>
        <v>0.3</v>
      </c>
      <c r="H15" s="45">
        <f t="shared" si="1"/>
        <v>0.3</v>
      </c>
      <c r="I15" s="45">
        <f t="shared" si="1"/>
        <v>0.3</v>
      </c>
      <c r="J15" s="45" t="s">
        <v>87</v>
      </c>
      <c r="K15" s="45" t="str">
        <f t="shared" si="0"/>
        <v>OILNGL</v>
      </c>
    </row>
    <row r="16" spans="2:17" x14ac:dyDescent="0.2">
      <c r="D16" s="45" t="s">
        <v>52</v>
      </c>
      <c r="E16" s="45">
        <v>2017</v>
      </c>
      <c r="F16" s="45"/>
      <c r="G16" s="45">
        <f t="shared" si="1"/>
        <v>0.35</v>
      </c>
      <c r="H16" s="45">
        <f t="shared" si="1"/>
        <v>0.35</v>
      </c>
      <c r="I16" s="45">
        <f t="shared" si="1"/>
        <v>0.35</v>
      </c>
      <c r="J16" s="45" t="s">
        <v>88</v>
      </c>
      <c r="K16" s="45" t="str">
        <f t="shared" si="0"/>
        <v>OILNGL</v>
      </c>
    </row>
    <row r="17" spans="4:11" x14ac:dyDescent="0.2">
      <c r="D17" s="45" t="s">
        <v>52</v>
      </c>
      <c r="E17" s="45">
        <v>2050</v>
      </c>
      <c r="F17" s="45"/>
      <c r="G17" s="45">
        <f t="shared" ref="G17:I19" si="2">G11*1.1</f>
        <v>2.2000000000000002</v>
      </c>
      <c r="H17" s="45">
        <f t="shared" si="2"/>
        <v>2.2000000000000002</v>
      </c>
      <c r="I17" s="45">
        <f t="shared" si="2"/>
        <v>2.2000000000000002</v>
      </c>
      <c r="J17" s="45" t="s">
        <v>83</v>
      </c>
      <c r="K17" s="45" t="str">
        <f t="shared" si="0"/>
        <v>RSVOIL</v>
      </c>
    </row>
    <row r="18" spans="4:11" x14ac:dyDescent="0.2">
      <c r="D18" s="45" t="s">
        <v>52</v>
      </c>
      <c r="E18" s="45">
        <v>2050</v>
      </c>
      <c r="F18" s="45"/>
      <c r="G18" s="45">
        <f t="shared" si="2"/>
        <v>3.3000000000000003</v>
      </c>
      <c r="H18" s="45">
        <f t="shared" si="2"/>
        <v>3.3000000000000003</v>
      </c>
      <c r="I18" s="45">
        <f t="shared" si="2"/>
        <v>3.3000000000000003</v>
      </c>
      <c r="J18" s="45" t="s">
        <v>84</v>
      </c>
      <c r="K18" s="45" t="str">
        <f t="shared" si="0"/>
        <v>RSVOIL</v>
      </c>
    </row>
    <row r="19" spans="4:11" x14ac:dyDescent="0.2">
      <c r="D19" s="45" t="s">
        <v>52</v>
      </c>
      <c r="E19" s="45">
        <v>2050</v>
      </c>
      <c r="F19" s="45"/>
      <c r="G19" s="45">
        <f t="shared" si="2"/>
        <v>3.8500000000000005</v>
      </c>
      <c r="H19" s="45">
        <f t="shared" si="2"/>
        <v>3.8500000000000005</v>
      </c>
      <c r="I19" s="45">
        <f t="shared" si="2"/>
        <v>3.8500000000000005</v>
      </c>
      <c r="J19" s="45" t="s">
        <v>85</v>
      </c>
      <c r="K19" s="45" t="str">
        <f t="shared" si="0"/>
        <v>RSVOIL</v>
      </c>
    </row>
    <row r="20" spans="4:11" x14ac:dyDescent="0.2">
      <c r="D20" s="45" t="s">
        <v>52</v>
      </c>
      <c r="E20" s="45">
        <v>2050</v>
      </c>
      <c r="F20" s="45"/>
      <c r="G20" s="45">
        <f>G17/10</f>
        <v>0.22000000000000003</v>
      </c>
      <c r="H20" s="45">
        <f>H17/10</f>
        <v>0.22000000000000003</v>
      </c>
      <c r="I20" s="45">
        <f>I17/10</f>
        <v>0.22000000000000003</v>
      </c>
      <c r="J20" s="45" t="s">
        <v>86</v>
      </c>
      <c r="K20" s="45" t="str">
        <f t="shared" si="0"/>
        <v>OILNGL</v>
      </c>
    </row>
    <row r="21" spans="4:11" x14ac:dyDescent="0.2">
      <c r="D21" s="45" t="s">
        <v>52</v>
      </c>
      <c r="E21" s="45">
        <v>2050</v>
      </c>
      <c r="F21" s="45"/>
      <c r="G21" s="45">
        <f t="shared" ref="G21:I22" si="3">G18/10</f>
        <v>0.33</v>
      </c>
      <c r="H21" s="45">
        <f t="shared" si="3"/>
        <v>0.33</v>
      </c>
      <c r="I21" s="45">
        <f t="shared" si="3"/>
        <v>0.33</v>
      </c>
      <c r="J21" s="45" t="s">
        <v>87</v>
      </c>
      <c r="K21" s="45" t="str">
        <f t="shared" si="0"/>
        <v>OILNGL</v>
      </c>
    </row>
    <row r="22" spans="4:11" x14ac:dyDescent="0.2">
      <c r="D22" s="45" t="s">
        <v>52</v>
      </c>
      <c r="E22" s="45">
        <v>2050</v>
      </c>
      <c r="F22" s="45"/>
      <c r="G22" s="45">
        <f t="shared" si="3"/>
        <v>0.38500000000000006</v>
      </c>
      <c r="H22" s="45">
        <f t="shared" si="3"/>
        <v>0.38500000000000006</v>
      </c>
      <c r="I22" s="45">
        <f t="shared" si="3"/>
        <v>0.38500000000000006</v>
      </c>
      <c r="J22" s="45" t="s">
        <v>88</v>
      </c>
      <c r="K22" s="45" t="str">
        <f t="shared" si="0"/>
        <v>OILNGL</v>
      </c>
    </row>
    <row r="23" spans="4:11" x14ac:dyDescent="0.2">
      <c r="D23" s="45"/>
      <c r="E23" s="45"/>
      <c r="F23" s="45"/>
      <c r="G23" s="45"/>
      <c r="H23" s="45"/>
      <c r="I23" s="45"/>
    </row>
    <row r="24" spans="4:11" x14ac:dyDescent="0.2">
      <c r="D24" s="45"/>
      <c r="E24" s="45"/>
      <c r="F24" s="45"/>
      <c r="G24" s="45"/>
      <c r="H24" s="45"/>
    </row>
    <row r="25" spans="4:11" x14ac:dyDescent="0.2">
      <c r="D25" s="45"/>
      <c r="E25" s="45"/>
      <c r="F25" s="45"/>
      <c r="G25" s="45"/>
      <c r="H25" s="45"/>
    </row>
    <row r="26" spans="4:11" x14ac:dyDescent="0.2">
      <c r="D26" s="45"/>
      <c r="E26" s="45"/>
      <c r="F26" s="45"/>
      <c r="G26" s="45"/>
      <c r="H26" s="45"/>
    </row>
    <row r="27" spans="4:11" x14ac:dyDescent="0.2">
      <c r="D27" s="45"/>
      <c r="E27" s="45"/>
      <c r="F27" s="45"/>
      <c r="G27" s="45"/>
      <c r="H27" s="45"/>
    </row>
    <row r="28" spans="4:11" x14ac:dyDescent="0.2">
      <c r="D28" s="45"/>
      <c r="E28" s="45"/>
      <c r="F28" s="45"/>
      <c r="G28" s="45"/>
      <c r="H28" s="45"/>
    </row>
    <row r="29" spans="4:11" x14ac:dyDescent="0.2">
      <c r="D29" s="45"/>
      <c r="E29" s="45"/>
      <c r="F29" s="45"/>
      <c r="G29" s="45"/>
      <c r="H29" s="45"/>
    </row>
    <row r="30" spans="4:11" x14ac:dyDescent="0.2">
      <c r="D30" s="45"/>
      <c r="E30" s="45"/>
      <c r="F30" s="45"/>
      <c r="G30" s="45"/>
      <c r="H30"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OBJ</vt:lpstr>
      <vt:lpstr>Data</vt:lpstr>
      <vt:lpstr>COAL-KZK</vt:lpstr>
      <vt:lpstr>GAS-KZK</vt:lpstr>
      <vt:lpstr>OIL-KZK</vt:lpstr>
      <vt:lpstr>UCs-KZK</vt:lpstr>
      <vt:lpstr>COAL-CAC</vt:lpstr>
      <vt:lpstr>GAS-CAC</vt:lpstr>
      <vt:lpstr>OIL-CAC</vt:lpstr>
      <vt:lpstr>UCs-CAC</vt:lpstr>
      <vt:lpstr>General</vt:lpstr>
      <vt:lpstr>BASE_YEAR</vt:lpstr>
      <vt:lpstr>END_YEAR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Rocco De Miglio</dc:creator>
  <cp:lastModifiedBy>Rocco De Miglio</cp:lastModifiedBy>
  <dcterms:created xsi:type="dcterms:W3CDTF">2015-06-05T18:19:34Z</dcterms:created>
  <dcterms:modified xsi:type="dcterms:W3CDTF">2022-09-23T16:44:51Z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103291571140289</vt:r8>
  </property>
</Properties>
</file>