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A0623A64-A859-4F72-905F-7AAE73362F31}" xr6:coauthVersionLast="47" xr6:coauthVersionMax="47" xr10:uidLastSave="{00000000-0000-0000-0000-000000000000}"/>
  <bookViews>
    <workbookView xWindow="372" yWindow="0" windowWidth="22668" windowHeight="12240" firstSheet="9" activeTab="11" xr2:uid="{00000000-000D-0000-FFFF-FFFF00000000}"/>
  </bookViews>
  <sheets>
    <sheet name="Worldprices" sheetId="1" r:id="rId1"/>
    <sheet name="INPUTtoVEDA_Oil-Gas-Elc" sheetId="10" r:id="rId2"/>
    <sheet name="INPUTtoVEDA_Coal" sheetId="7" r:id="rId3"/>
    <sheet name="Local_Prices-KZK" sheetId="17" r:id="rId4"/>
    <sheet name="Local_Prices-AZJ" sheetId="19" r:id="rId5"/>
    <sheet name="Local_Prices-UZB" sheetId="20" r:id="rId6"/>
    <sheet name="Local_Prices-TKM" sheetId="21" r:id="rId7"/>
    <sheet name="INPUTtoVEDA_Taxes_KZK" sheetId="18" r:id="rId8"/>
    <sheet name="INPUTtoVEDA_Taxes_AZJ" sheetId="22" r:id="rId9"/>
    <sheet name="INPUTtoVEDA_Taxes_UZB" sheetId="23" r:id="rId10"/>
    <sheet name="INPUTtoVEDA_Taxes_TKM" sheetId="24" r:id="rId11"/>
    <sheet name="Data" sheetId="16" r:id="rId12"/>
    <sheet name="Common data" sheetId="2" state="hidden" r:id="rId13"/>
    <sheet name="General" sheetId="15" state="hidden" r:id="rId14"/>
  </sheets>
  <externalReferences>
    <externalReference r:id="rId15"/>
  </externalReferences>
  <definedNames>
    <definedName name="BASE_YEAR">General!$F$1</definedName>
    <definedName name="conv">'Common data'!#REF!</definedName>
    <definedName name="discount">'Common data'!#REF!</definedName>
    <definedName name="END_YEAR">General!$F$2</definedName>
    <definedName name="FID_1">[1]AGR_Fuels!$A$2</definedName>
    <definedName name="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81" i="10" l="1"/>
  <c r="BM76" i="10"/>
  <c r="H165" i="23"/>
  <c r="H164" i="23"/>
  <c r="H163" i="23"/>
  <c r="H162" i="23"/>
  <c r="H161" i="23"/>
  <c r="H160" i="23"/>
  <c r="H158" i="24"/>
  <c r="H159" i="24"/>
  <c r="G165" i="23"/>
  <c r="G164" i="23"/>
  <c r="G163" i="23"/>
  <c r="F165" i="23"/>
  <c r="F164" i="23"/>
  <c r="F163" i="23"/>
  <c r="J163" i="24"/>
  <c r="H163" i="24" s="1"/>
  <c r="J162" i="24"/>
  <c r="H162" i="24" s="1"/>
  <c r="J161" i="24"/>
  <c r="H161" i="24" s="1"/>
  <c r="Q151" i="24"/>
  <c r="J151" i="24"/>
  <c r="J150" i="24"/>
  <c r="J149" i="24"/>
  <c r="Q163" i="24"/>
  <c r="Q162" i="24"/>
  <c r="Q161" i="24"/>
  <c r="Q150" i="24"/>
  <c r="Q149" i="24"/>
  <c r="J153" i="23"/>
  <c r="J152" i="23"/>
  <c r="J151" i="23"/>
  <c r="O153" i="23"/>
  <c r="O152" i="23"/>
  <c r="O151" i="23"/>
  <c r="H166" i="24"/>
  <c r="H165" i="24"/>
  <c r="H164" i="24"/>
  <c r="H154" i="24"/>
  <c r="H153" i="24"/>
  <c r="H152" i="24"/>
  <c r="G166" i="24"/>
  <c r="F166" i="24"/>
  <c r="G165" i="24"/>
  <c r="F165" i="24"/>
  <c r="G164" i="24"/>
  <c r="F164" i="24"/>
  <c r="G154" i="24"/>
  <c r="F154" i="24"/>
  <c r="G153" i="24"/>
  <c r="F153" i="24"/>
  <c r="G152" i="24"/>
  <c r="F152" i="24"/>
  <c r="D169" i="24"/>
  <c r="D168" i="24"/>
  <c r="D167" i="24"/>
  <c r="C166" i="24"/>
  <c r="D165" i="24"/>
  <c r="C165" i="24"/>
  <c r="C164" i="24"/>
  <c r="D157" i="24"/>
  <c r="D156" i="24"/>
  <c r="D155" i="24"/>
  <c r="D153" i="24"/>
  <c r="C154" i="24"/>
  <c r="C153" i="24"/>
  <c r="C152" i="24"/>
  <c r="D159" i="23"/>
  <c r="D158" i="23"/>
  <c r="D157" i="23"/>
  <c r="G156" i="23"/>
  <c r="F156" i="23"/>
  <c r="G155" i="23"/>
  <c r="F155" i="23"/>
  <c r="G154" i="23"/>
  <c r="F154" i="23"/>
  <c r="H156" i="23"/>
  <c r="H155" i="23"/>
  <c r="H154" i="23"/>
  <c r="C156" i="23"/>
  <c r="C155" i="23"/>
  <c r="C154" i="23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H172" i="24"/>
  <c r="J171" i="24"/>
  <c r="H171" i="24" s="1"/>
  <c r="H170" i="24"/>
  <c r="H169" i="24"/>
  <c r="H168" i="24"/>
  <c r="H167" i="24"/>
  <c r="H160" i="24"/>
  <c r="C62" i="21" l="1"/>
  <c r="C54" i="21"/>
  <c r="D51" i="21"/>
  <c r="C51" i="21"/>
  <c r="C50" i="21"/>
  <c r="D50" i="21" s="1"/>
  <c r="C44" i="21"/>
  <c r="D44" i="21" s="1"/>
  <c r="C39" i="21"/>
  <c r="D39" i="21" s="1"/>
  <c r="D38" i="21"/>
  <c r="C38" i="21"/>
  <c r="C31" i="21"/>
  <c r="D31" i="21" s="1"/>
  <c r="D71" i="21" s="1"/>
  <c r="C69" i="21"/>
  <c r="D71" i="20"/>
  <c r="C69" i="20"/>
  <c r="D69" i="20" s="1"/>
  <c r="C67" i="20"/>
  <c r="C62" i="20"/>
  <c r="C54" i="20"/>
  <c r="D51" i="20"/>
  <c r="D50" i="20"/>
  <c r="C44" i="20"/>
  <c r="D44" i="20" s="1"/>
  <c r="D39" i="20"/>
  <c r="C39" i="20"/>
  <c r="D38" i="20"/>
  <c r="D31" i="20"/>
  <c r="C31" i="20"/>
  <c r="D26" i="20"/>
  <c r="C25" i="20"/>
  <c r="D25" i="20" s="1"/>
  <c r="D18" i="20"/>
  <c r="C18" i="20"/>
  <c r="C7" i="20"/>
  <c r="D69" i="21" l="1"/>
  <c r="D67" i="21"/>
  <c r="C67" i="21"/>
  <c r="H159" i="23" l="1"/>
  <c r="H158" i="23"/>
  <c r="H157" i="23"/>
  <c r="H153" i="23"/>
  <c r="H152" i="23"/>
  <c r="H151" i="23"/>
  <c r="E50" i="21"/>
  <c r="E51" i="21"/>
  <c r="E44" i="21"/>
  <c r="E39" i="21"/>
  <c r="E38" i="21"/>
  <c r="E31" i="21"/>
  <c r="E51" i="20"/>
  <c r="E68" i="20" s="1"/>
  <c r="E54" i="20"/>
  <c r="E57" i="20" s="1"/>
  <c r="E44" i="20"/>
  <c r="E18" i="20"/>
  <c r="E71" i="20"/>
  <c r="E72" i="20" s="1"/>
  <c r="J76" i="23" s="1"/>
  <c r="C76" i="23" s="1"/>
  <c r="E69" i="20"/>
  <c r="J73" i="23" s="1"/>
  <c r="C73" i="23" s="1"/>
  <c r="E67" i="20"/>
  <c r="E63" i="20"/>
  <c r="E62" i="20"/>
  <c r="E61" i="20"/>
  <c r="E58" i="20"/>
  <c r="E59" i="20" s="1"/>
  <c r="E60" i="20" s="1"/>
  <c r="E50" i="20"/>
  <c r="E39" i="20"/>
  <c r="E38" i="20"/>
  <c r="E31" i="20"/>
  <c r="E26" i="20"/>
  <c r="E25" i="20"/>
  <c r="E14" i="20"/>
  <c r="J14" i="23" s="1"/>
  <c r="E13" i="20"/>
  <c r="J13" i="23" s="1"/>
  <c r="E7" i="20"/>
  <c r="J7" i="23" s="1"/>
  <c r="J74" i="22"/>
  <c r="J76" i="24"/>
  <c r="C76" i="24" s="1"/>
  <c r="H150" i="24"/>
  <c r="E67" i="21"/>
  <c r="E68" i="21" s="1"/>
  <c r="E63" i="21"/>
  <c r="E62" i="21"/>
  <c r="E61" i="21"/>
  <c r="E58" i="21"/>
  <c r="E59" i="21" s="1"/>
  <c r="E60" i="21" s="1"/>
  <c r="E64" i="21" s="1"/>
  <c r="E65" i="21" s="1"/>
  <c r="E66" i="21" s="1"/>
  <c r="E69" i="21"/>
  <c r="J73" i="24" s="1"/>
  <c r="C73" i="24" s="1"/>
  <c r="E71" i="21"/>
  <c r="J75" i="24" s="1"/>
  <c r="C75" i="24" s="1"/>
  <c r="E54" i="21"/>
  <c r="E53" i="21" s="1"/>
  <c r="E14" i="21"/>
  <c r="E26" i="21" s="1"/>
  <c r="E13" i="21"/>
  <c r="E25" i="21" s="1"/>
  <c r="E7" i="21"/>
  <c r="E18" i="21" s="1"/>
  <c r="C62" i="19"/>
  <c r="E62" i="19" s="1"/>
  <c r="E65" i="19" s="1"/>
  <c r="E66" i="19" s="1"/>
  <c r="C39" i="19"/>
  <c r="E39" i="19" s="1"/>
  <c r="C25" i="19"/>
  <c r="E25" i="19" s="1"/>
  <c r="E71" i="19"/>
  <c r="E72" i="19" s="1"/>
  <c r="J76" i="22" s="1"/>
  <c r="C69" i="19"/>
  <c r="E69" i="19" s="1"/>
  <c r="J73" i="22" s="1"/>
  <c r="C67" i="19"/>
  <c r="E67" i="19" s="1"/>
  <c r="E63" i="19"/>
  <c r="E61" i="19"/>
  <c r="E58" i="19"/>
  <c r="E70" i="19" s="1"/>
  <c r="E57" i="19"/>
  <c r="E55" i="19"/>
  <c r="E54" i="19"/>
  <c r="E56" i="19" s="1"/>
  <c r="E53" i="19"/>
  <c r="E52" i="19"/>
  <c r="E51" i="19"/>
  <c r="E68" i="19" s="1"/>
  <c r="E50" i="19"/>
  <c r="E49" i="19"/>
  <c r="E48" i="19"/>
  <c r="E44" i="19"/>
  <c r="E42" i="19" s="1"/>
  <c r="E38" i="19"/>
  <c r="E37" i="19"/>
  <c r="E36" i="19"/>
  <c r="E35" i="19"/>
  <c r="E31" i="19"/>
  <c r="E32" i="19" s="1"/>
  <c r="E33" i="19" s="1"/>
  <c r="E34" i="19" s="1"/>
  <c r="E26" i="19"/>
  <c r="E23" i="19"/>
  <c r="E22" i="19"/>
  <c r="E21" i="19"/>
  <c r="E18" i="19"/>
  <c r="E17" i="19" s="1"/>
  <c r="E14" i="19"/>
  <c r="E13" i="19"/>
  <c r="E12" i="19"/>
  <c r="E11" i="19"/>
  <c r="E10" i="19"/>
  <c r="E7" i="19"/>
  <c r="E9" i="19" s="1"/>
  <c r="E65" i="17"/>
  <c r="E66" i="17" s="1"/>
  <c r="E64" i="17"/>
  <c r="C67" i="17"/>
  <c r="C69" i="17"/>
  <c r="E13" i="17"/>
  <c r="H7" i="23" l="1"/>
  <c r="C7" i="23"/>
  <c r="H14" i="23"/>
  <c r="C14" i="23"/>
  <c r="H13" i="23"/>
  <c r="C13" i="23"/>
  <c r="E52" i="21"/>
  <c r="E70" i="21"/>
  <c r="J74" i="24" s="1"/>
  <c r="C74" i="24" s="1"/>
  <c r="J75" i="22"/>
  <c r="E43" i="19"/>
  <c r="E27" i="19"/>
  <c r="E28" i="19"/>
  <c r="E29" i="19"/>
  <c r="E6" i="19"/>
  <c r="J75" i="23"/>
  <c r="C75" i="23" s="1"/>
  <c r="E65" i="20"/>
  <c r="E66" i="20" s="1"/>
  <c r="E64" i="20"/>
  <c r="E52" i="20"/>
  <c r="E53" i="20"/>
  <c r="E55" i="20"/>
  <c r="E56" i="20"/>
  <c r="E70" i="20"/>
  <c r="J74" i="23" s="1"/>
  <c r="C74" i="23" s="1"/>
  <c r="E59" i="19"/>
  <c r="E60" i="19" s="1"/>
  <c r="E20" i="19"/>
  <c r="E45" i="19"/>
  <c r="E5" i="19"/>
  <c r="E30" i="19"/>
  <c r="E46" i="19"/>
  <c r="E15" i="19"/>
  <c r="E40" i="19"/>
  <c r="E64" i="19"/>
  <c r="E8" i="19"/>
  <c r="E16" i="19"/>
  <c r="E41" i="19"/>
  <c r="E19" i="19"/>
  <c r="E47" i="19"/>
  <c r="T9" i="1" l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K150" i="23" l="1"/>
  <c r="G150" i="23"/>
  <c r="F149" i="23"/>
  <c r="F150" i="23" s="1"/>
  <c r="U7" i="1" l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T7" i="1"/>
  <c r="AM7" i="1"/>
  <c r="AE6" i="1"/>
  <c r="AF6" i="1" s="1"/>
  <c r="AG6" i="1" s="1"/>
  <c r="AH6" i="1" s="1"/>
  <c r="AI6" i="1" s="1"/>
  <c r="AJ6" i="1" s="1"/>
  <c r="AK6" i="1" s="1"/>
  <c r="AL6" i="1" s="1"/>
  <c r="AM6" i="1" s="1"/>
  <c r="AD6" i="1"/>
  <c r="D148" i="23" l="1"/>
  <c r="D147" i="23"/>
  <c r="D146" i="23"/>
  <c r="D145" i="23"/>
  <c r="K144" i="23"/>
  <c r="G144" i="23"/>
  <c r="D144" i="23"/>
  <c r="D143" i="23"/>
  <c r="F142" i="23"/>
  <c r="D142" i="23"/>
  <c r="K141" i="23"/>
  <c r="G141" i="23"/>
  <c r="D141" i="23"/>
  <c r="K140" i="23"/>
  <c r="G140" i="23"/>
  <c r="D140" i="23"/>
  <c r="K139" i="23"/>
  <c r="D139" i="23"/>
  <c r="K138" i="23"/>
  <c r="G138" i="23"/>
  <c r="D138" i="23"/>
  <c r="K137" i="23"/>
  <c r="G137" i="23"/>
  <c r="D137" i="23"/>
  <c r="G136" i="23"/>
  <c r="D136" i="23"/>
  <c r="K135" i="23"/>
  <c r="G135" i="23"/>
  <c r="D135" i="23"/>
  <c r="G134" i="23"/>
  <c r="D134" i="23"/>
  <c r="D133" i="23"/>
  <c r="D132" i="23"/>
  <c r="F131" i="23"/>
  <c r="D131" i="23"/>
  <c r="F130" i="23"/>
  <c r="D130" i="23"/>
  <c r="D129" i="23"/>
  <c r="G128" i="23"/>
  <c r="D128" i="23"/>
  <c r="G127" i="23"/>
  <c r="D127" i="23"/>
  <c r="G126" i="23"/>
  <c r="D126" i="23"/>
  <c r="G125" i="23"/>
  <c r="D125" i="23"/>
  <c r="G124" i="23"/>
  <c r="D124" i="23"/>
  <c r="G123" i="23"/>
  <c r="D123" i="23"/>
  <c r="G122" i="23"/>
  <c r="D122" i="23"/>
  <c r="G121" i="23"/>
  <c r="D121" i="23"/>
  <c r="G120" i="23"/>
  <c r="D120" i="23"/>
  <c r="G119" i="23"/>
  <c r="D119" i="23"/>
  <c r="G118" i="23"/>
  <c r="D118" i="23"/>
  <c r="D117" i="23"/>
  <c r="D116" i="23"/>
  <c r="D115" i="23"/>
  <c r="G114" i="23"/>
  <c r="D114" i="23"/>
  <c r="D113" i="23"/>
  <c r="G112" i="23"/>
  <c r="D112" i="23"/>
  <c r="D111" i="23"/>
  <c r="D110" i="23"/>
  <c r="D109" i="23"/>
  <c r="D108" i="23"/>
  <c r="D107" i="23"/>
  <c r="D106" i="23"/>
  <c r="D105" i="23"/>
  <c r="D104" i="23"/>
  <c r="D103" i="23"/>
  <c r="D102" i="23"/>
  <c r="G101" i="23"/>
  <c r="D101" i="23"/>
  <c r="G100" i="23"/>
  <c r="D100" i="23"/>
  <c r="G99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H151" i="24"/>
  <c r="H149" i="24"/>
  <c r="D148" i="24"/>
  <c r="D147" i="24"/>
  <c r="D146" i="24"/>
  <c r="D145" i="24"/>
  <c r="K144" i="24"/>
  <c r="G144" i="24"/>
  <c r="D144" i="24"/>
  <c r="D143" i="24"/>
  <c r="F142" i="24"/>
  <c r="D142" i="24"/>
  <c r="K141" i="24"/>
  <c r="G141" i="24"/>
  <c r="D141" i="24"/>
  <c r="K140" i="24"/>
  <c r="G140" i="24"/>
  <c r="D140" i="24"/>
  <c r="K139" i="24"/>
  <c r="D139" i="24"/>
  <c r="K138" i="24"/>
  <c r="G138" i="24"/>
  <c r="D138" i="24"/>
  <c r="K137" i="24"/>
  <c r="G137" i="24"/>
  <c r="D137" i="24"/>
  <c r="G136" i="24"/>
  <c r="D136" i="24"/>
  <c r="K135" i="24"/>
  <c r="G135" i="24"/>
  <c r="D135" i="24"/>
  <c r="G134" i="24"/>
  <c r="D134" i="24"/>
  <c r="D133" i="24"/>
  <c r="D132" i="24"/>
  <c r="F131" i="24"/>
  <c r="D131" i="24"/>
  <c r="F130" i="24"/>
  <c r="D130" i="24"/>
  <c r="D129" i="24"/>
  <c r="G128" i="24"/>
  <c r="D128" i="24"/>
  <c r="G127" i="24"/>
  <c r="D127" i="24"/>
  <c r="G126" i="24"/>
  <c r="D126" i="24"/>
  <c r="G125" i="24"/>
  <c r="D125" i="24"/>
  <c r="G124" i="24"/>
  <c r="D124" i="24"/>
  <c r="G123" i="24"/>
  <c r="D123" i="24"/>
  <c r="G122" i="24"/>
  <c r="D122" i="24"/>
  <c r="G121" i="24"/>
  <c r="D121" i="24"/>
  <c r="G120" i="24"/>
  <c r="D120" i="24"/>
  <c r="G119" i="24"/>
  <c r="D119" i="24"/>
  <c r="G118" i="24"/>
  <c r="D118" i="24"/>
  <c r="D117" i="24"/>
  <c r="D116" i="24"/>
  <c r="D115" i="24"/>
  <c r="G114" i="24"/>
  <c r="D114" i="24"/>
  <c r="D113" i="24"/>
  <c r="G112" i="24"/>
  <c r="D112" i="24"/>
  <c r="D111" i="24"/>
  <c r="D110" i="24"/>
  <c r="D109" i="24"/>
  <c r="D108" i="24"/>
  <c r="D107" i="24"/>
  <c r="D106" i="24"/>
  <c r="D105" i="24"/>
  <c r="D104" i="24"/>
  <c r="D103" i="24"/>
  <c r="D102" i="24"/>
  <c r="G101" i="24"/>
  <c r="D101" i="24"/>
  <c r="G100" i="24"/>
  <c r="D100" i="24"/>
  <c r="G99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148" i="22"/>
  <c r="D147" i="22"/>
  <c r="D146" i="22"/>
  <c r="D145" i="22"/>
  <c r="K144" i="22"/>
  <c r="G144" i="22"/>
  <c r="D144" i="22"/>
  <c r="D143" i="22"/>
  <c r="F142" i="22"/>
  <c r="D142" i="22"/>
  <c r="K141" i="22"/>
  <c r="G141" i="22"/>
  <c r="F141" i="22"/>
  <c r="D141" i="22"/>
  <c r="K140" i="22"/>
  <c r="G140" i="22"/>
  <c r="F140" i="22"/>
  <c r="D140" i="22"/>
  <c r="K139" i="22"/>
  <c r="D139" i="22"/>
  <c r="K138" i="22"/>
  <c r="G138" i="22"/>
  <c r="F138" i="22"/>
  <c r="D138" i="22"/>
  <c r="K137" i="22"/>
  <c r="G137" i="22"/>
  <c r="F137" i="22"/>
  <c r="D137" i="22"/>
  <c r="G136" i="22"/>
  <c r="F136" i="22"/>
  <c r="D136" i="22"/>
  <c r="K135" i="22"/>
  <c r="G135" i="22"/>
  <c r="F135" i="22"/>
  <c r="D135" i="22"/>
  <c r="G134" i="22"/>
  <c r="F134" i="22"/>
  <c r="D134" i="22"/>
  <c r="D133" i="22"/>
  <c r="D132" i="22"/>
  <c r="F131" i="22"/>
  <c r="D131" i="22"/>
  <c r="F130" i="22"/>
  <c r="D130" i="22"/>
  <c r="D129" i="22"/>
  <c r="G128" i="22"/>
  <c r="F128" i="22"/>
  <c r="D128" i="22"/>
  <c r="G127" i="22"/>
  <c r="F127" i="22"/>
  <c r="D127" i="22"/>
  <c r="G126" i="22"/>
  <c r="F126" i="22"/>
  <c r="D126" i="22"/>
  <c r="G125" i="22"/>
  <c r="F125" i="22"/>
  <c r="D125" i="22"/>
  <c r="G124" i="22"/>
  <c r="F124" i="22"/>
  <c r="D124" i="22"/>
  <c r="G123" i="22"/>
  <c r="F123" i="22"/>
  <c r="D123" i="22"/>
  <c r="G122" i="22"/>
  <c r="F122" i="22"/>
  <c r="D122" i="22"/>
  <c r="G121" i="22"/>
  <c r="F121" i="22"/>
  <c r="D121" i="22"/>
  <c r="G120" i="22"/>
  <c r="F120" i="22"/>
  <c r="D120" i="22"/>
  <c r="G119" i="22"/>
  <c r="F119" i="22"/>
  <c r="D119" i="22"/>
  <c r="G118" i="22"/>
  <c r="F118" i="22"/>
  <c r="D118" i="22"/>
  <c r="D117" i="22"/>
  <c r="D116" i="22"/>
  <c r="G115" i="22"/>
  <c r="F115" i="22"/>
  <c r="D115" i="22"/>
  <c r="G114" i="22"/>
  <c r="F114" i="22"/>
  <c r="D114" i="22"/>
  <c r="G113" i="22"/>
  <c r="F113" i="22"/>
  <c r="D113" i="22"/>
  <c r="G112" i="22"/>
  <c r="F112" i="22"/>
  <c r="D112" i="22"/>
  <c r="D111" i="22"/>
  <c r="D110" i="22"/>
  <c r="D109" i="22"/>
  <c r="D108" i="22"/>
  <c r="D107" i="22"/>
  <c r="D106" i="22"/>
  <c r="D105" i="22"/>
  <c r="D104" i="22"/>
  <c r="D103" i="22"/>
  <c r="D102" i="22"/>
  <c r="G101" i="22"/>
  <c r="F101" i="22"/>
  <c r="D101" i="22"/>
  <c r="G100" i="22"/>
  <c r="F100" i="22"/>
  <c r="D100" i="22"/>
  <c r="G99" i="22"/>
  <c r="F99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148" i="18"/>
  <c r="D147" i="18"/>
  <c r="D146" i="18"/>
  <c r="D145" i="18"/>
  <c r="K144" i="18"/>
  <c r="G144" i="18"/>
  <c r="F144" i="18"/>
  <c r="D144" i="18"/>
  <c r="D143" i="18"/>
  <c r="F142" i="18"/>
  <c r="D142" i="18"/>
  <c r="K141" i="18"/>
  <c r="G141" i="18"/>
  <c r="F141" i="18"/>
  <c r="D141" i="18"/>
  <c r="K140" i="18"/>
  <c r="G140" i="18"/>
  <c r="F140" i="18"/>
  <c r="D140" i="18"/>
  <c r="K139" i="18"/>
  <c r="D139" i="18"/>
  <c r="K138" i="18"/>
  <c r="G138" i="18"/>
  <c r="F138" i="18"/>
  <c r="D138" i="18"/>
  <c r="K137" i="18"/>
  <c r="G137" i="18"/>
  <c r="F137" i="18"/>
  <c r="D137" i="18"/>
  <c r="G136" i="18"/>
  <c r="F136" i="18"/>
  <c r="D136" i="18"/>
  <c r="K135" i="18"/>
  <c r="G135" i="18"/>
  <c r="F135" i="18"/>
  <c r="D135" i="18"/>
  <c r="G134" i="18"/>
  <c r="F134" i="18"/>
  <c r="D134" i="18"/>
  <c r="D133" i="18"/>
  <c r="D132" i="18"/>
  <c r="F131" i="18"/>
  <c r="D131" i="18"/>
  <c r="F130" i="18"/>
  <c r="D130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D117" i="18"/>
  <c r="D116" i="18"/>
  <c r="G115" i="18"/>
  <c r="F115" i="18"/>
  <c r="D115" i="18"/>
  <c r="G114" i="18"/>
  <c r="F114" i="18"/>
  <c r="D114" i="18"/>
  <c r="G113" i="18"/>
  <c r="F113" i="18"/>
  <c r="D113" i="18"/>
  <c r="G112" i="18"/>
  <c r="F112" i="18"/>
  <c r="D112" i="18"/>
  <c r="D111" i="18"/>
  <c r="D110" i="18"/>
  <c r="D109" i="18"/>
  <c r="D108" i="18"/>
  <c r="D107" i="18"/>
  <c r="D106" i="18"/>
  <c r="D105" i="18"/>
  <c r="D104" i="18"/>
  <c r="D103" i="18"/>
  <c r="D102" i="18"/>
  <c r="G101" i="18"/>
  <c r="F101" i="18"/>
  <c r="D101" i="18"/>
  <c r="G100" i="18"/>
  <c r="F100" i="18"/>
  <c r="D100" i="18"/>
  <c r="G99" i="18"/>
  <c r="F99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AM50" i="10" l="1"/>
  <c r="AM51" i="10" s="1"/>
  <c r="AM52" i="10" s="1"/>
  <c r="AM53" i="10" s="1"/>
  <c r="AM54" i="10" s="1"/>
  <c r="AM55" i="10" s="1"/>
  <c r="AM56" i="10" s="1"/>
  <c r="AM57" i="10" s="1"/>
  <c r="AM58" i="10" s="1"/>
  <c r="AM59" i="10" s="1"/>
  <c r="AM60" i="10" s="1"/>
  <c r="AM61" i="10" s="1"/>
  <c r="AM62" i="10" s="1"/>
  <c r="AM63" i="10" s="1"/>
  <c r="AM64" i="10" s="1"/>
  <c r="AM65" i="10" s="1"/>
  <c r="AM66" i="10" s="1"/>
  <c r="AM67" i="10" s="1"/>
  <c r="AM68" i="10" s="1"/>
  <c r="AM69" i="10" s="1"/>
  <c r="AM70" i="10" s="1"/>
  <c r="AM71" i="10" s="1"/>
  <c r="AM72" i="10" s="1"/>
  <c r="AM73" i="10" s="1"/>
  <c r="AM74" i="10" s="1"/>
  <c r="AM75" i="10" s="1"/>
  <c r="AM76" i="10" s="1"/>
  <c r="AM77" i="10" s="1"/>
  <c r="AM78" i="10" s="1"/>
  <c r="AM79" i="10" s="1"/>
  <c r="AM80" i="10" s="1"/>
  <c r="AM81" i="10" s="1"/>
  <c r="AN49" i="10"/>
  <c r="AN50" i="10" s="1"/>
  <c r="AN51" i="10" s="1"/>
  <c r="AN52" i="10" s="1"/>
  <c r="AN53" i="10" s="1"/>
  <c r="AN54" i="10" s="1"/>
  <c r="AN55" i="10" s="1"/>
  <c r="AN56" i="10" s="1"/>
  <c r="AN57" i="10" s="1"/>
  <c r="AN58" i="10" s="1"/>
  <c r="AN59" i="10" s="1"/>
  <c r="AN60" i="10" s="1"/>
  <c r="AN61" i="10" s="1"/>
  <c r="AN62" i="10" s="1"/>
  <c r="AN63" i="10" s="1"/>
  <c r="AN64" i="10" s="1"/>
  <c r="AN65" i="10" s="1"/>
  <c r="AN66" i="10" s="1"/>
  <c r="AN67" i="10" s="1"/>
  <c r="AN68" i="10" s="1"/>
  <c r="AN69" i="10" s="1"/>
  <c r="AN70" i="10" s="1"/>
  <c r="AN71" i="10" s="1"/>
  <c r="AN72" i="10" s="1"/>
  <c r="AN73" i="10" s="1"/>
  <c r="AN74" i="10" s="1"/>
  <c r="AN75" i="10" s="1"/>
  <c r="AN76" i="10" s="1"/>
  <c r="AN77" i="10" s="1"/>
  <c r="AN78" i="10" s="1"/>
  <c r="AN79" i="10" s="1"/>
  <c r="AN80" i="10" s="1"/>
  <c r="AN81" i="10" s="1"/>
  <c r="AM49" i="10"/>
  <c r="T5" i="1" l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7" i="1" l="1"/>
  <c r="AN5" i="1" l="1"/>
  <c r="T6" i="1" l="1"/>
  <c r="T8" i="1" s="1"/>
  <c r="U6" i="1" l="1"/>
  <c r="V6" i="1" s="1"/>
  <c r="V8" i="1" s="1"/>
  <c r="W6" i="1" l="1"/>
  <c r="U8" i="1"/>
  <c r="W8" i="1"/>
  <c r="X6" i="1"/>
  <c r="X8" i="1" l="1"/>
  <c r="Y6" i="1"/>
  <c r="Y8" i="1" l="1"/>
  <c r="Z6" i="1"/>
  <c r="Z8" i="1" l="1"/>
  <c r="AA6" i="1"/>
  <c r="AB6" i="1" l="1"/>
  <c r="AA8" i="1"/>
  <c r="AC6" i="1" l="1"/>
  <c r="AB8" i="1"/>
  <c r="AC8" i="1" l="1"/>
  <c r="AD8" i="1" l="1"/>
  <c r="AE8" i="1" l="1"/>
  <c r="AF8" i="1" l="1"/>
  <c r="AG8" i="1" l="1"/>
  <c r="AH8" i="1" l="1"/>
  <c r="AI8" i="1" l="1"/>
  <c r="AJ8" i="1" l="1"/>
  <c r="AK8" i="1" l="1"/>
  <c r="AL8" i="1" l="1"/>
  <c r="AM8" i="1" l="1"/>
  <c r="AN8" i="1" s="1"/>
  <c r="AN6" i="1"/>
  <c r="BQ7" i="10"/>
  <c r="BQ8" i="10" s="1"/>
  <c r="BQ9" i="10" s="1"/>
  <c r="BQ10" i="10" s="1"/>
  <c r="BQ11" i="10" s="1"/>
  <c r="BQ12" i="10" s="1"/>
  <c r="BQ13" i="10" s="1"/>
  <c r="BQ14" i="10" s="1"/>
  <c r="BQ15" i="10" s="1"/>
  <c r="BQ16" i="10" s="1"/>
  <c r="BQ17" i="10" s="1"/>
  <c r="BQ18" i="10" s="1"/>
  <c r="BQ19" i="10" s="1"/>
  <c r="BQ20" i="10" s="1"/>
  <c r="BQ21" i="10" s="1"/>
  <c r="BQ22" i="10" s="1"/>
  <c r="BQ23" i="10" s="1"/>
  <c r="BQ24" i="10" s="1"/>
  <c r="BQ25" i="10" s="1"/>
  <c r="BQ26" i="10" s="1"/>
  <c r="BQ27" i="10" s="1"/>
  <c r="BQ28" i="10" s="1"/>
  <c r="BQ29" i="10" s="1"/>
  <c r="BQ30" i="10" s="1"/>
  <c r="BQ31" i="10" s="1"/>
  <c r="BQ32" i="10" s="1"/>
  <c r="BQ33" i="10" s="1"/>
  <c r="BQ34" i="10" s="1"/>
  <c r="BQ35" i="10" s="1"/>
  <c r="BQ36" i="10" s="1"/>
  <c r="BQ37" i="10" s="1"/>
  <c r="BQ38" i="10" s="1"/>
  <c r="BQ39" i="10" s="1"/>
  <c r="BM48" i="10" l="1"/>
  <c r="BK48" i="10"/>
  <c r="BK49" i="10" s="1"/>
  <c r="BK50" i="10" s="1"/>
  <c r="BK51" i="10" s="1"/>
  <c r="BK52" i="10" s="1"/>
  <c r="BK53" i="10" s="1"/>
  <c r="BK54" i="10" s="1"/>
  <c r="BK55" i="10" s="1"/>
  <c r="BK56" i="10" s="1"/>
  <c r="BK57" i="10" s="1"/>
  <c r="BK58" i="10" s="1"/>
  <c r="BK59" i="10" s="1"/>
  <c r="BK60" i="10" s="1"/>
  <c r="BK61" i="10" s="1"/>
  <c r="BK62" i="10" s="1"/>
  <c r="BK63" i="10" s="1"/>
  <c r="BK64" i="10" s="1"/>
  <c r="BK65" i="10" s="1"/>
  <c r="BK66" i="10" s="1"/>
  <c r="BK67" i="10" s="1"/>
  <c r="BK68" i="10" s="1"/>
  <c r="BK69" i="10" s="1"/>
  <c r="BK70" i="10" s="1"/>
  <c r="BK71" i="10" s="1"/>
  <c r="BK72" i="10" s="1"/>
  <c r="BK73" i="10" s="1"/>
  <c r="BK74" i="10" s="1"/>
  <c r="BK75" i="10" s="1"/>
  <c r="BK76" i="10" s="1"/>
  <c r="BK77" i="10" s="1"/>
  <c r="BK78" i="10" s="1"/>
  <c r="BK79" i="10" s="1"/>
  <c r="BK80" i="10" s="1"/>
  <c r="BK81" i="10" s="1"/>
  <c r="BW7" i="10"/>
  <c r="F89" i="1"/>
  <c r="F88" i="1"/>
  <c r="F87" i="1"/>
  <c r="F69" i="1"/>
  <c r="F68" i="1"/>
  <c r="F67" i="1"/>
  <c r="F86" i="1" s="1"/>
  <c r="F66" i="1"/>
  <c r="F85" i="1" s="1"/>
  <c r="F65" i="1"/>
  <c r="F84" i="1" s="1"/>
  <c r="F56" i="1"/>
  <c r="F75" i="1" s="1"/>
  <c r="AN89" i="1"/>
  <c r="AM89" i="1"/>
  <c r="AL89" i="1"/>
  <c r="BM80" i="10" s="1"/>
  <c r="AK89" i="1"/>
  <c r="BM79" i="10" s="1"/>
  <c r="AJ89" i="1"/>
  <c r="BM78" i="10" s="1"/>
  <c r="AI89" i="1"/>
  <c r="BM77" i="10" s="1"/>
  <c r="AH89" i="1"/>
  <c r="AG89" i="1"/>
  <c r="BM75" i="10" s="1"/>
  <c r="AF89" i="1"/>
  <c r="BM74" i="10" s="1"/>
  <c r="AE89" i="1"/>
  <c r="BM73" i="10" s="1"/>
  <c r="AD89" i="1"/>
  <c r="BM72" i="10" s="1"/>
  <c r="AC89" i="1"/>
  <c r="BM71" i="10" s="1"/>
  <c r="AB89" i="1"/>
  <c r="BM70" i="10" s="1"/>
  <c r="AA89" i="1"/>
  <c r="BM69" i="10" s="1"/>
  <c r="Z89" i="1"/>
  <c r="BM68" i="10" s="1"/>
  <c r="Y89" i="1"/>
  <c r="BM67" i="10" s="1"/>
  <c r="X89" i="1"/>
  <c r="BM66" i="10" s="1"/>
  <c r="W89" i="1"/>
  <c r="BM65" i="10" s="1"/>
  <c r="V89" i="1"/>
  <c r="BM64" i="10" s="1"/>
  <c r="U89" i="1"/>
  <c r="BM63" i="10" s="1"/>
  <c r="T89" i="1"/>
  <c r="BM62" i="10" s="1"/>
  <c r="S89" i="1"/>
  <c r="BM61" i="10" s="1"/>
  <c r="R89" i="1"/>
  <c r="BM60" i="10" s="1"/>
  <c r="Q89" i="1"/>
  <c r="BM59" i="10" s="1"/>
  <c r="P89" i="1"/>
  <c r="BM58" i="10" s="1"/>
  <c r="O89" i="1"/>
  <c r="BM57" i="10" s="1"/>
  <c r="N89" i="1"/>
  <c r="BM56" i="10" s="1"/>
  <c r="M89" i="1"/>
  <c r="BM55" i="10" s="1"/>
  <c r="L89" i="1"/>
  <c r="BM54" i="10" s="1"/>
  <c r="K89" i="1"/>
  <c r="BM53" i="10" s="1"/>
  <c r="J89" i="1"/>
  <c r="BM52" i="10" s="1"/>
  <c r="I89" i="1"/>
  <c r="BM51" i="10" s="1"/>
  <c r="H89" i="1"/>
  <c r="BM50" i="10" s="1"/>
  <c r="G89" i="1"/>
  <c r="BM49" i="10" s="1"/>
  <c r="BE48" i="10"/>
  <c r="BL81" i="10"/>
  <c r="BL80" i="10"/>
  <c r="BL79" i="10"/>
  <c r="BL78" i="10"/>
  <c r="BL77" i="10"/>
  <c r="BL76" i="10"/>
  <c r="BL75" i="10"/>
  <c r="BL74" i="10"/>
  <c r="BL73" i="10"/>
  <c r="BL72" i="10"/>
  <c r="BL71" i="10"/>
  <c r="BL70" i="10"/>
  <c r="BL69" i="10"/>
  <c r="BL68" i="10"/>
  <c r="BL67" i="10"/>
  <c r="BL66" i="10"/>
  <c r="BL65" i="10"/>
  <c r="BL64" i="10"/>
  <c r="BL63" i="10"/>
  <c r="BL62" i="10"/>
  <c r="BL61" i="10"/>
  <c r="BL60" i="10"/>
  <c r="BL59" i="10"/>
  <c r="BL58" i="10"/>
  <c r="BL57" i="10"/>
  <c r="BL56" i="10"/>
  <c r="BL55" i="10"/>
  <c r="BL54" i="10"/>
  <c r="BL53" i="10"/>
  <c r="BL52" i="10"/>
  <c r="BL51" i="10"/>
  <c r="BL50" i="10"/>
  <c r="BL49" i="10"/>
  <c r="BL48" i="10"/>
  <c r="BI50" i="10"/>
  <c r="BI51" i="10" s="1"/>
  <c r="BI52" i="10" s="1"/>
  <c r="BI53" i="10" s="1"/>
  <c r="BI54" i="10" s="1"/>
  <c r="BI55" i="10" s="1"/>
  <c r="BI56" i="10" s="1"/>
  <c r="BI57" i="10" s="1"/>
  <c r="BI58" i="10" s="1"/>
  <c r="BI59" i="10" s="1"/>
  <c r="BI60" i="10" s="1"/>
  <c r="BI61" i="10" s="1"/>
  <c r="BI62" i="10" s="1"/>
  <c r="BI63" i="10" s="1"/>
  <c r="BI64" i="10" s="1"/>
  <c r="BI65" i="10" s="1"/>
  <c r="BI66" i="10" s="1"/>
  <c r="BI67" i="10" s="1"/>
  <c r="BI68" i="10" s="1"/>
  <c r="BI69" i="10" s="1"/>
  <c r="BI70" i="10" s="1"/>
  <c r="BI71" i="10" s="1"/>
  <c r="BI72" i="10" s="1"/>
  <c r="BI73" i="10" s="1"/>
  <c r="BI74" i="10" s="1"/>
  <c r="BI75" i="10" s="1"/>
  <c r="BI76" i="10" s="1"/>
  <c r="BI77" i="10" s="1"/>
  <c r="BI78" i="10" s="1"/>
  <c r="BI79" i="10" s="1"/>
  <c r="BI80" i="10" s="1"/>
  <c r="BI81" i="10" s="1"/>
  <c r="BI49" i="10"/>
  <c r="BM47" i="10"/>
  <c r="E5" i="1" l="1"/>
  <c r="E7" i="1"/>
  <c r="E8" i="1"/>
  <c r="E9" i="1"/>
  <c r="K76" i="23" l="1"/>
  <c r="K148" i="23" s="1"/>
  <c r="G76" i="23"/>
  <c r="D76" i="23"/>
  <c r="K75" i="23"/>
  <c r="K147" i="23" s="1"/>
  <c r="G75" i="23"/>
  <c r="G147" i="23" s="1"/>
  <c r="D75" i="23"/>
  <c r="K74" i="23"/>
  <c r="K146" i="23" s="1"/>
  <c r="G74" i="23"/>
  <c r="G146" i="23" s="1"/>
  <c r="D74" i="23"/>
  <c r="K73" i="23"/>
  <c r="K145" i="23" s="1"/>
  <c r="G73" i="23"/>
  <c r="G145" i="23" s="1"/>
  <c r="D73" i="23"/>
  <c r="K76" i="24"/>
  <c r="K148" i="24" s="1"/>
  <c r="G76" i="24"/>
  <c r="D76" i="24"/>
  <c r="K75" i="24"/>
  <c r="K147" i="24" s="1"/>
  <c r="G75" i="24"/>
  <c r="D75" i="24"/>
  <c r="K74" i="24"/>
  <c r="K146" i="24" s="1"/>
  <c r="G74" i="24"/>
  <c r="G146" i="24" s="1"/>
  <c r="D74" i="24"/>
  <c r="K73" i="24"/>
  <c r="K145" i="24" s="1"/>
  <c r="G73" i="24"/>
  <c r="G145" i="24" s="1"/>
  <c r="D73" i="24"/>
  <c r="K76" i="22"/>
  <c r="K148" i="22" s="1"/>
  <c r="G76" i="22"/>
  <c r="G148" i="22" s="1"/>
  <c r="D76" i="22"/>
  <c r="K75" i="22"/>
  <c r="K147" i="22" s="1"/>
  <c r="G75" i="22"/>
  <c r="D75" i="22"/>
  <c r="K74" i="22"/>
  <c r="K146" i="22" s="1"/>
  <c r="G74" i="22"/>
  <c r="D74" i="22"/>
  <c r="K73" i="22"/>
  <c r="K145" i="22" s="1"/>
  <c r="G73" i="22"/>
  <c r="D73" i="22"/>
  <c r="D74" i="18"/>
  <c r="G74" i="18"/>
  <c r="G146" i="18" s="1"/>
  <c r="K74" i="18"/>
  <c r="K146" i="18" s="1"/>
  <c r="D75" i="18"/>
  <c r="G75" i="18"/>
  <c r="K75" i="18"/>
  <c r="K147" i="18" s="1"/>
  <c r="D76" i="18"/>
  <c r="G76" i="18"/>
  <c r="K76" i="18"/>
  <c r="K148" i="18" s="1"/>
  <c r="F72" i="20"/>
  <c r="F71" i="20"/>
  <c r="F72" i="21"/>
  <c r="F71" i="21"/>
  <c r="F72" i="19"/>
  <c r="F71" i="19"/>
  <c r="E71" i="17"/>
  <c r="E72" i="17" s="1"/>
  <c r="F72" i="17"/>
  <c r="F71" i="17"/>
  <c r="F73" i="22" l="1"/>
  <c r="F145" i="22" s="1"/>
  <c r="G145" i="22"/>
  <c r="F75" i="18"/>
  <c r="F147" i="18" s="1"/>
  <c r="G147" i="18"/>
  <c r="F76" i="22"/>
  <c r="F148" i="22" s="1"/>
  <c r="F73" i="23"/>
  <c r="F145" i="23" s="1"/>
  <c r="F75" i="23"/>
  <c r="F147" i="23" s="1"/>
  <c r="F76" i="18"/>
  <c r="F148" i="18" s="1"/>
  <c r="G148" i="18"/>
  <c r="F74" i="22"/>
  <c r="F146" i="22" s="1"/>
  <c r="G146" i="22"/>
  <c r="F74" i="18"/>
  <c r="F146" i="18" s="1"/>
  <c r="F74" i="23"/>
  <c r="F146" i="23" s="1"/>
  <c r="F76" i="23"/>
  <c r="F148" i="23" s="1"/>
  <c r="G148" i="23"/>
  <c r="F75" i="22"/>
  <c r="F147" i="22" s="1"/>
  <c r="G147" i="22"/>
  <c r="F73" i="24"/>
  <c r="F145" i="24" s="1"/>
  <c r="F74" i="24"/>
  <c r="F146" i="24" s="1"/>
  <c r="F75" i="24"/>
  <c r="F147" i="24" s="1"/>
  <c r="G147" i="24"/>
  <c r="F76" i="24"/>
  <c r="F148" i="24" s="1"/>
  <c r="G148" i="24"/>
  <c r="H75" i="24"/>
  <c r="J147" i="24"/>
  <c r="C147" i="24" s="1"/>
  <c r="J75" i="18"/>
  <c r="H75" i="22" l="1"/>
  <c r="J147" i="22"/>
  <c r="H75" i="18"/>
  <c r="J147" i="18"/>
  <c r="H75" i="23"/>
  <c r="J147" i="23"/>
  <c r="C147" i="23" s="1"/>
  <c r="H147" i="24"/>
  <c r="AA6" i="7"/>
  <c r="AB6" i="7"/>
  <c r="H147" i="18" l="1"/>
  <c r="H147" i="22"/>
  <c r="H147" i="23"/>
  <c r="BF48" i="10"/>
  <c r="BF6" i="10"/>
  <c r="F21" i="20" l="1"/>
  <c r="F21" i="21"/>
  <c r="F21" i="19"/>
  <c r="F10" i="20" l="1"/>
  <c r="F10" i="21"/>
  <c r="F10" i="19"/>
  <c r="K71" i="23" l="1"/>
  <c r="K143" i="23" s="1"/>
  <c r="K70" i="23"/>
  <c r="K142" i="23" s="1"/>
  <c r="K64" i="23"/>
  <c r="K136" i="23" s="1"/>
  <c r="K62" i="23"/>
  <c r="K134" i="23" s="1"/>
  <c r="K61" i="23"/>
  <c r="K133" i="23" s="1"/>
  <c r="K60" i="23"/>
  <c r="K132" i="23" s="1"/>
  <c r="K59" i="23"/>
  <c r="K131" i="23" s="1"/>
  <c r="K58" i="23"/>
  <c r="K130" i="23" s="1"/>
  <c r="K57" i="23"/>
  <c r="K129" i="23" s="1"/>
  <c r="K54" i="23"/>
  <c r="K126" i="23" s="1"/>
  <c r="K52" i="23"/>
  <c r="K124" i="23" s="1"/>
  <c r="K50" i="23"/>
  <c r="K122" i="23" s="1"/>
  <c r="K48" i="23"/>
  <c r="K120" i="23" s="1"/>
  <c r="K46" i="23"/>
  <c r="K118" i="23" s="1"/>
  <c r="K45" i="23"/>
  <c r="K117" i="23" s="1"/>
  <c r="K44" i="23"/>
  <c r="K116" i="23" s="1"/>
  <c r="K38" i="23"/>
  <c r="K110" i="23" s="1"/>
  <c r="K37" i="23"/>
  <c r="K109" i="23" s="1"/>
  <c r="K36" i="23"/>
  <c r="K108" i="23" s="1"/>
  <c r="K35" i="23"/>
  <c r="K107" i="23" s="1"/>
  <c r="K34" i="23"/>
  <c r="K106" i="23" s="1"/>
  <c r="K33" i="23"/>
  <c r="K105" i="23" s="1"/>
  <c r="K32" i="23"/>
  <c r="K104" i="23" s="1"/>
  <c r="K31" i="23"/>
  <c r="K103" i="23" s="1"/>
  <c r="K30" i="23"/>
  <c r="K102" i="23" s="1"/>
  <c r="K28" i="23"/>
  <c r="K100" i="23" s="1"/>
  <c r="K27" i="23"/>
  <c r="K99" i="23" s="1"/>
  <c r="K26" i="23"/>
  <c r="K98" i="23" s="1"/>
  <c r="K25" i="23"/>
  <c r="K97" i="23" s="1"/>
  <c r="K24" i="23"/>
  <c r="K23" i="23"/>
  <c r="K95" i="23" s="1"/>
  <c r="K22" i="23"/>
  <c r="K94" i="23" s="1"/>
  <c r="K21" i="23"/>
  <c r="K93" i="23" s="1"/>
  <c r="K20" i="23"/>
  <c r="K92" i="23" s="1"/>
  <c r="K19" i="23"/>
  <c r="K91" i="23" s="1"/>
  <c r="K18" i="23"/>
  <c r="K90" i="23" s="1"/>
  <c r="K17" i="23"/>
  <c r="K89" i="23" s="1"/>
  <c r="K16" i="23"/>
  <c r="K88" i="23" s="1"/>
  <c r="K15" i="23"/>
  <c r="K87" i="23" s="1"/>
  <c r="K14" i="23"/>
  <c r="K86" i="23" s="1"/>
  <c r="K13" i="23"/>
  <c r="K85" i="23" s="1"/>
  <c r="K12" i="23"/>
  <c r="K84" i="23" s="1"/>
  <c r="K11" i="23"/>
  <c r="K83" i="23" s="1"/>
  <c r="K10" i="23"/>
  <c r="K82" i="23" s="1"/>
  <c r="K9" i="23"/>
  <c r="K81" i="23" s="1"/>
  <c r="K8" i="23"/>
  <c r="K80" i="23" s="1"/>
  <c r="K7" i="23"/>
  <c r="K79" i="23" s="1"/>
  <c r="K6" i="23"/>
  <c r="K78" i="23" s="1"/>
  <c r="K5" i="23"/>
  <c r="K77" i="23" s="1"/>
  <c r="K71" i="24"/>
  <c r="K143" i="24" s="1"/>
  <c r="K70" i="24"/>
  <c r="K142" i="24" s="1"/>
  <c r="K64" i="24"/>
  <c r="K136" i="24" s="1"/>
  <c r="K62" i="24"/>
  <c r="K134" i="24" s="1"/>
  <c r="K61" i="24"/>
  <c r="K133" i="24" s="1"/>
  <c r="K60" i="24"/>
  <c r="K132" i="24" s="1"/>
  <c r="K59" i="24"/>
  <c r="K131" i="24" s="1"/>
  <c r="K58" i="24"/>
  <c r="K130" i="24" s="1"/>
  <c r="K57" i="24"/>
  <c r="K129" i="24" s="1"/>
  <c r="K54" i="24"/>
  <c r="K126" i="24" s="1"/>
  <c r="K52" i="24"/>
  <c r="K124" i="24" s="1"/>
  <c r="K50" i="24"/>
  <c r="K122" i="24" s="1"/>
  <c r="K48" i="24"/>
  <c r="K120" i="24" s="1"/>
  <c r="K46" i="24"/>
  <c r="K118" i="24" s="1"/>
  <c r="K45" i="24"/>
  <c r="K117" i="24" s="1"/>
  <c r="K44" i="24"/>
  <c r="K116" i="24" s="1"/>
  <c r="K38" i="24"/>
  <c r="K110" i="24" s="1"/>
  <c r="K37" i="24"/>
  <c r="K109" i="24" s="1"/>
  <c r="K36" i="24"/>
  <c r="K108" i="24" s="1"/>
  <c r="K35" i="24"/>
  <c r="K107" i="24" s="1"/>
  <c r="K34" i="24"/>
  <c r="K106" i="24" s="1"/>
  <c r="K33" i="24"/>
  <c r="K105" i="24" s="1"/>
  <c r="K32" i="24"/>
  <c r="K104" i="24" s="1"/>
  <c r="K31" i="24"/>
  <c r="K103" i="24" s="1"/>
  <c r="K30" i="24"/>
  <c r="K102" i="24" s="1"/>
  <c r="K28" i="24"/>
  <c r="K100" i="24" s="1"/>
  <c r="K27" i="24"/>
  <c r="K99" i="24" s="1"/>
  <c r="K26" i="24"/>
  <c r="K98" i="24" s="1"/>
  <c r="K25" i="24"/>
  <c r="K97" i="24" s="1"/>
  <c r="K24" i="24"/>
  <c r="K23" i="24"/>
  <c r="K95" i="24" s="1"/>
  <c r="K22" i="24"/>
  <c r="K94" i="24" s="1"/>
  <c r="K21" i="24"/>
  <c r="K93" i="24" s="1"/>
  <c r="K20" i="24"/>
  <c r="K92" i="24" s="1"/>
  <c r="K19" i="24"/>
  <c r="K91" i="24" s="1"/>
  <c r="K18" i="24"/>
  <c r="K90" i="24" s="1"/>
  <c r="K17" i="24"/>
  <c r="K89" i="24" s="1"/>
  <c r="K16" i="24"/>
  <c r="K88" i="24" s="1"/>
  <c r="K15" i="24"/>
  <c r="K87" i="24" s="1"/>
  <c r="K14" i="24"/>
  <c r="K86" i="24" s="1"/>
  <c r="K13" i="24"/>
  <c r="K85" i="24" s="1"/>
  <c r="K12" i="24"/>
  <c r="K84" i="24" s="1"/>
  <c r="K11" i="24"/>
  <c r="K83" i="24" s="1"/>
  <c r="K10" i="24"/>
  <c r="K82" i="24" s="1"/>
  <c r="K9" i="24"/>
  <c r="K81" i="24" s="1"/>
  <c r="K8" i="24"/>
  <c r="K80" i="24" s="1"/>
  <c r="K7" i="24"/>
  <c r="K79" i="24" s="1"/>
  <c r="K6" i="24"/>
  <c r="K78" i="24" s="1"/>
  <c r="K5" i="24"/>
  <c r="K77" i="24" s="1"/>
  <c r="K71" i="22"/>
  <c r="K143" i="22" s="1"/>
  <c r="K70" i="22"/>
  <c r="K142" i="22" s="1"/>
  <c r="K64" i="22"/>
  <c r="K136" i="22" s="1"/>
  <c r="K62" i="22"/>
  <c r="K134" i="22" s="1"/>
  <c r="K61" i="22"/>
  <c r="K133" i="22" s="1"/>
  <c r="K60" i="22"/>
  <c r="K132" i="22" s="1"/>
  <c r="K59" i="22"/>
  <c r="K131" i="22" s="1"/>
  <c r="K58" i="22"/>
  <c r="K130" i="22" s="1"/>
  <c r="K57" i="22"/>
  <c r="K129" i="22" s="1"/>
  <c r="K54" i="22"/>
  <c r="K126" i="22" s="1"/>
  <c r="K52" i="22"/>
  <c r="K124" i="22" s="1"/>
  <c r="K50" i="22"/>
  <c r="K122" i="22" s="1"/>
  <c r="K48" i="22"/>
  <c r="K120" i="22" s="1"/>
  <c r="K46" i="22"/>
  <c r="K118" i="22" s="1"/>
  <c r="K45" i="22"/>
  <c r="K117" i="22" s="1"/>
  <c r="K44" i="22"/>
  <c r="K116" i="22" s="1"/>
  <c r="K38" i="22"/>
  <c r="K110" i="22" s="1"/>
  <c r="K37" i="22"/>
  <c r="K109" i="22" s="1"/>
  <c r="K36" i="22"/>
  <c r="K108" i="22" s="1"/>
  <c r="K35" i="22"/>
  <c r="K107" i="22" s="1"/>
  <c r="K34" i="22"/>
  <c r="K106" i="22" s="1"/>
  <c r="K33" i="22"/>
  <c r="K105" i="22" s="1"/>
  <c r="K32" i="22"/>
  <c r="K104" i="22" s="1"/>
  <c r="K31" i="22"/>
  <c r="K103" i="22" s="1"/>
  <c r="K30" i="22"/>
  <c r="K102" i="22" s="1"/>
  <c r="K28" i="22"/>
  <c r="K100" i="22" s="1"/>
  <c r="K27" i="22"/>
  <c r="K99" i="22" s="1"/>
  <c r="K26" i="22"/>
  <c r="K98" i="22" s="1"/>
  <c r="K25" i="22"/>
  <c r="K97" i="22" s="1"/>
  <c r="K24" i="22"/>
  <c r="K23" i="22"/>
  <c r="K95" i="22" s="1"/>
  <c r="K22" i="22"/>
  <c r="K94" i="22" s="1"/>
  <c r="K21" i="22"/>
  <c r="K93" i="22" s="1"/>
  <c r="K20" i="22"/>
  <c r="K92" i="22" s="1"/>
  <c r="K19" i="22"/>
  <c r="K91" i="22" s="1"/>
  <c r="K18" i="22"/>
  <c r="K90" i="22" s="1"/>
  <c r="K17" i="22"/>
  <c r="K89" i="22" s="1"/>
  <c r="K16" i="22"/>
  <c r="K88" i="22" s="1"/>
  <c r="K15" i="22"/>
  <c r="K87" i="22" s="1"/>
  <c r="K14" i="22"/>
  <c r="K86" i="22" s="1"/>
  <c r="K13" i="22"/>
  <c r="K85" i="22" s="1"/>
  <c r="K12" i="22"/>
  <c r="K84" i="22" s="1"/>
  <c r="K11" i="22"/>
  <c r="K83" i="22" s="1"/>
  <c r="K10" i="22"/>
  <c r="K82" i="22" s="1"/>
  <c r="K9" i="22"/>
  <c r="K81" i="22" s="1"/>
  <c r="K8" i="22"/>
  <c r="K80" i="22" s="1"/>
  <c r="K7" i="22"/>
  <c r="K79" i="22" s="1"/>
  <c r="K6" i="22"/>
  <c r="K78" i="22" s="1"/>
  <c r="K5" i="22"/>
  <c r="K77" i="22" s="1"/>
  <c r="K6" i="18" l="1"/>
  <c r="K78" i="18" s="1"/>
  <c r="K7" i="18"/>
  <c r="K79" i="18" s="1"/>
  <c r="K8" i="18"/>
  <c r="K80" i="18" s="1"/>
  <c r="K9" i="18"/>
  <c r="K81" i="18" s="1"/>
  <c r="K10" i="18"/>
  <c r="K82" i="18" s="1"/>
  <c r="K11" i="18"/>
  <c r="K83" i="18" s="1"/>
  <c r="K12" i="18"/>
  <c r="K84" i="18" s="1"/>
  <c r="K13" i="18"/>
  <c r="K85" i="18" s="1"/>
  <c r="K14" i="18"/>
  <c r="K86" i="18" s="1"/>
  <c r="K15" i="18"/>
  <c r="K87" i="18" s="1"/>
  <c r="K16" i="18"/>
  <c r="K88" i="18" s="1"/>
  <c r="K17" i="18"/>
  <c r="K89" i="18" s="1"/>
  <c r="K18" i="18"/>
  <c r="K90" i="18" s="1"/>
  <c r="K19" i="18"/>
  <c r="K91" i="18" s="1"/>
  <c r="K20" i="18"/>
  <c r="K92" i="18" s="1"/>
  <c r="K21" i="18"/>
  <c r="K93" i="18" s="1"/>
  <c r="K22" i="18"/>
  <c r="K94" i="18" s="1"/>
  <c r="K23" i="18"/>
  <c r="K95" i="18" s="1"/>
  <c r="K24" i="18"/>
  <c r="K25" i="18"/>
  <c r="K97" i="18" s="1"/>
  <c r="K26" i="18"/>
  <c r="K98" i="18" s="1"/>
  <c r="K27" i="18"/>
  <c r="K99" i="18" s="1"/>
  <c r="K28" i="18"/>
  <c r="K100" i="18" s="1"/>
  <c r="K30" i="18"/>
  <c r="K102" i="18" s="1"/>
  <c r="K31" i="18"/>
  <c r="K103" i="18" s="1"/>
  <c r="K32" i="18"/>
  <c r="K104" i="18" s="1"/>
  <c r="K33" i="18"/>
  <c r="K105" i="18" s="1"/>
  <c r="K34" i="18"/>
  <c r="K106" i="18" s="1"/>
  <c r="K35" i="18"/>
  <c r="K107" i="18" s="1"/>
  <c r="K36" i="18"/>
  <c r="K108" i="18" s="1"/>
  <c r="K37" i="18"/>
  <c r="K109" i="18" s="1"/>
  <c r="K38" i="18"/>
  <c r="K110" i="18" s="1"/>
  <c r="K44" i="18"/>
  <c r="K116" i="18" s="1"/>
  <c r="K45" i="18"/>
  <c r="K117" i="18" s="1"/>
  <c r="K46" i="18"/>
  <c r="K118" i="18" s="1"/>
  <c r="K48" i="18"/>
  <c r="K120" i="18" s="1"/>
  <c r="K50" i="18"/>
  <c r="K122" i="18" s="1"/>
  <c r="K52" i="18"/>
  <c r="K124" i="18" s="1"/>
  <c r="K54" i="18"/>
  <c r="K126" i="18" s="1"/>
  <c r="K57" i="18"/>
  <c r="K129" i="18" s="1"/>
  <c r="K58" i="18"/>
  <c r="K130" i="18" s="1"/>
  <c r="K59" i="18"/>
  <c r="K131" i="18" s="1"/>
  <c r="K60" i="18"/>
  <c r="K132" i="18" s="1"/>
  <c r="K61" i="18"/>
  <c r="K133" i="18" s="1"/>
  <c r="K62" i="18"/>
  <c r="K134" i="18" s="1"/>
  <c r="K64" i="18"/>
  <c r="K136" i="18" s="1"/>
  <c r="K70" i="18"/>
  <c r="K142" i="18" s="1"/>
  <c r="K71" i="18"/>
  <c r="K143" i="18" s="1"/>
  <c r="K73" i="18"/>
  <c r="K145" i="18" s="1"/>
  <c r="F72" i="24"/>
  <c r="F144" i="24" s="1"/>
  <c r="D72" i="24"/>
  <c r="G71" i="24"/>
  <c r="D71" i="24"/>
  <c r="E70" i="24"/>
  <c r="D70" i="24"/>
  <c r="F69" i="24"/>
  <c r="F141" i="24" s="1"/>
  <c r="D69" i="24"/>
  <c r="F68" i="24"/>
  <c r="F140" i="24" s="1"/>
  <c r="D68" i="24"/>
  <c r="G67" i="24"/>
  <c r="D67" i="24"/>
  <c r="F66" i="24"/>
  <c r="F138" i="24" s="1"/>
  <c r="D66" i="24"/>
  <c r="F65" i="24"/>
  <c r="F137" i="24" s="1"/>
  <c r="D65" i="24"/>
  <c r="F64" i="24"/>
  <c r="F136" i="24" s="1"/>
  <c r="D64" i="24"/>
  <c r="F63" i="24"/>
  <c r="F135" i="24" s="1"/>
  <c r="D63" i="24"/>
  <c r="F62" i="24"/>
  <c r="F134" i="24" s="1"/>
  <c r="D62" i="24"/>
  <c r="G61" i="24"/>
  <c r="D61" i="24"/>
  <c r="G60" i="24"/>
  <c r="D60" i="24"/>
  <c r="G59" i="24"/>
  <c r="G131" i="24" s="1"/>
  <c r="D59" i="24"/>
  <c r="G58" i="24"/>
  <c r="G130" i="24" s="1"/>
  <c r="D58" i="24"/>
  <c r="G57" i="24"/>
  <c r="D57" i="24"/>
  <c r="F56" i="24"/>
  <c r="F128" i="24" s="1"/>
  <c r="D56" i="24"/>
  <c r="F55" i="24"/>
  <c r="F127" i="24" s="1"/>
  <c r="D55" i="24"/>
  <c r="F54" i="24"/>
  <c r="F126" i="24" s="1"/>
  <c r="D54" i="24"/>
  <c r="F53" i="24"/>
  <c r="F125" i="24" s="1"/>
  <c r="D53" i="24"/>
  <c r="F52" i="24"/>
  <c r="F124" i="24" s="1"/>
  <c r="D52" i="24"/>
  <c r="F51" i="24"/>
  <c r="F123" i="24" s="1"/>
  <c r="D51" i="24"/>
  <c r="F50" i="24"/>
  <c r="F122" i="24" s="1"/>
  <c r="D50" i="24"/>
  <c r="F49" i="24"/>
  <c r="F121" i="24" s="1"/>
  <c r="D49" i="24"/>
  <c r="F48" i="24"/>
  <c r="F120" i="24" s="1"/>
  <c r="D48" i="24"/>
  <c r="F47" i="24"/>
  <c r="F119" i="24" s="1"/>
  <c r="D47" i="24"/>
  <c r="F46" i="24"/>
  <c r="F118" i="24" s="1"/>
  <c r="D46" i="24"/>
  <c r="G45" i="24"/>
  <c r="D45" i="24"/>
  <c r="G44" i="24"/>
  <c r="D44" i="24"/>
  <c r="G43" i="24"/>
  <c r="G115" i="24" s="1"/>
  <c r="F42" i="24"/>
  <c r="F114" i="24" s="1"/>
  <c r="D42" i="24"/>
  <c r="G41" i="24"/>
  <c r="G113" i="24" s="1"/>
  <c r="F40" i="24"/>
  <c r="D40" i="24"/>
  <c r="G38" i="24"/>
  <c r="D38" i="24"/>
  <c r="G37" i="24"/>
  <c r="D37" i="24"/>
  <c r="G36" i="24"/>
  <c r="D36" i="24"/>
  <c r="G35" i="24"/>
  <c r="D35" i="24"/>
  <c r="G34" i="24"/>
  <c r="D34" i="24"/>
  <c r="G33" i="24"/>
  <c r="D33" i="24"/>
  <c r="G32" i="24"/>
  <c r="D32" i="24"/>
  <c r="D31" i="24"/>
  <c r="G30" i="24"/>
  <c r="D30" i="24"/>
  <c r="F29" i="24"/>
  <c r="F101" i="24" s="1"/>
  <c r="D29" i="24"/>
  <c r="F28" i="24"/>
  <c r="F100" i="24" s="1"/>
  <c r="D28" i="24"/>
  <c r="F27" i="24"/>
  <c r="F99" i="24" s="1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G14" i="24"/>
  <c r="D14" i="24"/>
  <c r="G13" i="24"/>
  <c r="G150" i="24" s="1"/>
  <c r="D13" i="24"/>
  <c r="G12" i="24"/>
  <c r="D12" i="24"/>
  <c r="G11" i="24"/>
  <c r="D11" i="24"/>
  <c r="D10" i="24"/>
  <c r="G9" i="24"/>
  <c r="D9" i="24"/>
  <c r="D8" i="24"/>
  <c r="G7" i="24"/>
  <c r="D7" i="24"/>
  <c r="G6" i="24"/>
  <c r="D6" i="24"/>
  <c r="G5" i="24"/>
  <c r="D5" i="24"/>
  <c r="F72" i="23"/>
  <c r="F144" i="23" s="1"/>
  <c r="D72" i="23"/>
  <c r="G71" i="23"/>
  <c r="D71" i="23"/>
  <c r="E70" i="23"/>
  <c r="D70" i="23"/>
  <c r="F69" i="23"/>
  <c r="F141" i="23" s="1"/>
  <c r="D69" i="23"/>
  <c r="F68" i="23"/>
  <c r="F140" i="23" s="1"/>
  <c r="D68" i="23"/>
  <c r="G67" i="23"/>
  <c r="D67" i="23"/>
  <c r="F66" i="23"/>
  <c r="F138" i="23" s="1"/>
  <c r="D66" i="23"/>
  <c r="F65" i="23"/>
  <c r="F137" i="23" s="1"/>
  <c r="D65" i="23"/>
  <c r="F64" i="23"/>
  <c r="F136" i="23" s="1"/>
  <c r="D64" i="23"/>
  <c r="F63" i="23"/>
  <c r="F135" i="23" s="1"/>
  <c r="D63" i="23"/>
  <c r="F62" i="23"/>
  <c r="F134" i="23" s="1"/>
  <c r="D62" i="23"/>
  <c r="G61" i="23"/>
  <c r="D61" i="23"/>
  <c r="G60" i="23"/>
  <c r="D60" i="23"/>
  <c r="G59" i="23"/>
  <c r="G131" i="23" s="1"/>
  <c r="D59" i="23"/>
  <c r="G58" i="23"/>
  <c r="G130" i="23" s="1"/>
  <c r="D58" i="23"/>
  <c r="G57" i="23"/>
  <c r="D57" i="23"/>
  <c r="F56" i="23"/>
  <c r="F128" i="23" s="1"/>
  <c r="D56" i="23"/>
  <c r="F55" i="23"/>
  <c r="F127" i="23" s="1"/>
  <c r="D55" i="23"/>
  <c r="F54" i="23"/>
  <c r="F126" i="23" s="1"/>
  <c r="D54" i="23"/>
  <c r="F53" i="23"/>
  <c r="F125" i="23" s="1"/>
  <c r="D53" i="23"/>
  <c r="F52" i="23"/>
  <c r="F124" i="23" s="1"/>
  <c r="D52" i="23"/>
  <c r="F51" i="23"/>
  <c r="F123" i="23" s="1"/>
  <c r="D51" i="23"/>
  <c r="F50" i="23"/>
  <c r="F122" i="23" s="1"/>
  <c r="D50" i="23"/>
  <c r="F49" i="23"/>
  <c r="F121" i="23" s="1"/>
  <c r="D49" i="23"/>
  <c r="F48" i="23"/>
  <c r="F120" i="23" s="1"/>
  <c r="D48" i="23"/>
  <c r="F47" i="23"/>
  <c r="F119" i="23" s="1"/>
  <c r="D47" i="23"/>
  <c r="F46" i="23"/>
  <c r="F118" i="23" s="1"/>
  <c r="D46" i="23"/>
  <c r="G45" i="23"/>
  <c r="D45" i="23"/>
  <c r="G44" i="23"/>
  <c r="D44" i="23"/>
  <c r="G43" i="23"/>
  <c r="G115" i="23" s="1"/>
  <c r="F42" i="23"/>
  <c r="D42" i="23"/>
  <c r="G41" i="23"/>
  <c r="G113" i="23" s="1"/>
  <c r="F40" i="23"/>
  <c r="D40" i="23"/>
  <c r="G38" i="23"/>
  <c r="D38" i="23"/>
  <c r="G37" i="23"/>
  <c r="D37" i="23"/>
  <c r="G36" i="23"/>
  <c r="D36" i="23"/>
  <c r="G35" i="23"/>
  <c r="D35" i="23"/>
  <c r="G34" i="23"/>
  <c r="D34" i="23"/>
  <c r="G33" i="23"/>
  <c r="D33" i="23"/>
  <c r="G32" i="23"/>
  <c r="D32" i="23"/>
  <c r="D31" i="23"/>
  <c r="G30" i="23"/>
  <c r="D30" i="23"/>
  <c r="F29" i="23"/>
  <c r="F101" i="23" s="1"/>
  <c r="D29" i="23"/>
  <c r="F28" i="23"/>
  <c r="F100" i="23" s="1"/>
  <c r="D28" i="23"/>
  <c r="F27" i="23"/>
  <c r="F99" i="23" s="1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G14" i="23"/>
  <c r="G153" i="23" s="1"/>
  <c r="G159" i="23" s="1"/>
  <c r="G162" i="23" s="1"/>
  <c r="D14" i="23"/>
  <c r="G13" i="23"/>
  <c r="G152" i="23" s="1"/>
  <c r="G158" i="23" s="1"/>
  <c r="G161" i="23" s="1"/>
  <c r="D13" i="23"/>
  <c r="G12" i="23"/>
  <c r="D12" i="23"/>
  <c r="G11" i="23"/>
  <c r="D11" i="23"/>
  <c r="D10" i="23"/>
  <c r="G9" i="23"/>
  <c r="D9" i="23"/>
  <c r="D8" i="23"/>
  <c r="G7" i="23"/>
  <c r="G151" i="23" s="1"/>
  <c r="G157" i="23" s="1"/>
  <c r="G160" i="23" s="1"/>
  <c r="D7" i="23"/>
  <c r="G6" i="23"/>
  <c r="D6" i="23"/>
  <c r="G5" i="23"/>
  <c r="D5" i="23"/>
  <c r="F72" i="22"/>
  <c r="F144" i="22" s="1"/>
  <c r="D72" i="22"/>
  <c r="G71" i="22"/>
  <c r="D71" i="22"/>
  <c r="E70" i="22"/>
  <c r="D70" i="22"/>
  <c r="F69" i="22"/>
  <c r="D69" i="22"/>
  <c r="F68" i="22"/>
  <c r="D68" i="22"/>
  <c r="G67" i="22"/>
  <c r="D67" i="22"/>
  <c r="F66" i="22"/>
  <c r="D66" i="22"/>
  <c r="F65" i="22"/>
  <c r="D65" i="22"/>
  <c r="F64" i="22"/>
  <c r="D64" i="22"/>
  <c r="F63" i="22"/>
  <c r="D63" i="22"/>
  <c r="F62" i="22"/>
  <c r="D62" i="22"/>
  <c r="G61" i="22"/>
  <c r="D61" i="22"/>
  <c r="G60" i="22"/>
  <c r="D60" i="22"/>
  <c r="G59" i="22"/>
  <c r="G131" i="22" s="1"/>
  <c r="D59" i="22"/>
  <c r="G58" i="22"/>
  <c r="G130" i="22" s="1"/>
  <c r="D58" i="22"/>
  <c r="G57" i="22"/>
  <c r="D57" i="22"/>
  <c r="F56" i="22"/>
  <c r="D56" i="22"/>
  <c r="F55" i="22"/>
  <c r="D55" i="22"/>
  <c r="F54" i="22"/>
  <c r="D54" i="22"/>
  <c r="F53" i="22"/>
  <c r="D53" i="22"/>
  <c r="F52" i="22"/>
  <c r="D52" i="22"/>
  <c r="F51" i="22"/>
  <c r="D51" i="22"/>
  <c r="F50" i="22"/>
  <c r="D50" i="22"/>
  <c r="F49" i="22"/>
  <c r="D49" i="22"/>
  <c r="F48" i="22"/>
  <c r="D48" i="22"/>
  <c r="F47" i="22"/>
  <c r="D47" i="22"/>
  <c r="F46" i="22"/>
  <c r="D46" i="22"/>
  <c r="G45" i="22"/>
  <c r="D45" i="22"/>
  <c r="G44" i="22"/>
  <c r="D44" i="22"/>
  <c r="G43" i="22"/>
  <c r="F42" i="22"/>
  <c r="F43" i="22" s="1"/>
  <c r="D42" i="22"/>
  <c r="G41" i="22"/>
  <c r="F40" i="22"/>
  <c r="F41" i="22" s="1"/>
  <c r="D40" i="22"/>
  <c r="G38" i="22"/>
  <c r="D38" i="22"/>
  <c r="G37" i="22"/>
  <c r="D37" i="22"/>
  <c r="G36" i="22"/>
  <c r="D36" i="22"/>
  <c r="G35" i="22"/>
  <c r="D35" i="22"/>
  <c r="G34" i="22"/>
  <c r="D34" i="22"/>
  <c r="G33" i="22"/>
  <c r="D33" i="22"/>
  <c r="G32" i="22"/>
  <c r="D32" i="22"/>
  <c r="D31" i="22"/>
  <c r="G30" i="22"/>
  <c r="D30" i="22"/>
  <c r="F29" i="22"/>
  <c r="D29" i="22"/>
  <c r="F28" i="22"/>
  <c r="D28" i="22"/>
  <c r="F27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G14" i="22"/>
  <c r="D14" i="22"/>
  <c r="G13" i="22"/>
  <c r="D13" i="22"/>
  <c r="G12" i="22"/>
  <c r="D12" i="22"/>
  <c r="G11" i="22"/>
  <c r="D11" i="22"/>
  <c r="D10" i="22"/>
  <c r="G9" i="22"/>
  <c r="D9" i="22"/>
  <c r="D8" i="22"/>
  <c r="G7" i="22"/>
  <c r="D7" i="22"/>
  <c r="G6" i="22"/>
  <c r="D6" i="22"/>
  <c r="G5" i="22"/>
  <c r="D5" i="22"/>
  <c r="J71" i="23"/>
  <c r="C71" i="23" s="1"/>
  <c r="J45" i="23"/>
  <c r="C45" i="23" s="1"/>
  <c r="J44" i="23"/>
  <c r="C44" i="23" s="1"/>
  <c r="J25" i="23"/>
  <c r="C25" i="23" s="1"/>
  <c r="J23" i="23"/>
  <c r="C23" i="23" s="1"/>
  <c r="J12" i="23"/>
  <c r="C12" i="23" s="1"/>
  <c r="J45" i="24"/>
  <c r="C45" i="24" s="1"/>
  <c r="J26" i="24"/>
  <c r="J25" i="24"/>
  <c r="J23" i="24"/>
  <c r="C23" i="24" s="1"/>
  <c r="J70" i="22"/>
  <c r="J45" i="22"/>
  <c r="J44" i="22"/>
  <c r="J26" i="22"/>
  <c r="J25" i="22"/>
  <c r="J23" i="22"/>
  <c r="J14" i="22"/>
  <c r="E69" i="17"/>
  <c r="E67" i="17"/>
  <c r="J70" i="18" s="1"/>
  <c r="E51" i="17"/>
  <c r="E68" i="17" s="1"/>
  <c r="J71" i="18" s="1"/>
  <c r="E50" i="17"/>
  <c r="E39" i="17"/>
  <c r="J45" i="18" s="1"/>
  <c r="E38" i="17"/>
  <c r="J44" i="18" s="1"/>
  <c r="E25" i="17"/>
  <c r="J25" i="18" s="1"/>
  <c r="E23" i="17"/>
  <c r="J23" i="18" s="1"/>
  <c r="E14" i="17"/>
  <c r="J14" i="18" s="1"/>
  <c r="J13" i="18"/>
  <c r="E12" i="17"/>
  <c r="J12" i="18" s="1"/>
  <c r="J26" i="23"/>
  <c r="C26" i="23" s="1"/>
  <c r="J70" i="23"/>
  <c r="C70" i="23" s="1"/>
  <c r="J12" i="24"/>
  <c r="C12" i="24" s="1"/>
  <c r="J13" i="24"/>
  <c r="J14" i="24"/>
  <c r="J44" i="24"/>
  <c r="C44" i="24" s="1"/>
  <c r="J70" i="24"/>
  <c r="C70" i="24" s="1"/>
  <c r="J71" i="24"/>
  <c r="C71" i="24" s="1"/>
  <c r="J12" i="22"/>
  <c r="J13" i="22"/>
  <c r="J71" i="22"/>
  <c r="E26" i="17"/>
  <c r="J26" i="18" s="1"/>
  <c r="H26" i="24" l="1"/>
  <c r="C26" i="24"/>
  <c r="H13" i="24"/>
  <c r="C13" i="24"/>
  <c r="H14" i="24"/>
  <c r="C14" i="24"/>
  <c r="H25" i="24"/>
  <c r="C25" i="24"/>
  <c r="F41" i="23"/>
  <c r="F113" i="23" s="1"/>
  <c r="F112" i="23"/>
  <c r="F43" i="23"/>
  <c r="F115" i="23" s="1"/>
  <c r="F114" i="23"/>
  <c r="F9" i="22"/>
  <c r="F81" i="22" s="1"/>
  <c r="G81" i="22"/>
  <c r="F32" i="22"/>
  <c r="F104" i="22" s="1"/>
  <c r="G104" i="22"/>
  <c r="F11" i="23"/>
  <c r="F83" i="23" s="1"/>
  <c r="G83" i="23"/>
  <c r="F14" i="22"/>
  <c r="F86" i="22" s="1"/>
  <c r="G86" i="22"/>
  <c r="F38" i="23"/>
  <c r="G110" i="23"/>
  <c r="F60" i="23"/>
  <c r="F132" i="23" s="1"/>
  <c r="G132" i="23"/>
  <c r="F33" i="22"/>
  <c r="F105" i="22" s="1"/>
  <c r="G105" i="22"/>
  <c r="F37" i="22"/>
  <c r="F109" i="22" s="1"/>
  <c r="G109" i="22"/>
  <c r="F67" i="22"/>
  <c r="F139" i="22" s="1"/>
  <c r="G139" i="22"/>
  <c r="F71" i="22"/>
  <c r="F143" i="22" s="1"/>
  <c r="G143" i="22"/>
  <c r="F7" i="23"/>
  <c r="G79" i="23"/>
  <c r="F12" i="23"/>
  <c r="F84" i="23" s="1"/>
  <c r="G84" i="23"/>
  <c r="F30" i="23"/>
  <c r="F102" i="23" s="1"/>
  <c r="G102" i="23"/>
  <c r="F36" i="22"/>
  <c r="F108" i="22" s="1"/>
  <c r="G108" i="22"/>
  <c r="F6" i="23"/>
  <c r="F78" i="23" s="1"/>
  <c r="G78" i="23"/>
  <c r="F5" i="22"/>
  <c r="F77" i="22" s="1"/>
  <c r="G77" i="22"/>
  <c r="F34" i="23"/>
  <c r="F106" i="23" s="1"/>
  <c r="G106" i="23"/>
  <c r="F44" i="23"/>
  <c r="F116" i="23" s="1"/>
  <c r="G116" i="23"/>
  <c r="F6" i="22"/>
  <c r="F78" i="22" s="1"/>
  <c r="G78" i="22"/>
  <c r="F11" i="22"/>
  <c r="F83" i="22" s="1"/>
  <c r="G83" i="22"/>
  <c r="F35" i="23"/>
  <c r="F107" i="23" s="1"/>
  <c r="G107" i="23"/>
  <c r="F45" i="23"/>
  <c r="F117" i="23" s="1"/>
  <c r="G117" i="23"/>
  <c r="F57" i="23"/>
  <c r="F129" i="23" s="1"/>
  <c r="G129" i="23"/>
  <c r="F61" i="23"/>
  <c r="F133" i="23" s="1"/>
  <c r="G133" i="23"/>
  <c r="F13" i="23"/>
  <c r="G85" i="23"/>
  <c r="G70" i="22"/>
  <c r="G142" i="22" s="1"/>
  <c r="E142" i="22"/>
  <c r="F34" i="22"/>
  <c r="F106" i="22" s="1"/>
  <c r="G106" i="22"/>
  <c r="G39" i="22"/>
  <c r="G111" i="22" s="1"/>
  <c r="G110" i="22"/>
  <c r="F44" i="22"/>
  <c r="F116" i="22" s="1"/>
  <c r="G116" i="22"/>
  <c r="F60" i="22"/>
  <c r="F132" i="22" s="1"/>
  <c r="G132" i="22"/>
  <c r="F7" i="22"/>
  <c r="F79" i="22" s="1"/>
  <c r="G79" i="22"/>
  <c r="F12" i="22"/>
  <c r="F84" i="22" s="1"/>
  <c r="G84" i="22"/>
  <c r="F30" i="22"/>
  <c r="F102" i="22" s="1"/>
  <c r="G102" i="22"/>
  <c r="F9" i="23"/>
  <c r="F81" i="23" s="1"/>
  <c r="G81" i="23"/>
  <c r="F32" i="23"/>
  <c r="F104" i="23" s="1"/>
  <c r="G104" i="23"/>
  <c r="F36" i="23"/>
  <c r="F108" i="23" s="1"/>
  <c r="G108" i="23"/>
  <c r="G70" i="23"/>
  <c r="G142" i="23" s="1"/>
  <c r="E142" i="23"/>
  <c r="F35" i="22"/>
  <c r="F107" i="22" s="1"/>
  <c r="G107" i="22"/>
  <c r="F45" i="22"/>
  <c r="F117" i="22" s="1"/>
  <c r="G117" i="22"/>
  <c r="F57" i="22"/>
  <c r="F129" i="22" s="1"/>
  <c r="G129" i="22"/>
  <c r="F61" i="22"/>
  <c r="F133" i="22" s="1"/>
  <c r="G133" i="22"/>
  <c r="F5" i="23"/>
  <c r="F77" i="23" s="1"/>
  <c r="G77" i="23"/>
  <c r="F14" i="23"/>
  <c r="G86" i="23"/>
  <c r="F13" i="22"/>
  <c r="F85" i="22" s="1"/>
  <c r="G85" i="22"/>
  <c r="F33" i="23"/>
  <c r="F105" i="23" s="1"/>
  <c r="G105" i="23"/>
  <c r="F37" i="23"/>
  <c r="F109" i="23" s="1"/>
  <c r="G109" i="23"/>
  <c r="F67" i="23"/>
  <c r="F139" i="23" s="1"/>
  <c r="G139" i="23"/>
  <c r="F71" i="23"/>
  <c r="F143" i="23" s="1"/>
  <c r="G143" i="23"/>
  <c r="F13" i="24"/>
  <c r="G85" i="24"/>
  <c r="G156" i="24" s="1"/>
  <c r="G159" i="24" s="1"/>
  <c r="F45" i="24"/>
  <c r="F117" i="24" s="1"/>
  <c r="G117" i="24"/>
  <c r="F57" i="24"/>
  <c r="F129" i="24" s="1"/>
  <c r="G129" i="24"/>
  <c r="F61" i="24"/>
  <c r="G133" i="24"/>
  <c r="F9" i="24"/>
  <c r="F81" i="24" s="1"/>
  <c r="G81" i="24"/>
  <c r="F32" i="24"/>
  <c r="F104" i="24" s="1"/>
  <c r="G104" i="24"/>
  <c r="F5" i="24"/>
  <c r="F77" i="24" s="1"/>
  <c r="G77" i="24"/>
  <c r="F14" i="24"/>
  <c r="G151" i="24"/>
  <c r="G86" i="24"/>
  <c r="G157" i="24" s="1"/>
  <c r="G160" i="24" s="1"/>
  <c r="G70" i="24"/>
  <c r="G142" i="24" s="1"/>
  <c r="E142" i="24"/>
  <c r="F12" i="24"/>
  <c r="F84" i="24" s="1"/>
  <c r="G84" i="24"/>
  <c r="F36" i="24"/>
  <c r="F108" i="24" s="1"/>
  <c r="G108" i="24"/>
  <c r="F33" i="24"/>
  <c r="F105" i="24" s="1"/>
  <c r="G105" i="24"/>
  <c r="F37" i="24"/>
  <c r="F109" i="24" s="1"/>
  <c r="G109" i="24"/>
  <c r="F43" i="24"/>
  <c r="F115" i="24" s="1"/>
  <c r="F30" i="24"/>
  <c r="F102" i="24" s="1"/>
  <c r="G102" i="24"/>
  <c r="F11" i="24"/>
  <c r="F83" i="24" s="1"/>
  <c r="G83" i="24"/>
  <c r="F67" i="24"/>
  <c r="F139" i="24" s="1"/>
  <c r="G139" i="24"/>
  <c r="F6" i="24"/>
  <c r="F78" i="24" s="1"/>
  <c r="G78" i="24"/>
  <c r="F71" i="24"/>
  <c r="F143" i="24" s="1"/>
  <c r="G143" i="24"/>
  <c r="F34" i="24"/>
  <c r="F106" i="24" s="1"/>
  <c r="G106" i="24"/>
  <c r="F38" i="24"/>
  <c r="G110" i="24"/>
  <c r="F7" i="24"/>
  <c r="G149" i="24"/>
  <c r="G79" i="24"/>
  <c r="G155" i="24" s="1"/>
  <c r="G158" i="24" s="1"/>
  <c r="F44" i="24"/>
  <c r="F116" i="24" s="1"/>
  <c r="G116" i="24"/>
  <c r="F60" i="24"/>
  <c r="G132" i="24"/>
  <c r="F35" i="24"/>
  <c r="F107" i="24" s="1"/>
  <c r="G107" i="24"/>
  <c r="F41" i="24"/>
  <c r="F113" i="24" s="1"/>
  <c r="F112" i="24"/>
  <c r="H26" i="23"/>
  <c r="J98" i="23"/>
  <c r="C98" i="23" s="1"/>
  <c r="C152" i="23"/>
  <c r="J85" i="23"/>
  <c r="H85" i="23" s="1"/>
  <c r="C153" i="23"/>
  <c r="J86" i="23"/>
  <c r="H86" i="23" s="1"/>
  <c r="H23" i="23"/>
  <c r="J95" i="23"/>
  <c r="C95" i="23" s="1"/>
  <c r="H25" i="23"/>
  <c r="J97" i="23"/>
  <c r="C97" i="23" s="1"/>
  <c r="J116" i="23"/>
  <c r="C116" i="23" s="1"/>
  <c r="J117" i="23"/>
  <c r="C117" i="23" s="1"/>
  <c r="H71" i="23"/>
  <c r="J143" i="23"/>
  <c r="C143" i="23" s="1"/>
  <c r="J142" i="23"/>
  <c r="C142" i="23" s="1"/>
  <c r="H12" i="23"/>
  <c r="J84" i="23"/>
  <c r="C84" i="23" s="1"/>
  <c r="J142" i="24"/>
  <c r="C142" i="24" s="1"/>
  <c r="H23" i="24"/>
  <c r="J95" i="24"/>
  <c r="C95" i="24" s="1"/>
  <c r="J86" i="24"/>
  <c r="J98" i="24"/>
  <c r="H157" i="24" s="1"/>
  <c r="J117" i="24"/>
  <c r="C117" i="24" s="1"/>
  <c r="H12" i="24"/>
  <c r="J84" i="24"/>
  <c r="C84" i="24" s="1"/>
  <c r="J117" i="22"/>
  <c r="J142" i="22"/>
  <c r="H14" i="22"/>
  <c r="J86" i="22"/>
  <c r="H23" i="22"/>
  <c r="J95" i="22"/>
  <c r="H12" i="22"/>
  <c r="J84" i="22"/>
  <c r="H71" i="22"/>
  <c r="J143" i="22"/>
  <c r="H25" i="22"/>
  <c r="J97" i="22"/>
  <c r="J116" i="22"/>
  <c r="H13" i="22"/>
  <c r="J85" i="22"/>
  <c r="H26" i="22"/>
  <c r="J98" i="22"/>
  <c r="J142" i="18"/>
  <c r="J143" i="18"/>
  <c r="J117" i="18"/>
  <c r="J116" i="18"/>
  <c r="J98" i="18"/>
  <c r="J97" i="18"/>
  <c r="J95" i="18"/>
  <c r="J85" i="18"/>
  <c r="J84" i="18"/>
  <c r="J86" i="18"/>
  <c r="J85" i="24"/>
  <c r="J97" i="24"/>
  <c r="H156" i="24" s="1"/>
  <c r="J116" i="24"/>
  <c r="C116" i="24" s="1"/>
  <c r="H71" i="24"/>
  <c r="J143" i="24"/>
  <c r="C143" i="24" s="1"/>
  <c r="J73" i="18"/>
  <c r="G39" i="23"/>
  <c r="G111" i="23" s="1"/>
  <c r="F38" i="22"/>
  <c r="G39" i="24"/>
  <c r="G111" i="24" s="1"/>
  <c r="C55" i="2"/>
  <c r="F85" i="23" l="1"/>
  <c r="F152" i="23"/>
  <c r="F158" i="23" s="1"/>
  <c r="F161" i="23" s="1"/>
  <c r="F86" i="23"/>
  <c r="F153" i="23"/>
  <c r="F159" i="23" s="1"/>
  <c r="F162" i="23" s="1"/>
  <c r="F79" i="23"/>
  <c r="F151" i="23"/>
  <c r="F157" i="23" s="1"/>
  <c r="F160" i="23" s="1"/>
  <c r="F39" i="22"/>
  <c r="F111" i="22" s="1"/>
  <c r="F110" i="22"/>
  <c r="F39" i="23"/>
  <c r="F111" i="23" s="1"/>
  <c r="F110" i="23"/>
  <c r="F85" i="24"/>
  <c r="F156" i="24" s="1"/>
  <c r="F159" i="24" s="1"/>
  <c r="F150" i="24"/>
  <c r="F132" i="24"/>
  <c r="F133" i="24"/>
  <c r="F86" i="24"/>
  <c r="F157" i="24" s="1"/>
  <c r="F160" i="24" s="1"/>
  <c r="F151" i="24"/>
  <c r="F149" i="24"/>
  <c r="F79" i="24"/>
  <c r="F155" i="24" s="1"/>
  <c r="F158" i="24" s="1"/>
  <c r="F39" i="24"/>
  <c r="F111" i="24" s="1"/>
  <c r="F110" i="24"/>
  <c r="H97" i="23"/>
  <c r="H143" i="23"/>
  <c r="H95" i="23"/>
  <c r="H117" i="23"/>
  <c r="H98" i="23"/>
  <c r="H142" i="23"/>
  <c r="H84" i="23"/>
  <c r="H116" i="23"/>
  <c r="H84" i="24"/>
  <c r="H86" i="24"/>
  <c r="H117" i="24"/>
  <c r="H95" i="24"/>
  <c r="H98" i="24"/>
  <c r="H142" i="24"/>
  <c r="H143" i="24"/>
  <c r="H85" i="22"/>
  <c r="H86" i="22"/>
  <c r="H143" i="22"/>
  <c r="H116" i="22"/>
  <c r="H84" i="22"/>
  <c r="H142" i="22"/>
  <c r="H98" i="22"/>
  <c r="H97" i="22"/>
  <c r="H95" i="22"/>
  <c r="H117" i="22"/>
  <c r="H142" i="18"/>
  <c r="H143" i="18"/>
  <c r="H73" i="24"/>
  <c r="J145" i="24"/>
  <c r="C145" i="24" s="1"/>
  <c r="H73" i="22"/>
  <c r="J145" i="22"/>
  <c r="H73" i="23"/>
  <c r="J145" i="23"/>
  <c r="C145" i="23" s="1"/>
  <c r="J145" i="18"/>
  <c r="H117" i="18"/>
  <c r="H116" i="18"/>
  <c r="H98" i="18"/>
  <c r="H97" i="18"/>
  <c r="H95" i="18"/>
  <c r="H85" i="18"/>
  <c r="H84" i="18"/>
  <c r="H86" i="18"/>
  <c r="H97" i="24"/>
  <c r="H85" i="24"/>
  <c r="H116" i="24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3" i="21"/>
  <c r="F22" i="21"/>
  <c r="F20" i="21"/>
  <c r="F19" i="21"/>
  <c r="F18" i="21"/>
  <c r="F17" i="21"/>
  <c r="F16" i="21"/>
  <c r="F15" i="21"/>
  <c r="F14" i="21"/>
  <c r="F13" i="21"/>
  <c r="F12" i="21"/>
  <c r="F11" i="21"/>
  <c r="F9" i="21"/>
  <c r="F8" i="21"/>
  <c r="F7" i="21"/>
  <c r="F6" i="21"/>
  <c r="F5" i="21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3" i="20"/>
  <c r="F22" i="20"/>
  <c r="F20" i="20"/>
  <c r="F19" i="20"/>
  <c r="F18" i="20"/>
  <c r="F17" i="20"/>
  <c r="F16" i="20"/>
  <c r="F15" i="20"/>
  <c r="F14" i="20"/>
  <c r="F13" i="20"/>
  <c r="F12" i="20"/>
  <c r="F11" i="20"/>
  <c r="F9" i="20"/>
  <c r="F8" i="20"/>
  <c r="F7" i="20"/>
  <c r="F6" i="20"/>
  <c r="F5" i="20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3" i="19"/>
  <c r="F22" i="19"/>
  <c r="F20" i="19"/>
  <c r="F19" i="19"/>
  <c r="F18" i="19"/>
  <c r="F17" i="19"/>
  <c r="F16" i="19"/>
  <c r="F15" i="19"/>
  <c r="F14" i="19"/>
  <c r="F13" i="19"/>
  <c r="F12" i="19"/>
  <c r="F11" i="19"/>
  <c r="F9" i="19"/>
  <c r="F8" i="19"/>
  <c r="F7" i="19"/>
  <c r="F6" i="19"/>
  <c r="F5" i="19"/>
  <c r="H145" i="22" l="1"/>
  <c r="H145" i="24"/>
  <c r="H145" i="18"/>
  <c r="H145" i="23"/>
  <c r="AB48" i="7"/>
  <c r="V48" i="7"/>
  <c r="P48" i="7"/>
  <c r="J48" i="7"/>
  <c r="D48" i="7"/>
  <c r="D6" i="7"/>
  <c r="AA48" i="7"/>
  <c r="U48" i="7"/>
  <c r="O48" i="7"/>
  <c r="I48" i="7"/>
  <c r="C48" i="7"/>
  <c r="V6" i="7"/>
  <c r="P6" i="7"/>
  <c r="J6" i="7"/>
  <c r="U6" i="7"/>
  <c r="O6" i="7"/>
  <c r="I6" i="7"/>
  <c r="C6" i="7"/>
  <c r="AE49" i="7" l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Y49" i="7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S49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M49" i="7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AH48" i="7"/>
  <c r="AH49" i="7" s="1"/>
  <c r="AH50" i="7" s="1"/>
  <c r="AH51" i="7" s="1"/>
  <c r="AH52" i="7" s="1"/>
  <c r="AH53" i="7" s="1"/>
  <c r="AH54" i="7" s="1"/>
  <c r="AH55" i="7" s="1"/>
  <c r="AH56" i="7" s="1"/>
  <c r="AH57" i="7" s="1"/>
  <c r="AH58" i="7" s="1"/>
  <c r="AH59" i="7" s="1"/>
  <c r="AH60" i="7" s="1"/>
  <c r="AH61" i="7" s="1"/>
  <c r="AH62" i="7" s="1"/>
  <c r="AH63" i="7" s="1"/>
  <c r="AH64" i="7" s="1"/>
  <c r="AH65" i="7" s="1"/>
  <c r="AH66" i="7" s="1"/>
  <c r="AH67" i="7" s="1"/>
  <c r="AH68" i="7" s="1"/>
  <c r="AH69" i="7" s="1"/>
  <c r="AH70" i="7" s="1"/>
  <c r="AH71" i="7" s="1"/>
  <c r="AH72" i="7" s="1"/>
  <c r="AH73" i="7" s="1"/>
  <c r="AH74" i="7" s="1"/>
  <c r="AH75" i="7" s="1"/>
  <c r="AH76" i="7" s="1"/>
  <c r="AH77" i="7" s="1"/>
  <c r="AH78" i="7" s="1"/>
  <c r="AH79" i="7" s="1"/>
  <c r="AH80" i="7" s="1"/>
  <c r="AH81" i="7" s="1"/>
  <c r="AG48" i="7"/>
  <c r="AI48" i="7" s="1"/>
  <c r="AB49" i="7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A49" i="7"/>
  <c r="V49" i="7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U49" i="7"/>
  <c r="P49" i="7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BF49" i="10"/>
  <c r="BF50" i="10" s="1"/>
  <c r="BF51" i="10" s="1"/>
  <c r="BF52" i="10" s="1"/>
  <c r="BF53" i="10" s="1"/>
  <c r="BF54" i="10" s="1"/>
  <c r="BF55" i="10" s="1"/>
  <c r="BF56" i="10" s="1"/>
  <c r="BF57" i="10" s="1"/>
  <c r="BF58" i="10" s="1"/>
  <c r="BF59" i="10" s="1"/>
  <c r="BF60" i="10" s="1"/>
  <c r="BF61" i="10" s="1"/>
  <c r="BF62" i="10" s="1"/>
  <c r="BF63" i="10" s="1"/>
  <c r="BF64" i="10" s="1"/>
  <c r="BF65" i="10" s="1"/>
  <c r="BF66" i="10" s="1"/>
  <c r="BF67" i="10" s="1"/>
  <c r="BF68" i="10" s="1"/>
  <c r="BF69" i="10" s="1"/>
  <c r="BF70" i="10" s="1"/>
  <c r="BF71" i="10" s="1"/>
  <c r="BF72" i="10" s="1"/>
  <c r="BF73" i="10" s="1"/>
  <c r="BF74" i="10" s="1"/>
  <c r="BF75" i="10" s="1"/>
  <c r="BF76" i="10" s="1"/>
  <c r="BF77" i="10" s="1"/>
  <c r="BF78" i="10" s="1"/>
  <c r="BF79" i="10" s="1"/>
  <c r="BF80" i="10" s="1"/>
  <c r="BF81" i="10" s="1"/>
  <c r="AZ48" i="10"/>
  <c r="AT48" i="10"/>
  <c r="AT49" i="10" s="1"/>
  <c r="AT50" i="10" s="1"/>
  <c r="AT51" i="10" s="1"/>
  <c r="AT52" i="10" s="1"/>
  <c r="AT53" i="10" s="1"/>
  <c r="AT54" i="10" s="1"/>
  <c r="AT55" i="10" s="1"/>
  <c r="AT56" i="10" s="1"/>
  <c r="AT57" i="10" s="1"/>
  <c r="AT58" i="10" s="1"/>
  <c r="AT59" i="10" s="1"/>
  <c r="AT60" i="10" s="1"/>
  <c r="AT61" i="10" s="1"/>
  <c r="AT62" i="10" s="1"/>
  <c r="AT63" i="10" s="1"/>
  <c r="AT64" i="10" s="1"/>
  <c r="AT65" i="10" s="1"/>
  <c r="AT66" i="10" s="1"/>
  <c r="AT67" i="10" s="1"/>
  <c r="AT68" i="10" s="1"/>
  <c r="AT69" i="10" s="1"/>
  <c r="AT70" i="10" s="1"/>
  <c r="AT71" i="10" s="1"/>
  <c r="AT72" i="10" s="1"/>
  <c r="AT73" i="10" s="1"/>
  <c r="AT74" i="10" s="1"/>
  <c r="AT75" i="10" s="1"/>
  <c r="AT76" i="10" s="1"/>
  <c r="AT77" i="10" s="1"/>
  <c r="AT78" i="10" s="1"/>
  <c r="AT79" i="10" s="1"/>
  <c r="AT80" i="10" s="1"/>
  <c r="AT81" i="10" s="1"/>
  <c r="AH48" i="10"/>
  <c r="AH49" i="10" s="1"/>
  <c r="AH50" i="10" s="1"/>
  <c r="AH51" i="10" s="1"/>
  <c r="AH52" i="10" s="1"/>
  <c r="AH53" i="10" s="1"/>
  <c r="AH54" i="10" s="1"/>
  <c r="AH55" i="10" s="1"/>
  <c r="AH56" i="10" s="1"/>
  <c r="AH57" i="10" s="1"/>
  <c r="AH58" i="10" s="1"/>
  <c r="AH59" i="10" s="1"/>
  <c r="AH60" i="10" s="1"/>
  <c r="AH61" i="10" s="1"/>
  <c r="AH62" i="10" s="1"/>
  <c r="AH63" i="10" s="1"/>
  <c r="AH64" i="10" s="1"/>
  <c r="AH65" i="10" s="1"/>
  <c r="AH66" i="10" s="1"/>
  <c r="AH67" i="10" s="1"/>
  <c r="AH68" i="10" s="1"/>
  <c r="AH69" i="10" s="1"/>
  <c r="AH70" i="10" s="1"/>
  <c r="AH71" i="10" s="1"/>
  <c r="AH72" i="10" s="1"/>
  <c r="AH73" i="10" s="1"/>
  <c r="AH74" i="10" s="1"/>
  <c r="AH75" i="10" s="1"/>
  <c r="AH76" i="10" s="1"/>
  <c r="AH77" i="10" s="1"/>
  <c r="AH78" i="10" s="1"/>
  <c r="AH79" i="10" s="1"/>
  <c r="AH80" i="10" s="1"/>
  <c r="AH81" i="10" s="1"/>
  <c r="AB48" i="10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V48" i="10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P48" i="10"/>
  <c r="J48" i="10"/>
  <c r="D48" i="10"/>
  <c r="AY48" i="10"/>
  <c r="AS48" i="10"/>
  <c r="AS49" i="10" s="1"/>
  <c r="AG48" i="10"/>
  <c r="AG49" i="10" s="1"/>
  <c r="AA48" i="10"/>
  <c r="U48" i="10"/>
  <c r="O48" i="10"/>
  <c r="I48" i="10"/>
  <c r="C48" i="10"/>
  <c r="C6" i="10"/>
  <c r="BS49" i="10"/>
  <c r="BS50" i="10" s="1"/>
  <c r="BS51" i="10" s="1"/>
  <c r="BS52" i="10" s="1"/>
  <c r="BS53" i="10" s="1"/>
  <c r="BS54" i="10" s="1"/>
  <c r="BS55" i="10" s="1"/>
  <c r="BS56" i="10" s="1"/>
  <c r="BS57" i="10" s="1"/>
  <c r="BS58" i="10" s="1"/>
  <c r="BS59" i="10" s="1"/>
  <c r="BS60" i="10" s="1"/>
  <c r="BS61" i="10" s="1"/>
  <c r="BS62" i="10" s="1"/>
  <c r="BS63" i="10" s="1"/>
  <c r="BS64" i="10" s="1"/>
  <c r="BS65" i="10" s="1"/>
  <c r="BS66" i="10" s="1"/>
  <c r="BS67" i="10" s="1"/>
  <c r="BS68" i="10" s="1"/>
  <c r="BS69" i="10" s="1"/>
  <c r="BS70" i="10" s="1"/>
  <c r="BS71" i="10" s="1"/>
  <c r="BS72" i="10" s="1"/>
  <c r="BS73" i="10" s="1"/>
  <c r="BS74" i="10" s="1"/>
  <c r="BS75" i="10" s="1"/>
  <c r="BS76" i="10" s="1"/>
  <c r="BS77" i="10" s="1"/>
  <c r="BS78" i="10" s="1"/>
  <c r="BS79" i="10" s="1"/>
  <c r="BS80" i="10" s="1"/>
  <c r="BS81" i="10" s="1"/>
  <c r="BR49" i="10"/>
  <c r="BR50" i="10" s="1"/>
  <c r="BR51" i="10" s="1"/>
  <c r="BR52" i="10" s="1"/>
  <c r="BR53" i="10" s="1"/>
  <c r="BR54" i="10" s="1"/>
  <c r="BR55" i="10" s="1"/>
  <c r="BR56" i="10" s="1"/>
  <c r="BR57" i="10" s="1"/>
  <c r="BR58" i="10" s="1"/>
  <c r="BR59" i="10" s="1"/>
  <c r="BR60" i="10" s="1"/>
  <c r="BR61" i="10" s="1"/>
  <c r="BR62" i="10" s="1"/>
  <c r="BR63" i="10" s="1"/>
  <c r="BR64" i="10" s="1"/>
  <c r="BR65" i="10" s="1"/>
  <c r="BR66" i="10" s="1"/>
  <c r="BR67" i="10" s="1"/>
  <c r="BR68" i="10" s="1"/>
  <c r="BR69" i="10" s="1"/>
  <c r="BR70" i="10" s="1"/>
  <c r="BR71" i="10" s="1"/>
  <c r="BR72" i="10" s="1"/>
  <c r="BR73" i="10" s="1"/>
  <c r="BR74" i="10" s="1"/>
  <c r="BR75" i="10" s="1"/>
  <c r="BR76" i="10" s="1"/>
  <c r="BR77" i="10" s="1"/>
  <c r="BR78" i="10" s="1"/>
  <c r="BR79" i="10" s="1"/>
  <c r="BR80" i="10" s="1"/>
  <c r="BR81" i="10" s="1"/>
  <c r="BQ49" i="10"/>
  <c r="BQ50" i="10" s="1"/>
  <c r="BQ51" i="10" s="1"/>
  <c r="BQ52" i="10" s="1"/>
  <c r="BQ53" i="10" s="1"/>
  <c r="BQ54" i="10" s="1"/>
  <c r="BQ55" i="10" s="1"/>
  <c r="BQ56" i="10" s="1"/>
  <c r="BQ57" i="10" s="1"/>
  <c r="BQ58" i="10" s="1"/>
  <c r="BQ59" i="10" s="1"/>
  <c r="BQ60" i="10" s="1"/>
  <c r="BQ61" i="10" s="1"/>
  <c r="BQ62" i="10" s="1"/>
  <c r="BQ63" i="10" s="1"/>
  <c r="BQ64" i="10" s="1"/>
  <c r="BQ65" i="10" s="1"/>
  <c r="BQ66" i="10" s="1"/>
  <c r="BQ67" i="10" s="1"/>
  <c r="BQ68" i="10" s="1"/>
  <c r="BQ69" i="10" s="1"/>
  <c r="BQ70" i="10" s="1"/>
  <c r="BQ71" i="10" s="1"/>
  <c r="BQ72" i="10" s="1"/>
  <c r="BQ73" i="10" s="1"/>
  <c r="BQ74" i="10" s="1"/>
  <c r="BQ75" i="10" s="1"/>
  <c r="BQ76" i="10" s="1"/>
  <c r="BQ77" i="10" s="1"/>
  <c r="BQ78" i="10" s="1"/>
  <c r="BQ79" i="10" s="1"/>
  <c r="BQ80" i="10" s="1"/>
  <c r="BQ81" i="10" s="1"/>
  <c r="BO49" i="10"/>
  <c r="BO50" i="10" s="1"/>
  <c r="BO51" i="10" s="1"/>
  <c r="BO52" i="10" s="1"/>
  <c r="BO53" i="10" s="1"/>
  <c r="BO54" i="10" s="1"/>
  <c r="BO55" i="10" s="1"/>
  <c r="BO56" i="10" s="1"/>
  <c r="BO57" i="10" s="1"/>
  <c r="BO58" i="10" s="1"/>
  <c r="BO59" i="10" s="1"/>
  <c r="BO60" i="10" s="1"/>
  <c r="BO61" i="10" s="1"/>
  <c r="BO62" i="10" s="1"/>
  <c r="BO63" i="10" s="1"/>
  <c r="BO64" i="10" s="1"/>
  <c r="BO65" i="10" s="1"/>
  <c r="BO66" i="10" s="1"/>
  <c r="BO67" i="10" s="1"/>
  <c r="BO68" i="10" s="1"/>
  <c r="BO69" i="10" s="1"/>
  <c r="BO70" i="10" s="1"/>
  <c r="BO71" i="10" s="1"/>
  <c r="BO72" i="10" s="1"/>
  <c r="BO73" i="10" s="1"/>
  <c r="BO74" i="10" s="1"/>
  <c r="BO75" i="10" s="1"/>
  <c r="BO76" i="10" s="1"/>
  <c r="BO77" i="10" s="1"/>
  <c r="BO78" i="10" s="1"/>
  <c r="BO79" i="10" s="1"/>
  <c r="BO80" i="10" s="1"/>
  <c r="BO81" i="10" s="1"/>
  <c r="BC49" i="10"/>
  <c r="BC50" i="10" s="1"/>
  <c r="BC51" i="10" s="1"/>
  <c r="BC52" i="10" s="1"/>
  <c r="BC53" i="10" s="1"/>
  <c r="BC54" i="10" s="1"/>
  <c r="BC55" i="10" s="1"/>
  <c r="BC56" i="10" s="1"/>
  <c r="BC57" i="10" s="1"/>
  <c r="BC58" i="10" s="1"/>
  <c r="BC59" i="10" s="1"/>
  <c r="BC60" i="10" s="1"/>
  <c r="BC61" i="10" s="1"/>
  <c r="BC62" i="10" s="1"/>
  <c r="BC63" i="10" s="1"/>
  <c r="BC64" i="10" s="1"/>
  <c r="BC65" i="10" s="1"/>
  <c r="BC66" i="10" s="1"/>
  <c r="BC67" i="10" s="1"/>
  <c r="BC68" i="10" s="1"/>
  <c r="BC69" i="10" s="1"/>
  <c r="BC70" i="10" s="1"/>
  <c r="BC71" i="10" s="1"/>
  <c r="BC72" i="10" s="1"/>
  <c r="BC73" i="10" s="1"/>
  <c r="BC74" i="10" s="1"/>
  <c r="BC75" i="10" s="1"/>
  <c r="BC76" i="10" s="1"/>
  <c r="BC77" i="10" s="1"/>
  <c r="BC78" i="10" s="1"/>
  <c r="BC79" i="10" s="1"/>
  <c r="BC80" i="10" s="1"/>
  <c r="BC81" i="10" s="1"/>
  <c r="AZ49" i="10"/>
  <c r="AZ50" i="10" s="1"/>
  <c r="AZ51" i="10" s="1"/>
  <c r="AZ52" i="10" s="1"/>
  <c r="AZ53" i="10" s="1"/>
  <c r="AZ54" i="10" s="1"/>
  <c r="AZ55" i="10" s="1"/>
  <c r="AZ56" i="10" s="1"/>
  <c r="AZ57" i="10" s="1"/>
  <c r="AZ58" i="10" s="1"/>
  <c r="AZ59" i="10" s="1"/>
  <c r="AZ60" i="10" s="1"/>
  <c r="AZ61" i="10" s="1"/>
  <c r="AZ62" i="10" s="1"/>
  <c r="AZ63" i="10" s="1"/>
  <c r="AZ64" i="10" s="1"/>
  <c r="AZ65" i="10" s="1"/>
  <c r="AZ66" i="10" s="1"/>
  <c r="AZ67" i="10" s="1"/>
  <c r="AZ68" i="10" s="1"/>
  <c r="AZ69" i="10" s="1"/>
  <c r="AZ70" i="10" s="1"/>
  <c r="AZ71" i="10" s="1"/>
  <c r="AZ72" i="10" s="1"/>
  <c r="AZ73" i="10" s="1"/>
  <c r="AZ74" i="10" s="1"/>
  <c r="AZ75" i="10" s="1"/>
  <c r="AZ76" i="10" s="1"/>
  <c r="AZ77" i="10" s="1"/>
  <c r="AZ78" i="10" s="1"/>
  <c r="AZ79" i="10" s="1"/>
  <c r="AZ80" i="10" s="1"/>
  <c r="AZ81" i="10" s="1"/>
  <c r="AW49" i="10"/>
  <c r="AW50" i="10" s="1"/>
  <c r="AW51" i="10" s="1"/>
  <c r="AW52" i="10" s="1"/>
  <c r="AW53" i="10" s="1"/>
  <c r="AW54" i="10" s="1"/>
  <c r="AW55" i="10" s="1"/>
  <c r="AW56" i="10" s="1"/>
  <c r="AW57" i="10" s="1"/>
  <c r="AW58" i="10" s="1"/>
  <c r="AW59" i="10" s="1"/>
  <c r="AW60" i="10" s="1"/>
  <c r="AW61" i="10" s="1"/>
  <c r="AW62" i="10" s="1"/>
  <c r="AW63" i="10" s="1"/>
  <c r="AW64" i="10" s="1"/>
  <c r="AW65" i="10" s="1"/>
  <c r="AW66" i="10" s="1"/>
  <c r="AW67" i="10" s="1"/>
  <c r="AW68" i="10" s="1"/>
  <c r="AW69" i="10" s="1"/>
  <c r="AW70" i="10" s="1"/>
  <c r="AW71" i="10" s="1"/>
  <c r="AW72" i="10" s="1"/>
  <c r="AW73" i="10" s="1"/>
  <c r="AW74" i="10" s="1"/>
  <c r="AW75" i="10" s="1"/>
  <c r="AW76" i="10" s="1"/>
  <c r="AW77" i="10" s="1"/>
  <c r="AW78" i="10" s="1"/>
  <c r="AW79" i="10" s="1"/>
  <c r="AW80" i="10" s="1"/>
  <c r="AW81" i="10" s="1"/>
  <c r="AQ49" i="10"/>
  <c r="AQ50" i="10" s="1"/>
  <c r="AQ51" i="10" s="1"/>
  <c r="AQ52" i="10" s="1"/>
  <c r="AQ53" i="10" s="1"/>
  <c r="AQ54" i="10" s="1"/>
  <c r="AQ55" i="10" s="1"/>
  <c r="AQ56" i="10" s="1"/>
  <c r="AQ57" i="10" s="1"/>
  <c r="AQ58" i="10" s="1"/>
  <c r="AQ59" i="10" s="1"/>
  <c r="AQ60" i="10" s="1"/>
  <c r="AQ61" i="10" s="1"/>
  <c r="AQ62" i="10" s="1"/>
  <c r="AQ63" i="10" s="1"/>
  <c r="AQ64" i="10" s="1"/>
  <c r="AQ65" i="10" s="1"/>
  <c r="AQ66" i="10" s="1"/>
  <c r="AQ67" i="10" s="1"/>
  <c r="AQ68" i="10" s="1"/>
  <c r="AQ69" i="10" s="1"/>
  <c r="AQ70" i="10" s="1"/>
  <c r="AQ71" i="10" s="1"/>
  <c r="AQ72" i="10" s="1"/>
  <c r="AQ73" i="10" s="1"/>
  <c r="AQ74" i="10" s="1"/>
  <c r="AQ75" i="10" s="1"/>
  <c r="AQ76" i="10" s="1"/>
  <c r="AQ77" i="10" s="1"/>
  <c r="AQ78" i="10" s="1"/>
  <c r="AQ79" i="10" s="1"/>
  <c r="AQ80" i="10" s="1"/>
  <c r="AQ81" i="10" s="1"/>
  <c r="AK49" i="10"/>
  <c r="AK50" i="10" s="1"/>
  <c r="AK51" i="10" s="1"/>
  <c r="AK52" i="10" s="1"/>
  <c r="AK53" i="10" s="1"/>
  <c r="AK54" i="10" s="1"/>
  <c r="AK55" i="10" s="1"/>
  <c r="AK56" i="10" s="1"/>
  <c r="AK57" i="10" s="1"/>
  <c r="AK58" i="10" s="1"/>
  <c r="AK59" i="10" s="1"/>
  <c r="AK60" i="10" s="1"/>
  <c r="AK61" i="10" s="1"/>
  <c r="AK62" i="10" s="1"/>
  <c r="AK63" i="10" s="1"/>
  <c r="AK64" i="10" s="1"/>
  <c r="AK65" i="10" s="1"/>
  <c r="AK66" i="10" s="1"/>
  <c r="AK67" i="10" s="1"/>
  <c r="AK68" i="10" s="1"/>
  <c r="AK69" i="10" s="1"/>
  <c r="AK70" i="10" s="1"/>
  <c r="AK71" i="10" s="1"/>
  <c r="AK72" i="10" s="1"/>
  <c r="AK73" i="10" s="1"/>
  <c r="AK74" i="10" s="1"/>
  <c r="AK75" i="10" s="1"/>
  <c r="AK76" i="10" s="1"/>
  <c r="AK77" i="10" s="1"/>
  <c r="AK78" i="10" s="1"/>
  <c r="AK79" i="10" s="1"/>
  <c r="AK80" i="10" s="1"/>
  <c r="AK81" i="10" s="1"/>
  <c r="AE49" i="10"/>
  <c r="AE50" i="10" s="1"/>
  <c r="AE51" i="10" s="1"/>
  <c r="AE52" i="10" s="1"/>
  <c r="AE53" i="10" s="1"/>
  <c r="AE54" i="10" s="1"/>
  <c r="AE55" i="10" s="1"/>
  <c r="AE56" i="10" s="1"/>
  <c r="AE57" i="10" s="1"/>
  <c r="AE58" i="10" s="1"/>
  <c r="AE59" i="10" s="1"/>
  <c r="AE60" i="10" s="1"/>
  <c r="AE61" i="10" s="1"/>
  <c r="AE62" i="10" s="1"/>
  <c r="AE63" i="10" s="1"/>
  <c r="AE64" i="10" s="1"/>
  <c r="AE65" i="10" s="1"/>
  <c r="AE66" i="10" s="1"/>
  <c r="AE67" i="10" s="1"/>
  <c r="AE68" i="10" s="1"/>
  <c r="AE69" i="10" s="1"/>
  <c r="AE70" i="10" s="1"/>
  <c r="AE71" i="10" s="1"/>
  <c r="AE72" i="10" s="1"/>
  <c r="AE73" i="10" s="1"/>
  <c r="AE74" i="10" s="1"/>
  <c r="AE75" i="10" s="1"/>
  <c r="AE76" i="10" s="1"/>
  <c r="AE77" i="10" s="1"/>
  <c r="AE78" i="10" s="1"/>
  <c r="AE79" i="10" s="1"/>
  <c r="AE80" i="10" s="1"/>
  <c r="AE81" i="10" s="1"/>
  <c r="Y49" i="10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S49" i="10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AA49" i="10"/>
  <c r="BS47" i="10"/>
  <c r="BG47" i="10"/>
  <c r="BA47" i="10"/>
  <c r="AU47" i="10"/>
  <c r="AO47" i="10"/>
  <c r="AI47" i="10"/>
  <c r="AC47" i="10"/>
  <c r="W47" i="10"/>
  <c r="BS7" i="10"/>
  <c r="BS8" i="10" s="1"/>
  <c r="BS9" i="10" s="1"/>
  <c r="BS10" i="10" s="1"/>
  <c r="BS11" i="10" s="1"/>
  <c r="BS12" i="10" s="1"/>
  <c r="BS13" i="10" s="1"/>
  <c r="BS14" i="10" s="1"/>
  <c r="BS15" i="10" s="1"/>
  <c r="BS16" i="10" s="1"/>
  <c r="BS17" i="10" s="1"/>
  <c r="BS18" i="10" s="1"/>
  <c r="BS19" i="10" s="1"/>
  <c r="BS20" i="10" s="1"/>
  <c r="BS21" i="10" s="1"/>
  <c r="BS22" i="10" s="1"/>
  <c r="BS23" i="10" s="1"/>
  <c r="BS24" i="10" s="1"/>
  <c r="BS25" i="10" s="1"/>
  <c r="BS26" i="10" s="1"/>
  <c r="BS27" i="10" s="1"/>
  <c r="BS28" i="10" s="1"/>
  <c r="BS29" i="10" s="1"/>
  <c r="BS30" i="10" s="1"/>
  <c r="BS31" i="10" s="1"/>
  <c r="BS32" i="10" s="1"/>
  <c r="BS33" i="10" s="1"/>
  <c r="BS34" i="10" s="1"/>
  <c r="BS35" i="10" s="1"/>
  <c r="BS36" i="10" s="1"/>
  <c r="BS37" i="10" s="1"/>
  <c r="BS38" i="10" s="1"/>
  <c r="BS39" i="10" s="1"/>
  <c r="AZ6" i="10"/>
  <c r="AT6" i="10"/>
  <c r="AN6" i="10"/>
  <c r="AH6" i="10"/>
  <c r="BE6" i="10"/>
  <c r="AY6" i="10"/>
  <c r="AS6" i="10"/>
  <c r="AM6" i="10"/>
  <c r="AG6" i="10"/>
  <c r="U6" i="10"/>
  <c r="AA6" i="10"/>
  <c r="AB6" i="10"/>
  <c r="V6" i="10"/>
  <c r="P6" i="10"/>
  <c r="J6" i="10"/>
  <c r="D6" i="10"/>
  <c r="O6" i="10"/>
  <c r="I6" i="10"/>
  <c r="AA50" i="7" l="1"/>
  <c r="U50" i="7"/>
  <c r="O49" i="7"/>
  <c r="AG49" i="7"/>
  <c r="AY49" i="10"/>
  <c r="AA50" i="10"/>
  <c r="AS50" i="10"/>
  <c r="AG50" i="10"/>
  <c r="U49" i="10"/>
  <c r="BE49" i="10"/>
  <c r="J68" i="1"/>
  <c r="J87" i="1" s="1"/>
  <c r="J69" i="1"/>
  <c r="J88" i="1" s="1"/>
  <c r="H65" i="1"/>
  <c r="H84" i="1" s="1"/>
  <c r="I65" i="1"/>
  <c r="I84" i="1" s="1"/>
  <c r="G65" i="1"/>
  <c r="G84" i="1" l="1"/>
  <c r="BG48" i="10" s="1"/>
  <c r="J50" i="22"/>
  <c r="J50" i="23"/>
  <c r="C50" i="23" s="1"/>
  <c r="J50" i="24"/>
  <c r="C50" i="24" s="1"/>
  <c r="E44" i="17"/>
  <c r="E7" i="17"/>
  <c r="E18" i="17"/>
  <c r="E54" i="17"/>
  <c r="E63" i="17"/>
  <c r="J72" i="18" s="1"/>
  <c r="E31" i="17"/>
  <c r="AI49" i="7"/>
  <c r="AG50" i="7"/>
  <c r="O50" i="7"/>
  <c r="AA51" i="7"/>
  <c r="U51" i="7"/>
  <c r="AY50" i="10"/>
  <c r="AY51" i="10" s="1"/>
  <c r="U50" i="10"/>
  <c r="AA51" i="10"/>
  <c r="BE50" i="10"/>
  <c r="AG51" i="10"/>
  <c r="AS51" i="10"/>
  <c r="B55" i="2"/>
  <c r="D55" i="2" s="1"/>
  <c r="J50" i="18" l="1"/>
  <c r="E52" i="17"/>
  <c r="E57" i="17"/>
  <c r="E56" i="17"/>
  <c r="E55" i="17"/>
  <c r="E53" i="17"/>
  <c r="E43" i="17"/>
  <c r="E41" i="17"/>
  <c r="E40" i="17"/>
  <c r="E45" i="17"/>
  <c r="E47" i="17"/>
  <c r="E42" i="17"/>
  <c r="E46" i="17"/>
  <c r="J32" i="18"/>
  <c r="E30" i="17"/>
  <c r="E29" i="17"/>
  <c r="E27" i="17"/>
  <c r="E28" i="17"/>
  <c r="E32" i="17"/>
  <c r="E33" i="17" s="1"/>
  <c r="E34" i="17" s="1"/>
  <c r="J18" i="18"/>
  <c r="J90" i="18" s="1"/>
  <c r="E15" i="17"/>
  <c r="E17" i="17"/>
  <c r="E20" i="17"/>
  <c r="E16" i="17"/>
  <c r="E19" i="17"/>
  <c r="J7" i="18"/>
  <c r="J79" i="18" s="1"/>
  <c r="E6" i="17"/>
  <c r="E5" i="17"/>
  <c r="E9" i="17"/>
  <c r="E8" i="17"/>
  <c r="J51" i="18"/>
  <c r="J122" i="18"/>
  <c r="J122" i="23"/>
  <c r="C122" i="23" s="1"/>
  <c r="J122" i="24"/>
  <c r="C122" i="24" s="1"/>
  <c r="J122" i="22"/>
  <c r="J144" i="18"/>
  <c r="J62" i="18"/>
  <c r="J51" i="22"/>
  <c r="H50" i="22"/>
  <c r="J51" i="24"/>
  <c r="C51" i="24" s="1"/>
  <c r="H50" i="24"/>
  <c r="J51" i="23"/>
  <c r="C51" i="23" s="1"/>
  <c r="H50" i="23"/>
  <c r="J72" i="24"/>
  <c r="C72" i="24" s="1"/>
  <c r="J18" i="22"/>
  <c r="J18" i="23"/>
  <c r="C18" i="23" s="1"/>
  <c r="J7" i="22"/>
  <c r="J32" i="23"/>
  <c r="C32" i="23" s="1"/>
  <c r="H44" i="24"/>
  <c r="J32" i="22"/>
  <c r="AA52" i="7"/>
  <c r="AI50" i="7"/>
  <c r="AG51" i="7"/>
  <c r="U52" i="7"/>
  <c r="O51" i="7"/>
  <c r="AY52" i="10"/>
  <c r="AA52" i="10"/>
  <c r="AS52" i="10"/>
  <c r="BE51" i="10"/>
  <c r="AG52" i="10"/>
  <c r="U51" i="10"/>
  <c r="D72" i="18"/>
  <c r="F72" i="18"/>
  <c r="J104" i="18" l="1"/>
  <c r="H51" i="18"/>
  <c r="J123" i="18"/>
  <c r="H122" i="18"/>
  <c r="H51" i="23"/>
  <c r="J123" i="23"/>
  <c r="C123" i="23" s="1"/>
  <c r="J104" i="23"/>
  <c r="C104" i="23" s="1"/>
  <c r="H122" i="23"/>
  <c r="H51" i="24"/>
  <c r="J123" i="24"/>
  <c r="C123" i="24" s="1"/>
  <c r="J144" i="24"/>
  <c r="C144" i="24" s="1"/>
  <c r="H122" i="24"/>
  <c r="J79" i="22"/>
  <c r="H51" i="22"/>
  <c r="J123" i="22"/>
  <c r="J90" i="22"/>
  <c r="H122" i="22"/>
  <c r="J104" i="22"/>
  <c r="J63" i="18"/>
  <c r="J134" i="18"/>
  <c r="H144" i="18"/>
  <c r="H90" i="18"/>
  <c r="H104" i="18"/>
  <c r="H79" i="18"/>
  <c r="J90" i="23"/>
  <c r="C90" i="23" s="1"/>
  <c r="C151" i="23"/>
  <c r="J79" i="23"/>
  <c r="H79" i="23" s="1"/>
  <c r="J62" i="23"/>
  <c r="C62" i="23" s="1"/>
  <c r="J72" i="23"/>
  <c r="C72" i="23" s="1"/>
  <c r="J62" i="22"/>
  <c r="J72" i="22"/>
  <c r="J7" i="24"/>
  <c r="J18" i="24"/>
  <c r="J32" i="24"/>
  <c r="C32" i="24" s="1"/>
  <c r="J62" i="24"/>
  <c r="C62" i="24" s="1"/>
  <c r="H18" i="23"/>
  <c r="H44" i="22"/>
  <c r="H7" i="22"/>
  <c r="H18" i="22"/>
  <c r="H44" i="23"/>
  <c r="AA53" i="7"/>
  <c r="O52" i="7"/>
  <c r="U53" i="7"/>
  <c r="AI51" i="7"/>
  <c r="AG52" i="7"/>
  <c r="AS53" i="10"/>
  <c r="U52" i="10"/>
  <c r="AG53" i="10"/>
  <c r="AA53" i="10"/>
  <c r="BE52" i="10"/>
  <c r="AY53" i="10"/>
  <c r="H18" i="24" l="1"/>
  <c r="C18" i="24"/>
  <c r="H7" i="24"/>
  <c r="C7" i="24"/>
  <c r="H123" i="18"/>
  <c r="H123" i="23"/>
  <c r="J144" i="23"/>
  <c r="C144" i="23" s="1"/>
  <c r="H104" i="23"/>
  <c r="J63" i="23"/>
  <c r="C63" i="23" s="1"/>
  <c r="J134" i="23"/>
  <c r="C134" i="23" s="1"/>
  <c r="H123" i="24"/>
  <c r="J104" i="24"/>
  <c r="C104" i="24" s="1"/>
  <c r="J79" i="24"/>
  <c r="J90" i="24"/>
  <c r="H155" i="24" s="1"/>
  <c r="H144" i="24"/>
  <c r="J63" i="24"/>
  <c r="C63" i="24" s="1"/>
  <c r="J134" i="24"/>
  <c r="C134" i="24" s="1"/>
  <c r="J144" i="22"/>
  <c r="J63" i="22"/>
  <c r="J134" i="22"/>
  <c r="H104" i="22"/>
  <c r="H123" i="22"/>
  <c r="H79" i="22"/>
  <c r="H90" i="22"/>
  <c r="H134" i="18"/>
  <c r="H63" i="18"/>
  <c r="J135" i="18"/>
  <c r="H90" i="23"/>
  <c r="AA54" i="7"/>
  <c r="AI52" i="7"/>
  <c r="AG53" i="7"/>
  <c r="U54" i="7"/>
  <c r="O53" i="7"/>
  <c r="AG54" i="10"/>
  <c r="AY54" i="10"/>
  <c r="U53" i="10"/>
  <c r="BE53" i="10"/>
  <c r="AA54" i="10"/>
  <c r="AS54" i="10"/>
  <c r="Q47" i="10"/>
  <c r="K47" i="10"/>
  <c r="H144" i="23" l="1"/>
  <c r="H63" i="23"/>
  <c r="J135" i="23"/>
  <c r="C135" i="23" s="1"/>
  <c r="H134" i="23"/>
  <c r="H79" i="24"/>
  <c r="H104" i="24"/>
  <c r="H134" i="24"/>
  <c r="H63" i="24"/>
  <c r="J135" i="24"/>
  <c r="C135" i="24" s="1"/>
  <c r="H90" i="24"/>
  <c r="H134" i="22"/>
  <c r="H63" i="22"/>
  <c r="J135" i="22"/>
  <c r="H144" i="22"/>
  <c r="H135" i="18"/>
  <c r="AA55" i="7"/>
  <c r="O54" i="7"/>
  <c r="U55" i="7"/>
  <c r="AI53" i="7"/>
  <c r="AG54" i="7"/>
  <c r="AA55" i="10"/>
  <c r="AG55" i="10"/>
  <c r="BE54" i="10"/>
  <c r="AS55" i="10"/>
  <c r="U54" i="10"/>
  <c r="AY55" i="10"/>
  <c r="H41" i="1"/>
  <c r="I41" i="1"/>
  <c r="G40" i="1"/>
  <c r="F40" i="1"/>
  <c r="E40" i="1"/>
  <c r="B40" i="1"/>
  <c r="B41" i="1"/>
  <c r="H135" i="23" l="1"/>
  <c r="H135" i="24"/>
  <c r="H135" i="22"/>
  <c r="AI54" i="7"/>
  <c r="AG55" i="7"/>
  <c r="AA56" i="7"/>
  <c r="U56" i="7"/>
  <c r="O55" i="7"/>
  <c r="U55" i="10"/>
  <c r="AA56" i="10"/>
  <c r="BE55" i="10"/>
  <c r="AY56" i="10"/>
  <c r="AG56" i="10"/>
  <c r="AS56" i="10"/>
  <c r="G41" i="1"/>
  <c r="E41" i="1"/>
  <c r="F41" i="1"/>
  <c r="I40" i="1"/>
  <c r="H40" i="1"/>
  <c r="AI55" i="7" l="1"/>
  <c r="AG56" i="7"/>
  <c r="O56" i="7"/>
  <c r="U57" i="7"/>
  <c r="AA57" i="7"/>
  <c r="AY57" i="10"/>
  <c r="BE56" i="10"/>
  <c r="AS57" i="10"/>
  <c r="AA57" i="10"/>
  <c r="AG57" i="10"/>
  <c r="U56" i="10"/>
  <c r="F45" i="1"/>
  <c r="AI56" i="7" l="1"/>
  <c r="AG57" i="7"/>
  <c r="AA58" i="7"/>
  <c r="U58" i="7"/>
  <c r="O57" i="7"/>
  <c r="AS58" i="10"/>
  <c r="AA58" i="10"/>
  <c r="U57" i="10"/>
  <c r="BE57" i="10"/>
  <c r="AY58" i="10"/>
  <c r="AG58" i="10"/>
  <c r="F16" i="17"/>
  <c r="G16" i="24" l="1"/>
  <c r="G16" i="23"/>
  <c r="G16" i="22"/>
  <c r="O58" i="7"/>
  <c r="AI57" i="7"/>
  <c r="AG58" i="7"/>
  <c r="U59" i="7"/>
  <c r="AA59" i="7"/>
  <c r="BE58" i="10"/>
  <c r="AG59" i="10"/>
  <c r="AA59" i="10"/>
  <c r="U58" i="10"/>
  <c r="AY59" i="10"/>
  <c r="AS59" i="10"/>
  <c r="F16" i="22" l="1"/>
  <c r="F88" i="22" s="1"/>
  <c r="G88" i="22"/>
  <c r="F16" i="23"/>
  <c r="F88" i="23" s="1"/>
  <c r="G88" i="23"/>
  <c r="F16" i="24"/>
  <c r="F88" i="24" s="1"/>
  <c r="G88" i="24"/>
  <c r="AA60" i="7"/>
  <c r="O59" i="7"/>
  <c r="U60" i="7"/>
  <c r="AI58" i="7"/>
  <c r="AG59" i="7"/>
  <c r="AY60" i="10"/>
  <c r="AG60" i="10"/>
  <c r="U59" i="10"/>
  <c r="AS60" i="10"/>
  <c r="AA60" i="10"/>
  <c r="BE59" i="10"/>
  <c r="H13" i="18"/>
  <c r="H25" i="18"/>
  <c r="H44" i="18" l="1"/>
  <c r="AI59" i="7"/>
  <c r="AG60" i="7"/>
  <c r="AA61" i="7"/>
  <c r="U61" i="7"/>
  <c r="O60" i="7"/>
  <c r="AS61" i="10"/>
  <c r="AG61" i="10"/>
  <c r="BE60" i="10"/>
  <c r="U60" i="10"/>
  <c r="AA61" i="10"/>
  <c r="AY61" i="10"/>
  <c r="K5" i="18"/>
  <c r="K77" i="18" s="1"/>
  <c r="F70" i="17"/>
  <c r="H26" i="18"/>
  <c r="H14" i="18"/>
  <c r="O61" i="7" l="1"/>
  <c r="U62" i="7"/>
  <c r="AA62" i="7"/>
  <c r="AI60" i="7"/>
  <c r="AG61" i="7"/>
  <c r="BE61" i="10"/>
  <c r="AS62" i="10"/>
  <c r="AY62" i="10"/>
  <c r="AG62" i="10"/>
  <c r="AA62" i="10"/>
  <c r="U61" i="10"/>
  <c r="H45" i="18" l="1"/>
  <c r="AI61" i="7"/>
  <c r="AG62" i="7"/>
  <c r="AA63" i="7"/>
  <c r="U63" i="7"/>
  <c r="O62" i="7"/>
  <c r="AG63" i="10"/>
  <c r="BE62" i="10"/>
  <c r="AS63" i="10"/>
  <c r="AA63" i="10"/>
  <c r="AY63" i="10"/>
  <c r="U62" i="10"/>
  <c r="O63" i="7" l="1"/>
  <c r="AI62" i="7"/>
  <c r="AG63" i="7"/>
  <c r="U64" i="7"/>
  <c r="AA64" i="7"/>
  <c r="AS64" i="10"/>
  <c r="AA64" i="10"/>
  <c r="AG64" i="10"/>
  <c r="AY64" i="10"/>
  <c r="BE63" i="10"/>
  <c r="U63" i="10"/>
  <c r="BR7" i="10"/>
  <c r="BR8" i="10" s="1"/>
  <c r="BR9" i="10" s="1"/>
  <c r="BR10" i="10" s="1"/>
  <c r="BR11" i="10" s="1"/>
  <c r="BR12" i="10" s="1"/>
  <c r="BR13" i="10" s="1"/>
  <c r="BR14" i="10" s="1"/>
  <c r="BR15" i="10" s="1"/>
  <c r="BR16" i="10" s="1"/>
  <c r="BR17" i="10" s="1"/>
  <c r="BR18" i="10" s="1"/>
  <c r="BR19" i="10" s="1"/>
  <c r="BR20" i="10" s="1"/>
  <c r="BR21" i="10" s="1"/>
  <c r="BR22" i="10" s="1"/>
  <c r="BR23" i="10" s="1"/>
  <c r="BR24" i="10" s="1"/>
  <c r="BR25" i="10" s="1"/>
  <c r="BR26" i="10" s="1"/>
  <c r="BR27" i="10" s="1"/>
  <c r="BR28" i="10" s="1"/>
  <c r="BR29" i="10" s="1"/>
  <c r="BR30" i="10" s="1"/>
  <c r="BR31" i="10" s="1"/>
  <c r="BR32" i="10" s="1"/>
  <c r="BR33" i="10" s="1"/>
  <c r="BR34" i="10" s="1"/>
  <c r="BR35" i="10" s="1"/>
  <c r="BR36" i="10" s="1"/>
  <c r="BR37" i="10" s="1"/>
  <c r="BR38" i="10" s="1"/>
  <c r="BR39" i="10" s="1"/>
  <c r="BO7" i="10"/>
  <c r="BO8" i="10" s="1"/>
  <c r="BO9" i="10" s="1"/>
  <c r="BO10" i="10" s="1"/>
  <c r="BO11" i="10" s="1"/>
  <c r="BO12" i="10" s="1"/>
  <c r="BO13" i="10" s="1"/>
  <c r="BO14" i="10" s="1"/>
  <c r="BO15" i="10" s="1"/>
  <c r="BO16" i="10" s="1"/>
  <c r="BO17" i="10" s="1"/>
  <c r="BO18" i="10" s="1"/>
  <c r="BO19" i="10" s="1"/>
  <c r="BO20" i="10" s="1"/>
  <c r="BO21" i="10" s="1"/>
  <c r="BO22" i="10" s="1"/>
  <c r="BO23" i="10" s="1"/>
  <c r="BO24" i="10" s="1"/>
  <c r="BO25" i="10" s="1"/>
  <c r="BO26" i="10" s="1"/>
  <c r="BO27" i="10" s="1"/>
  <c r="BO28" i="10" s="1"/>
  <c r="BO29" i="10" s="1"/>
  <c r="BO30" i="10" s="1"/>
  <c r="BO31" i="10" s="1"/>
  <c r="BO32" i="10" s="1"/>
  <c r="BO33" i="10" s="1"/>
  <c r="BO34" i="10" s="1"/>
  <c r="BO35" i="10" s="1"/>
  <c r="BO36" i="10" s="1"/>
  <c r="BO37" i="10" s="1"/>
  <c r="BO38" i="10" s="1"/>
  <c r="BO39" i="10" s="1"/>
  <c r="BS5" i="10"/>
  <c r="AA65" i="7" l="1"/>
  <c r="U65" i="7"/>
  <c r="AI63" i="7"/>
  <c r="AG64" i="7"/>
  <c r="O64" i="7"/>
  <c r="AY65" i="10"/>
  <c r="U64" i="10"/>
  <c r="AA65" i="10"/>
  <c r="AG65" i="10"/>
  <c r="AS65" i="10"/>
  <c r="BE64" i="10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O7" i="7"/>
  <c r="M7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H70" i="18" l="1"/>
  <c r="AI64" i="7"/>
  <c r="AG65" i="7"/>
  <c r="O65" i="7"/>
  <c r="AA66" i="7"/>
  <c r="U66" i="7"/>
  <c r="AY66" i="10"/>
  <c r="AG66" i="10"/>
  <c r="AS66" i="10"/>
  <c r="U65" i="10"/>
  <c r="BE65" i="10"/>
  <c r="AA66" i="10"/>
  <c r="O8" i="7"/>
  <c r="H71" i="18" l="1"/>
  <c r="H73" i="18"/>
  <c r="U67" i="7"/>
  <c r="AA67" i="7"/>
  <c r="O66" i="7"/>
  <c r="AI65" i="7"/>
  <c r="AG66" i="7"/>
  <c r="AS67" i="10"/>
  <c r="BE66" i="10"/>
  <c r="AY67" i="10"/>
  <c r="AA67" i="10"/>
  <c r="AG67" i="10"/>
  <c r="U66" i="10"/>
  <c r="O9" i="7"/>
  <c r="U68" i="7" l="1"/>
  <c r="AA68" i="7"/>
  <c r="AI66" i="7"/>
  <c r="AG67" i="7"/>
  <c r="O67" i="7"/>
  <c r="AA68" i="10"/>
  <c r="U67" i="10"/>
  <c r="AG68" i="10"/>
  <c r="AS68" i="10"/>
  <c r="AY68" i="10"/>
  <c r="BE67" i="10"/>
  <c r="O10" i="7"/>
  <c r="G43" i="18"/>
  <c r="G41" i="18"/>
  <c r="AA69" i="7" l="1"/>
  <c r="O68" i="7"/>
  <c r="AI67" i="7"/>
  <c r="AG68" i="7"/>
  <c r="U69" i="7"/>
  <c r="AS69" i="10"/>
  <c r="BE68" i="10"/>
  <c r="AA69" i="10"/>
  <c r="AG69" i="10"/>
  <c r="AY69" i="10"/>
  <c r="U68" i="10"/>
  <c r="O11" i="7"/>
  <c r="F62" i="18"/>
  <c r="U70" i="7" l="1"/>
  <c r="AA70" i="7"/>
  <c r="AI68" i="7"/>
  <c r="AG69" i="7"/>
  <c r="O69" i="7"/>
  <c r="AS70" i="10"/>
  <c r="U69" i="10"/>
  <c r="AG70" i="10"/>
  <c r="AA70" i="10"/>
  <c r="AY70" i="10"/>
  <c r="BE69" i="10"/>
  <c r="O12" i="7"/>
  <c r="D42" i="18"/>
  <c r="F42" i="18"/>
  <c r="F43" i="18" s="1"/>
  <c r="AA71" i="7" l="1"/>
  <c r="O70" i="7"/>
  <c r="AI69" i="7"/>
  <c r="AG70" i="7"/>
  <c r="U71" i="7"/>
  <c r="AY71" i="10"/>
  <c r="U70" i="10"/>
  <c r="AS71" i="10"/>
  <c r="AA71" i="10"/>
  <c r="BE70" i="10"/>
  <c r="AG71" i="10"/>
  <c r="O13" i="7"/>
  <c r="D40" i="18"/>
  <c r="F40" i="18"/>
  <c r="F41" i="18" s="1"/>
  <c r="AA72" i="7" l="1"/>
  <c r="AI70" i="7"/>
  <c r="AG71" i="7"/>
  <c r="O71" i="7"/>
  <c r="U72" i="7"/>
  <c r="AG72" i="10"/>
  <c r="AS72" i="10"/>
  <c r="BE71" i="10"/>
  <c r="U71" i="10"/>
  <c r="AA72" i="10"/>
  <c r="AY72" i="10"/>
  <c r="O14" i="7"/>
  <c r="D56" i="18"/>
  <c r="F55" i="18"/>
  <c r="F56" i="18"/>
  <c r="AA73" i="7" l="1"/>
  <c r="U73" i="7"/>
  <c r="O72" i="7"/>
  <c r="AI71" i="7"/>
  <c r="AG72" i="7"/>
  <c r="AY73" i="10"/>
  <c r="AS73" i="10"/>
  <c r="AA73" i="10"/>
  <c r="AG73" i="10"/>
  <c r="BE72" i="10"/>
  <c r="U72" i="10"/>
  <c r="O15" i="7"/>
  <c r="F27" i="18"/>
  <c r="F28" i="18"/>
  <c r="F29" i="18"/>
  <c r="O73" i="7" l="1"/>
  <c r="U74" i="7"/>
  <c r="AA74" i="7"/>
  <c r="AI72" i="7"/>
  <c r="AG73" i="7"/>
  <c r="AG74" i="10"/>
  <c r="AA74" i="10"/>
  <c r="U73" i="10"/>
  <c r="AS74" i="10"/>
  <c r="BE73" i="10"/>
  <c r="AY74" i="10"/>
  <c r="O16" i="7"/>
  <c r="AI73" i="7" l="1"/>
  <c r="AG74" i="7"/>
  <c r="AA75" i="7"/>
  <c r="O74" i="7"/>
  <c r="U75" i="7"/>
  <c r="U74" i="10"/>
  <c r="AA75" i="10"/>
  <c r="BE74" i="10"/>
  <c r="AY75" i="10"/>
  <c r="AS75" i="10"/>
  <c r="AG75" i="10"/>
  <c r="O17" i="7"/>
  <c r="T43" i="1"/>
  <c r="AN43" i="1" s="1"/>
  <c r="T44" i="1"/>
  <c r="AN44" i="1" s="1"/>
  <c r="AN69" i="1" s="1"/>
  <c r="AN88" i="1" s="1"/>
  <c r="T45" i="1"/>
  <c r="AN45" i="1" s="1"/>
  <c r="AN68" i="1" s="1"/>
  <c r="AN87" i="1" s="1"/>
  <c r="U76" i="7" l="1"/>
  <c r="AI74" i="7"/>
  <c r="AG75" i="7"/>
  <c r="O75" i="7"/>
  <c r="AA76" i="7"/>
  <c r="AG76" i="10"/>
  <c r="BE75" i="10"/>
  <c r="AS76" i="10"/>
  <c r="AA76" i="10"/>
  <c r="AY76" i="10"/>
  <c r="U75" i="10"/>
  <c r="AN67" i="1"/>
  <c r="AN86" i="1" s="1"/>
  <c r="AN66" i="1"/>
  <c r="AN85" i="1" s="1"/>
  <c r="T69" i="1"/>
  <c r="T88" i="1" s="1"/>
  <c r="T66" i="1"/>
  <c r="T85" i="1" s="1"/>
  <c r="T67" i="1"/>
  <c r="T86" i="1" s="1"/>
  <c r="T68" i="1"/>
  <c r="T87" i="1" s="1"/>
  <c r="O18" i="7"/>
  <c r="AI75" i="7" l="1"/>
  <c r="AG76" i="7"/>
  <c r="O76" i="7"/>
  <c r="U77" i="7"/>
  <c r="AA77" i="7"/>
  <c r="AS77" i="10"/>
  <c r="AY77" i="10"/>
  <c r="BE76" i="10"/>
  <c r="AA77" i="10"/>
  <c r="U76" i="10"/>
  <c r="AG77" i="10"/>
  <c r="O19" i="7"/>
  <c r="F54" i="18"/>
  <c r="F53" i="18"/>
  <c r="F52" i="18"/>
  <c r="F51" i="18"/>
  <c r="F50" i="18"/>
  <c r="F49" i="18"/>
  <c r="F48" i="18"/>
  <c r="F47" i="18"/>
  <c r="F46" i="18"/>
  <c r="F68" i="18"/>
  <c r="F66" i="18"/>
  <c r="F65" i="18"/>
  <c r="F64" i="18"/>
  <c r="F63" i="18"/>
  <c r="F69" i="18"/>
  <c r="AI76" i="7" l="1"/>
  <c r="AG77" i="7"/>
  <c r="AA78" i="7"/>
  <c r="U78" i="7"/>
  <c r="O77" i="7"/>
  <c r="BE77" i="10"/>
  <c r="AY78" i="10"/>
  <c r="AA78" i="10"/>
  <c r="AG78" i="10"/>
  <c r="U77" i="10"/>
  <c r="AS78" i="10"/>
  <c r="O20" i="7"/>
  <c r="U79" i="7" l="1"/>
  <c r="AA79" i="7"/>
  <c r="AI77" i="7"/>
  <c r="AG78" i="7"/>
  <c r="O78" i="7"/>
  <c r="AY79" i="10"/>
  <c r="U78" i="10"/>
  <c r="AA79" i="10"/>
  <c r="AS79" i="10"/>
  <c r="AG79" i="10"/>
  <c r="BE78" i="10"/>
  <c r="O21" i="7"/>
  <c r="F44" i="1"/>
  <c r="O79" i="7" l="1"/>
  <c r="U80" i="7"/>
  <c r="AI78" i="7"/>
  <c r="AG79" i="7"/>
  <c r="AA80" i="7"/>
  <c r="AG80" i="10"/>
  <c r="U79" i="10"/>
  <c r="AA80" i="10"/>
  <c r="BE79" i="10"/>
  <c r="AS80" i="10"/>
  <c r="AY80" i="10"/>
  <c r="O22" i="7"/>
  <c r="D65" i="18"/>
  <c r="D66" i="18"/>
  <c r="D69" i="18"/>
  <c r="D63" i="18"/>
  <c r="D47" i="18"/>
  <c r="D48" i="18"/>
  <c r="D49" i="18"/>
  <c r="D50" i="18"/>
  <c r="D51" i="18"/>
  <c r="D52" i="18"/>
  <c r="D53" i="18"/>
  <c r="D54" i="18"/>
  <c r="D55" i="18"/>
  <c r="D57" i="18"/>
  <c r="D28" i="18"/>
  <c r="D29" i="18"/>
  <c r="AA81" i="7" l="1"/>
  <c r="AI79" i="7"/>
  <c r="AG80" i="7"/>
  <c r="U81" i="7"/>
  <c r="O80" i="7"/>
  <c r="AY81" i="10"/>
  <c r="U80" i="10"/>
  <c r="AS81" i="10"/>
  <c r="AG81" i="10"/>
  <c r="AA81" i="10"/>
  <c r="BE80" i="10"/>
  <c r="O23" i="7"/>
  <c r="D68" i="18"/>
  <c r="F66" i="17"/>
  <c r="O81" i="7" l="1"/>
  <c r="AI80" i="7"/>
  <c r="AG81" i="7"/>
  <c r="AI81" i="7" s="1"/>
  <c r="BE81" i="10"/>
  <c r="U81" i="10"/>
  <c r="O24" i="7"/>
  <c r="D73" i="18"/>
  <c r="D25" i="18"/>
  <c r="D26" i="18"/>
  <c r="F69" i="17"/>
  <c r="G73" i="18" s="1"/>
  <c r="F73" i="18" l="1"/>
  <c r="F145" i="18" s="1"/>
  <c r="G145" i="18"/>
  <c r="O25" i="7"/>
  <c r="F23" i="17"/>
  <c r="F12" i="17"/>
  <c r="G12" i="18" s="1"/>
  <c r="F12" i="18" l="1"/>
  <c r="F84" i="18" s="1"/>
  <c r="G84" i="18"/>
  <c r="G24" i="18"/>
  <c r="G24" i="24"/>
  <c r="G24" i="23"/>
  <c r="G24" i="22"/>
  <c r="G23" i="18"/>
  <c r="G23" i="23"/>
  <c r="G23" i="22"/>
  <c r="G23" i="24"/>
  <c r="O26" i="7"/>
  <c r="D70" i="18"/>
  <c r="D71" i="18"/>
  <c r="F23" i="18" l="1"/>
  <c r="F95" i="18" s="1"/>
  <c r="G95" i="18"/>
  <c r="F24" i="23"/>
  <c r="F96" i="23" s="1"/>
  <c r="G96" i="23"/>
  <c r="F24" i="22"/>
  <c r="F96" i="22" s="1"/>
  <c r="G96" i="22"/>
  <c r="F24" i="18"/>
  <c r="F96" i="18" s="1"/>
  <c r="G96" i="18"/>
  <c r="F23" i="23"/>
  <c r="F95" i="23" s="1"/>
  <c r="G95" i="23"/>
  <c r="F23" i="22"/>
  <c r="F95" i="22" s="1"/>
  <c r="G95" i="22"/>
  <c r="F23" i="24"/>
  <c r="F95" i="24" s="1"/>
  <c r="G95" i="24"/>
  <c r="F24" i="24"/>
  <c r="F96" i="24" s="1"/>
  <c r="G96" i="24"/>
  <c r="O27" i="7"/>
  <c r="F67" i="17"/>
  <c r="E70" i="18" s="1"/>
  <c r="D46" i="18"/>
  <c r="D58" i="18"/>
  <c r="D59" i="18"/>
  <c r="D60" i="18"/>
  <c r="D61" i="18"/>
  <c r="D62" i="18"/>
  <c r="D64" i="18"/>
  <c r="D67" i="18"/>
  <c r="F30" i="17"/>
  <c r="F31" i="17"/>
  <c r="G32" i="18" s="1"/>
  <c r="F32" i="17"/>
  <c r="G33" i="18" s="1"/>
  <c r="F33" i="17"/>
  <c r="G34" i="18" s="1"/>
  <c r="F34" i="17"/>
  <c r="G35" i="18" s="1"/>
  <c r="F35" i="17"/>
  <c r="G36" i="18" s="1"/>
  <c r="F36" i="17"/>
  <c r="G37" i="18" s="1"/>
  <c r="F37" i="17"/>
  <c r="G38" i="18" s="1"/>
  <c r="G110" i="18" s="1"/>
  <c r="F38" i="17"/>
  <c r="G44" i="18" s="1"/>
  <c r="F39" i="17"/>
  <c r="G45" i="18" s="1"/>
  <c r="F40" i="17"/>
  <c r="F41" i="17"/>
  <c r="F42" i="17"/>
  <c r="F43" i="17"/>
  <c r="F44" i="17"/>
  <c r="F45" i="17"/>
  <c r="F46" i="17"/>
  <c r="F47" i="17"/>
  <c r="F48" i="17"/>
  <c r="F49" i="17"/>
  <c r="F50" i="17"/>
  <c r="F51" i="17"/>
  <c r="F29" i="17"/>
  <c r="G30" i="18" s="1"/>
  <c r="F36" i="18" l="1"/>
  <c r="F108" i="18" s="1"/>
  <c r="G108" i="18"/>
  <c r="F35" i="18"/>
  <c r="F107" i="18" s="1"/>
  <c r="G107" i="18"/>
  <c r="F34" i="18"/>
  <c r="F106" i="18" s="1"/>
  <c r="G106" i="18"/>
  <c r="F33" i="18"/>
  <c r="F105" i="18" s="1"/>
  <c r="G105" i="18"/>
  <c r="F45" i="18"/>
  <c r="F117" i="18" s="1"/>
  <c r="G117" i="18"/>
  <c r="F32" i="18"/>
  <c r="F104" i="18" s="1"/>
  <c r="G104" i="18"/>
  <c r="F44" i="18"/>
  <c r="F116" i="18" s="1"/>
  <c r="G116" i="18"/>
  <c r="G70" i="18"/>
  <c r="G142" i="18" s="1"/>
  <c r="E142" i="18"/>
  <c r="F30" i="18"/>
  <c r="F102" i="18" s="1"/>
  <c r="G102" i="18"/>
  <c r="F37" i="18"/>
  <c r="F109" i="18" s="1"/>
  <c r="G109" i="18"/>
  <c r="G31" i="18"/>
  <c r="G31" i="23"/>
  <c r="G31" i="22"/>
  <c r="G31" i="24"/>
  <c r="O28" i="7"/>
  <c r="F38" i="18"/>
  <c r="G39" i="18"/>
  <c r="G111" i="18" s="1"/>
  <c r="F20" i="17"/>
  <c r="F21" i="17"/>
  <c r="F22" i="17"/>
  <c r="F25" i="17"/>
  <c r="F26" i="17"/>
  <c r="F10" i="17"/>
  <c r="F11" i="17"/>
  <c r="G11" i="18" s="1"/>
  <c r="F13" i="17"/>
  <c r="G13" i="18" s="1"/>
  <c r="F14" i="17"/>
  <c r="G14" i="18" s="1"/>
  <c r="F39" i="18" l="1"/>
  <c r="F111" i="18" s="1"/>
  <c r="F110" i="18"/>
  <c r="F31" i="22"/>
  <c r="F103" i="22" s="1"/>
  <c r="G103" i="22"/>
  <c r="F31" i="23"/>
  <c r="F103" i="23" s="1"/>
  <c r="G103" i="23"/>
  <c r="F31" i="18"/>
  <c r="F103" i="18" s="1"/>
  <c r="G103" i="18"/>
  <c r="F14" i="18"/>
  <c r="F86" i="18" s="1"/>
  <c r="G86" i="18"/>
  <c r="F11" i="18"/>
  <c r="F83" i="18" s="1"/>
  <c r="G83" i="18"/>
  <c r="F13" i="18"/>
  <c r="F85" i="18" s="1"/>
  <c r="G85" i="18"/>
  <c r="F31" i="24"/>
  <c r="F103" i="24" s="1"/>
  <c r="G103" i="24"/>
  <c r="G10" i="18"/>
  <c r="G10" i="23"/>
  <c r="G10" i="22"/>
  <c r="G10" i="24"/>
  <c r="G21" i="18"/>
  <c r="G21" i="22"/>
  <c r="G21" i="24"/>
  <c r="G21" i="23"/>
  <c r="G26" i="18"/>
  <c r="G26" i="22"/>
  <c r="G26" i="24"/>
  <c r="G163" i="24" s="1"/>
  <c r="G169" i="24" s="1"/>
  <c r="G172" i="24" s="1"/>
  <c r="G26" i="23"/>
  <c r="G25" i="18"/>
  <c r="G25" i="23"/>
  <c r="G25" i="22"/>
  <c r="G25" i="24"/>
  <c r="G162" i="24" s="1"/>
  <c r="G168" i="24" s="1"/>
  <c r="G171" i="24" s="1"/>
  <c r="G22" i="18"/>
  <c r="G22" i="24"/>
  <c r="G22" i="23"/>
  <c r="G22" i="22"/>
  <c r="G20" i="18"/>
  <c r="G20" i="23"/>
  <c r="G20" i="22"/>
  <c r="G20" i="24"/>
  <c r="O29" i="7"/>
  <c r="F60" i="17"/>
  <c r="G59" i="18" s="1"/>
  <c r="G131" i="18" s="1"/>
  <c r="F61" i="17"/>
  <c r="G60" i="18" s="1"/>
  <c r="F62" i="17"/>
  <c r="G61" i="18" s="1"/>
  <c r="F63" i="17"/>
  <c r="F64" i="17"/>
  <c r="F65" i="17"/>
  <c r="G67" i="18" s="1"/>
  <c r="F68" i="17"/>
  <c r="G71" i="18" s="1"/>
  <c r="F9" i="17"/>
  <c r="G9" i="18" s="1"/>
  <c r="F71" i="18" l="1"/>
  <c r="F143" i="18" s="1"/>
  <c r="G143" i="18"/>
  <c r="F21" i="23"/>
  <c r="F93" i="23" s="1"/>
  <c r="G93" i="23"/>
  <c r="F26" i="18"/>
  <c r="F98" i="18" s="1"/>
  <c r="G98" i="18"/>
  <c r="F67" i="18"/>
  <c r="F139" i="18" s="1"/>
  <c r="G139" i="18"/>
  <c r="F20" i="22"/>
  <c r="F92" i="22" s="1"/>
  <c r="G92" i="22"/>
  <c r="F25" i="22"/>
  <c r="F97" i="22" s="1"/>
  <c r="G97" i="22"/>
  <c r="F22" i="18"/>
  <c r="F94" i="18" s="1"/>
  <c r="G94" i="18"/>
  <c r="F25" i="23"/>
  <c r="F97" i="23" s="1"/>
  <c r="G97" i="23"/>
  <c r="F21" i="18"/>
  <c r="F93" i="18" s="1"/>
  <c r="G93" i="18"/>
  <c r="F26" i="22"/>
  <c r="F98" i="22" s="1"/>
  <c r="G98" i="22"/>
  <c r="F9" i="18"/>
  <c r="F81" i="18" s="1"/>
  <c r="G81" i="18"/>
  <c r="F10" i="18"/>
  <c r="F82" i="18" s="1"/>
  <c r="G82" i="18"/>
  <c r="F20" i="23"/>
  <c r="F92" i="23" s="1"/>
  <c r="G92" i="23"/>
  <c r="F20" i="18"/>
  <c r="F92" i="18" s="1"/>
  <c r="G92" i="18"/>
  <c r="F61" i="18"/>
  <c r="F133" i="18" s="1"/>
  <c r="G133" i="18"/>
  <c r="F22" i="22"/>
  <c r="F94" i="22" s="1"/>
  <c r="G94" i="22"/>
  <c r="F26" i="23"/>
  <c r="F98" i="23" s="1"/>
  <c r="G98" i="23"/>
  <c r="F10" i="23"/>
  <c r="F82" i="23" s="1"/>
  <c r="G82" i="23"/>
  <c r="F21" i="22"/>
  <c r="F93" i="22" s="1"/>
  <c r="G93" i="22"/>
  <c r="F25" i="18"/>
  <c r="F97" i="18" s="1"/>
  <c r="G97" i="18"/>
  <c r="F60" i="18"/>
  <c r="F132" i="18" s="1"/>
  <c r="G132" i="18"/>
  <c r="F22" i="23"/>
  <c r="F94" i="23" s="1"/>
  <c r="G94" i="23"/>
  <c r="F10" i="22"/>
  <c r="F82" i="22" s="1"/>
  <c r="G82" i="22"/>
  <c r="F10" i="24"/>
  <c r="F82" i="24" s="1"/>
  <c r="G82" i="24"/>
  <c r="F22" i="24"/>
  <c r="F94" i="24" s="1"/>
  <c r="G94" i="24"/>
  <c r="F26" i="24"/>
  <c r="F163" i="24" s="1"/>
  <c r="F169" i="24" s="1"/>
  <c r="F172" i="24" s="1"/>
  <c r="G98" i="24"/>
  <c r="F20" i="24"/>
  <c r="F92" i="24" s="1"/>
  <c r="G92" i="24"/>
  <c r="F25" i="24"/>
  <c r="G97" i="24"/>
  <c r="F21" i="24"/>
  <c r="F93" i="24" s="1"/>
  <c r="G93" i="24"/>
  <c r="O30" i="7"/>
  <c r="D38" i="18"/>
  <c r="D44" i="18"/>
  <c r="D4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7" i="18"/>
  <c r="D30" i="18"/>
  <c r="D31" i="18"/>
  <c r="D32" i="18"/>
  <c r="D33" i="18"/>
  <c r="D34" i="18"/>
  <c r="D35" i="18"/>
  <c r="D36" i="18"/>
  <c r="D37" i="18"/>
  <c r="D5" i="18"/>
  <c r="F97" i="24" l="1"/>
  <c r="F162" i="24"/>
  <c r="F168" i="24" s="1"/>
  <c r="F171" i="24" s="1"/>
  <c r="F98" i="24"/>
  <c r="O31" i="7"/>
  <c r="F58" i="17"/>
  <c r="G57" i="18" s="1"/>
  <c r="F59" i="17"/>
  <c r="G58" i="18" s="1"/>
  <c r="G130" i="18" s="1"/>
  <c r="F52" i="17"/>
  <c r="F53" i="17"/>
  <c r="F54" i="17"/>
  <c r="F55" i="17"/>
  <c r="F56" i="17"/>
  <c r="F57" i="17"/>
  <c r="F27" i="17"/>
  <c r="F28" i="17"/>
  <c r="G16" i="18"/>
  <c r="F19" i="17"/>
  <c r="F18" i="17"/>
  <c r="F17" i="17"/>
  <c r="F15" i="17"/>
  <c r="F6" i="17"/>
  <c r="G6" i="18" s="1"/>
  <c r="F7" i="17"/>
  <c r="G7" i="18" s="1"/>
  <c r="F8" i="17"/>
  <c r="F5" i="17"/>
  <c r="G5" i="18" s="1"/>
  <c r="F16" i="18" l="1"/>
  <c r="F88" i="18" s="1"/>
  <c r="G88" i="18"/>
  <c r="F5" i="18"/>
  <c r="F77" i="18" s="1"/>
  <c r="G77" i="18"/>
  <c r="F7" i="18"/>
  <c r="F79" i="18" s="1"/>
  <c r="G79" i="18"/>
  <c r="F57" i="18"/>
  <c r="F129" i="18" s="1"/>
  <c r="G129" i="18"/>
  <c r="F6" i="18"/>
  <c r="F78" i="18" s="1"/>
  <c r="G78" i="18"/>
  <c r="G8" i="18"/>
  <c r="G8" i="22"/>
  <c r="G8" i="24"/>
  <c r="G8" i="23"/>
  <c r="G18" i="18"/>
  <c r="G18" i="22"/>
  <c r="G18" i="24"/>
  <c r="G161" i="24" s="1"/>
  <c r="G167" i="24" s="1"/>
  <c r="G170" i="24" s="1"/>
  <c r="G18" i="23"/>
  <c r="G17" i="18"/>
  <c r="G17" i="23"/>
  <c r="G17" i="22"/>
  <c r="G17" i="24"/>
  <c r="G19" i="18"/>
  <c r="G19" i="24"/>
  <c r="G19" i="23"/>
  <c r="G19" i="22"/>
  <c r="G15" i="18"/>
  <c r="G15" i="24"/>
  <c r="G15" i="22"/>
  <c r="G15" i="23"/>
  <c r="O32" i="7"/>
  <c r="F18" i="22" l="1"/>
  <c r="F90" i="22" s="1"/>
  <c r="G90" i="22"/>
  <c r="F18" i="18"/>
  <c r="F90" i="18" s="1"/>
  <c r="G90" i="18"/>
  <c r="F8" i="23"/>
  <c r="F80" i="23" s="1"/>
  <c r="G80" i="23"/>
  <c r="F15" i="23"/>
  <c r="F87" i="23" s="1"/>
  <c r="G87" i="23"/>
  <c r="F8" i="22"/>
  <c r="F80" i="22" s="1"/>
  <c r="G80" i="22"/>
  <c r="F17" i="18"/>
  <c r="F89" i="18" s="1"/>
  <c r="G89" i="18"/>
  <c r="F8" i="18"/>
  <c r="F80" i="18" s="1"/>
  <c r="G80" i="18"/>
  <c r="F15" i="22"/>
  <c r="F87" i="22" s="1"/>
  <c r="G87" i="22"/>
  <c r="F15" i="18"/>
  <c r="F87" i="18" s="1"/>
  <c r="G87" i="18"/>
  <c r="F19" i="22"/>
  <c r="F91" i="22" s="1"/>
  <c r="G91" i="22"/>
  <c r="F18" i="23"/>
  <c r="F90" i="23" s="1"/>
  <c r="G90" i="23"/>
  <c r="F19" i="18"/>
  <c r="F91" i="18" s="1"/>
  <c r="G91" i="18"/>
  <c r="F17" i="22"/>
  <c r="F89" i="22" s="1"/>
  <c r="G89" i="22"/>
  <c r="F17" i="23"/>
  <c r="F89" i="23" s="1"/>
  <c r="G89" i="23"/>
  <c r="F19" i="23"/>
  <c r="F91" i="23" s="1"/>
  <c r="G91" i="23"/>
  <c r="F19" i="24"/>
  <c r="F91" i="24" s="1"/>
  <c r="G91" i="24"/>
  <c r="F17" i="24"/>
  <c r="F89" i="24" s="1"/>
  <c r="G89" i="24"/>
  <c r="F8" i="24"/>
  <c r="F80" i="24" s="1"/>
  <c r="G80" i="24"/>
  <c r="F18" i="24"/>
  <c r="F161" i="24" s="1"/>
  <c r="F167" i="24" s="1"/>
  <c r="F170" i="24" s="1"/>
  <c r="G90" i="24"/>
  <c r="F15" i="24"/>
  <c r="F87" i="24" s="1"/>
  <c r="G87" i="24"/>
  <c r="O33" i="7"/>
  <c r="E26" i="1"/>
  <c r="E30" i="1"/>
  <c r="F90" i="24" l="1"/>
  <c r="E34" i="1"/>
  <c r="E27" i="1"/>
  <c r="O34" i="7"/>
  <c r="E28" i="1"/>
  <c r="E29" i="1"/>
  <c r="E33" i="1"/>
  <c r="E32" i="1"/>
  <c r="E31" i="1"/>
  <c r="O35" i="7" l="1"/>
  <c r="E39" i="1"/>
  <c r="O36" i="7" l="1"/>
  <c r="E37" i="1"/>
  <c r="E36" i="1"/>
  <c r="E35" i="1"/>
  <c r="O37" i="7" l="1"/>
  <c r="E38" i="1"/>
  <c r="BG5" i="10"/>
  <c r="BA5" i="10"/>
  <c r="AU5" i="10"/>
  <c r="AO5" i="10"/>
  <c r="AI5" i="10"/>
  <c r="AC5" i="10"/>
  <c r="W5" i="10"/>
  <c r="Q5" i="10"/>
  <c r="K5" i="10"/>
  <c r="O38" i="7" l="1"/>
  <c r="P49" i="10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J49" i="10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I49" i="10"/>
  <c r="D49" i="10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G4" i="1"/>
  <c r="BW49" i="10"/>
  <c r="M49" i="10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G49" i="10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A49" i="10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BF7" i="10"/>
  <c r="BF8" i="10" s="1"/>
  <c r="BF9" i="10" s="1"/>
  <c r="BF10" i="10" s="1"/>
  <c r="BF11" i="10" s="1"/>
  <c r="BF12" i="10" s="1"/>
  <c r="BF13" i="10" s="1"/>
  <c r="BF14" i="10" s="1"/>
  <c r="BF15" i="10" s="1"/>
  <c r="BF16" i="10" s="1"/>
  <c r="BF17" i="10" s="1"/>
  <c r="BF18" i="10" s="1"/>
  <c r="BF19" i="10" s="1"/>
  <c r="BF20" i="10" s="1"/>
  <c r="BF21" i="10" s="1"/>
  <c r="BF22" i="10" s="1"/>
  <c r="BF23" i="10" s="1"/>
  <c r="BF24" i="10" s="1"/>
  <c r="BF25" i="10" s="1"/>
  <c r="BF26" i="10" s="1"/>
  <c r="BF27" i="10" s="1"/>
  <c r="BF28" i="10" s="1"/>
  <c r="BF29" i="10" s="1"/>
  <c r="BF30" i="10" s="1"/>
  <c r="BF31" i="10" s="1"/>
  <c r="BF32" i="10" s="1"/>
  <c r="BF33" i="10" s="1"/>
  <c r="BF34" i="10" s="1"/>
  <c r="BF35" i="10" s="1"/>
  <c r="BF36" i="10" s="1"/>
  <c r="BF37" i="10" s="1"/>
  <c r="BF38" i="10" s="1"/>
  <c r="BF39" i="10" s="1"/>
  <c r="BE7" i="10"/>
  <c r="BC7" i="10"/>
  <c r="BC8" i="10" s="1"/>
  <c r="BC9" i="10" s="1"/>
  <c r="BC10" i="10" s="1"/>
  <c r="BC11" i="10" s="1"/>
  <c r="BC12" i="10" s="1"/>
  <c r="BC13" i="10" s="1"/>
  <c r="BC14" i="10" s="1"/>
  <c r="BC15" i="10" s="1"/>
  <c r="BC16" i="10" s="1"/>
  <c r="BC17" i="10" s="1"/>
  <c r="BC18" i="10" s="1"/>
  <c r="BC19" i="10" s="1"/>
  <c r="BC20" i="10" s="1"/>
  <c r="BC21" i="10" s="1"/>
  <c r="BC22" i="10" s="1"/>
  <c r="BC23" i="10" s="1"/>
  <c r="BC24" i="10" s="1"/>
  <c r="BC25" i="10" s="1"/>
  <c r="BC26" i="10" s="1"/>
  <c r="BC27" i="10" s="1"/>
  <c r="BC28" i="10" s="1"/>
  <c r="BC29" i="10" s="1"/>
  <c r="BC30" i="10" s="1"/>
  <c r="BC31" i="10" s="1"/>
  <c r="BC32" i="10" s="1"/>
  <c r="BC33" i="10" s="1"/>
  <c r="BC34" i="10" s="1"/>
  <c r="BC35" i="10" s="1"/>
  <c r="BC36" i="10" s="1"/>
  <c r="BC37" i="10" s="1"/>
  <c r="BC38" i="10" s="1"/>
  <c r="BC39" i="10" s="1"/>
  <c r="AZ7" i="10"/>
  <c r="AZ8" i="10" s="1"/>
  <c r="AZ9" i="10" s="1"/>
  <c r="AZ10" i="10" s="1"/>
  <c r="AZ11" i="10" s="1"/>
  <c r="AZ12" i="10" s="1"/>
  <c r="AZ13" i="10" s="1"/>
  <c r="AZ14" i="10" s="1"/>
  <c r="AZ15" i="10" s="1"/>
  <c r="AZ16" i="10" s="1"/>
  <c r="AZ17" i="10" s="1"/>
  <c r="AZ18" i="10" s="1"/>
  <c r="AZ19" i="10" s="1"/>
  <c r="AZ20" i="10" s="1"/>
  <c r="AZ21" i="10" s="1"/>
  <c r="AZ22" i="10" s="1"/>
  <c r="AZ23" i="10" s="1"/>
  <c r="AZ24" i="10" s="1"/>
  <c r="AZ25" i="10" s="1"/>
  <c r="AZ26" i="10" s="1"/>
  <c r="AZ27" i="10" s="1"/>
  <c r="AZ28" i="10" s="1"/>
  <c r="AZ29" i="10" s="1"/>
  <c r="AZ30" i="10" s="1"/>
  <c r="AZ31" i="10" s="1"/>
  <c r="AZ32" i="10" s="1"/>
  <c r="AZ33" i="10" s="1"/>
  <c r="AZ34" i="10" s="1"/>
  <c r="AZ35" i="10" s="1"/>
  <c r="AZ36" i="10" s="1"/>
  <c r="AZ37" i="10" s="1"/>
  <c r="AZ38" i="10" s="1"/>
  <c r="AZ39" i="10" s="1"/>
  <c r="AY7" i="10"/>
  <c r="AW7" i="10"/>
  <c r="AW8" i="10" s="1"/>
  <c r="AW9" i="10" s="1"/>
  <c r="AW10" i="10" s="1"/>
  <c r="AW11" i="10" s="1"/>
  <c r="AW12" i="10" s="1"/>
  <c r="AW13" i="10" s="1"/>
  <c r="AW14" i="10" s="1"/>
  <c r="AW15" i="10" s="1"/>
  <c r="AW16" i="10" s="1"/>
  <c r="AW17" i="10" s="1"/>
  <c r="AW18" i="10" s="1"/>
  <c r="AW19" i="10" s="1"/>
  <c r="AW20" i="10" s="1"/>
  <c r="AW21" i="10" s="1"/>
  <c r="AW22" i="10" s="1"/>
  <c r="AW23" i="10" s="1"/>
  <c r="AW24" i="10" s="1"/>
  <c r="AW25" i="10" s="1"/>
  <c r="AW26" i="10" s="1"/>
  <c r="AW27" i="10" s="1"/>
  <c r="AW28" i="10" s="1"/>
  <c r="AW29" i="10" s="1"/>
  <c r="AW30" i="10" s="1"/>
  <c r="AW31" i="10" s="1"/>
  <c r="AW32" i="10" s="1"/>
  <c r="AW33" i="10" s="1"/>
  <c r="AW34" i="10" s="1"/>
  <c r="AW35" i="10" s="1"/>
  <c r="AW36" i="10" s="1"/>
  <c r="AW37" i="10" s="1"/>
  <c r="AW38" i="10" s="1"/>
  <c r="AW39" i="10" s="1"/>
  <c r="AT7" i="10"/>
  <c r="AT8" i="10" s="1"/>
  <c r="AT9" i="10" s="1"/>
  <c r="AT10" i="10" s="1"/>
  <c r="AT11" i="10" s="1"/>
  <c r="AT12" i="10" s="1"/>
  <c r="AT13" i="10" s="1"/>
  <c r="AT14" i="10" s="1"/>
  <c r="AT15" i="10" s="1"/>
  <c r="AT16" i="10" s="1"/>
  <c r="AT17" i="10" s="1"/>
  <c r="AT18" i="10" s="1"/>
  <c r="AT19" i="10" s="1"/>
  <c r="AT20" i="10" s="1"/>
  <c r="AT21" i="10" s="1"/>
  <c r="AT22" i="10" s="1"/>
  <c r="AT23" i="10" s="1"/>
  <c r="AT24" i="10" s="1"/>
  <c r="AT25" i="10" s="1"/>
  <c r="AT26" i="10" s="1"/>
  <c r="AT27" i="10" s="1"/>
  <c r="AT28" i="10" s="1"/>
  <c r="AT29" i="10" s="1"/>
  <c r="AT30" i="10" s="1"/>
  <c r="AT31" i="10" s="1"/>
  <c r="AT32" i="10" s="1"/>
  <c r="AT33" i="10" s="1"/>
  <c r="AT34" i="10" s="1"/>
  <c r="AT35" i="10" s="1"/>
  <c r="AT36" i="10" s="1"/>
  <c r="AT37" i="10" s="1"/>
  <c r="AT38" i="10" s="1"/>
  <c r="AT39" i="10" s="1"/>
  <c r="AQ7" i="10"/>
  <c r="AQ8" i="10" s="1"/>
  <c r="AQ9" i="10" s="1"/>
  <c r="AQ10" i="10" s="1"/>
  <c r="AQ11" i="10" s="1"/>
  <c r="AQ12" i="10" s="1"/>
  <c r="AQ13" i="10" s="1"/>
  <c r="AQ14" i="10" s="1"/>
  <c r="AQ15" i="10" s="1"/>
  <c r="AQ16" i="10" s="1"/>
  <c r="AQ17" i="10" s="1"/>
  <c r="AQ18" i="10" s="1"/>
  <c r="AQ19" i="10" s="1"/>
  <c r="AQ20" i="10" s="1"/>
  <c r="AQ21" i="10" s="1"/>
  <c r="AQ22" i="10" s="1"/>
  <c r="AQ23" i="10" s="1"/>
  <c r="AQ24" i="10" s="1"/>
  <c r="AQ25" i="10" s="1"/>
  <c r="AQ26" i="10" s="1"/>
  <c r="AQ27" i="10" s="1"/>
  <c r="AQ28" i="10" s="1"/>
  <c r="AQ29" i="10" s="1"/>
  <c r="AQ30" i="10" s="1"/>
  <c r="AQ31" i="10" s="1"/>
  <c r="AQ32" i="10" s="1"/>
  <c r="AQ33" i="10" s="1"/>
  <c r="AQ34" i="10" s="1"/>
  <c r="AQ35" i="10" s="1"/>
  <c r="AQ36" i="10" s="1"/>
  <c r="AQ37" i="10" s="1"/>
  <c r="AQ38" i="10" s="1"/>
  <c r="AQ39" i="10" s="1"/>
  <c r="AN7" i="10"/>
  <c r="AN8" i="10" s="1"/>
  <c r="AN9" i="10" s="1"/>
  <c r="AN10" i="10" s="1"/>
  <c r="AN11" i="10" s="1"/>
  <c r="AN12" i="10" s="1"/>
  <c r="AN13" i="10" s="1"/>
  <c r="AN14" i="10" s="1"/>
  <c r="AN15" i="10" s="1"/>
  <c r="AN16" i="10" s="1"/>
  <c r="AN17" i="10" s="1"/>
  <c r="AN18" i="10" s="1"/>
  <c r="AN19" i="10" s="1"/>
  <c r="AN20" i="10" s="1"/>
  <c r="AN21" i="10" s="1"/>
  <c r="AN22" i="10" s="1"/>
  <c r="AN23" i="10" s="1"/>
  <c r="AN24" i="10" s="1"/>
  <c r="AN25" i="10" s="1"/>
  <c r="AN26" i="10" s="1"/>
  <c r="AN27" i="10" s="1"/>
  <c r="AN28" i="10" s="1"/>
  <c r="AN29" i="10" s="1"/>
  <c r="AN30" i="10" s="1"/>
  <c r="AN31" i="10" s="1"/>
  <c r="AN32" i="10" s="1"/>
  <c r="AN33" i="10" s="1"/>
  <c r="AN34" i="10" s="1"/>
  <c r="AN35" i="10" s="1"/>
  <c r="AN36" i="10" s="1"/>
  <c r="AN37" i="10" s="1"/>
  <c r="AN38" i="10" s="1"/>
  <c r="AN39" i="10" s="1"/>
  <c r="AK7" i="10"/>
  <c r="AK8" i="10" s="1"/>
  <c r="AK9" i="10" s="1"/>
  <c r="AK10" i="10" s="1"/>
  <c r="AK11" i="10" s="1"/>
  <c r="AK12" i="10" s="1"/>
  <c r="AK13" i="10" s="1"/>
  <c r="AK14" i="10" s="1"/>
  <c r="AK15" i="10" s="1"/>
  <c r="AK16" i="10" s="1"/>
  <c r="AK17" i="10" s="1"/>
  <c r="AK18" i="10" s="1"/>
  <c r="AK19" i="10" s="1"/>
  <c r="AK20" i="10" s="1"/>
  <c r="AK21" i="10" s="1"/>
  <c r="AK22" i="10" s="1"/>
  <c r="AK23" i="10" s="1"/>
  <c r="AK24" i="10" s="1"/>
  <c r="AK25" i="10" s="1"/>
  <c r="AK26" i="10" s="1"/>
  <c r="AK27" i="10" s="1"/>
  <c r="AK28" i="10" s="1"/>
  <c r="AK29" i="10" s="1"/>
  <c r="AK30" i="10" s="1"/>
  <c r="AK31" i="10" s="1"/>
  <c r="AK32" i="10" s="1"/>
  <c r="AK33" i="10" s="1"/>
  <c r="AK34" i="10" s="1"/>
  <c r="AK35" i="10" s="1"/>
  <c r="AK36" i="10" s="1"/>
  <c r="AK37" i="10" s="1"/>
  <c r="AK38" i="10" s="1"/>
  <c r="AK39" i="10" s="1"/>
  <c r="I7" i="10"/>
  <c r="AH7" i="10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H31" i="10" s="1"/>
  <c r="AH32" i="10" s="1"/>
  <c r="AH33" i="10" s="1"/>
  <c r="AH34" i="10" s="1"/>
  <c r="AH35" i="10" s="1"/>
  <c r="AH36" i="10" s="1"/>
  <c r="AH37" i="10" s="1"/>
  <c r="AH38" i="10" s="1"/>
  <c r="AH39" i="10" s="1"/>
  <c r="AB7" i="10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V7" i="10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P7" i="10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J7" i="10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AE7" i="10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AE21" i="10" s="1"/>
  <c r="AE22" i="10" s="1"/>
  <c r="AE23" i="10" s="1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E34" i="10" s="1"/>
  <c r="AE35" i="10" s="1"/>
  <c r="AE36" i="10" s="1"/>
  <c r="AE37" i="10" s="1"/>
  <c r="AE38" i="10" s="1"/>
  <c r="AE39" i="10" s="1"/>
  <c r="Y7" i="10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S7" i="10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J49" i="7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D49" i="7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C49" i="7"/>
  <c r="AK49" i="7"/>
  <c r="AK50" i="7" s="1"/>
  <c r="AK51" i="7" s="1"/>
  <c r="AK52" i="7" s="1"/>
  <c r="AK53" i="7" s="1"/>
  <c r="AK54" i="7" s="1"/>
  <c r="AK55" i="7" s="1"/>
  <c r="AK56" i="7" s="1"/>
  <c r="AK57" i="7" s="1"/>
  <c r="AK58" i="7" s="1"/>
  <c r="AK59" i="7" s="1"/>
  <c r="AK60" i="7" s="1"/>
  <c r="AK61" i="7" s="1"/>
  <c r="AK62" i="7" s="1"/>
  <c r="AK63" i="7" s="1"/>
  <c r="AK64" i="7" s="1"/>
  <c r="AK65" i="7" s="1"/>
  <c r="AK66" i="7" s="1"/>
  <c r="AK67" i="7" s="1"/>
  <c r="AK68" i="7" s="1"/>
  <c r="AK69" i="7" s="1"/>
  <c r="AK70" i="7" s="1"/>
  <c r="AK71" i="7" s="1"/>
  <c r="AK72" i="7" s="1"/>
  <c r="AK73" i="7" s="1"/>
  <c r="AK74" i="7" s="1"/>
  <c r="AK75" i="7" s="1"/>
  <c r="AK76" i="7" s="1"/>
  <c r="AK77" i="7" s="1"/>
  <c r="AK78" i="7" s="1"/>
  <c r="AK79" i="7" s="1"/>
  <c r="AK80" i="7" s="1"/>
  <c r="AK81" i="7" s="1"/>
  <c r="G49" i="7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A49" i="7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G6" i="7"/>
  <c r="AG7" i="7" s="1"/>
  <c r="AK7" i="7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H6" i="7"/>
  <c r="AH7" i="7" s="1"/>
  <c r="AH8" i="7" s="1"/>
  <c r="AH9" i="7" s="1"/>
  <c r="AH10" i="7" s="1"/>
  <c r="AH11" i="7" s="1"/>
  <c r="AH12" i="7" s="1"/>
  <c r="AH13" i="7" s="1"/>
  <c r="AH14" i="7" s="1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AH37" i="7" s="1"/>
  <c r="AH38" i="7" s="1"/>
  <c r="AH39" i="7" s="1"/>
  <c r="AE7" i="7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B7" i="7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Y7" i="7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U7" i="7"/>
  <c r="U8" i="7" s="1"/>
  <c r="V7" i="7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S7" i="7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I7" i="7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D25" i="1"/>
  <c r="D49" i="1" s="1"/>
  <c r="C25" i="1"/>
  <c r="C49" i="1" s="1"/>
  <c r="D21" i="15"/>
  <c r="D19" i="15"/>
  <c r="E16" i="15"/>
  <c r="E15" i="15"/>
  <c r="E14" i="15"/>
  <c r="D13" i="15"/>
  <c r="E12" i="15"/>
  <c r="B39" i="1"/>
  <c r="F23" i="2"/>
  <c r="C23" i="2"/>
  <c r="G23" i="2" s="1"/>
  <c r="F22" i="2"/>
  <c r="C22" i="2" s="1"/>
  <c r="G22" i="2" s="1"/>
  <c r="H49" i="2"/>
  <c r="H47" i="2"/>
  <c r="H48" i="2" s="1"/>
  <c r="I48" i="2" s="1"/>
  <c r="H43" i="2"/>
  <c r="H45" i="2"/>
  <c r="H46" i="2" s="1"/>
  <c r="I46" i="2" s="1"/>
  <c r="C46" i="2"/>
  <c r="D46" i="2"/>
  <c r="H50" i="2" s="1"/>
  <c r="I50" i="2" s="1"/>
  <c r="C45" i="2"/>
  <c r="D45" i="2" s="1"/>
  <c r="C44" i="2"/>
  <c r="D44" i="2"/>
  <c r="C43" i="2"/>
  <c r="D43" i="2"/>
  <c r="C42" i="2"/>
  <c r="D42" i="2"/>
  <c r="H41" i="2"/>
  <c r="C39" i="2"/>
  <c r="J48" i="2" s="1"/>
  <c r="J42" i="2"/>
  <c r="J44" i="2"/>
  <c r="J46" i="2"/>
  <c r="J50" i="2"/>
  <c r="H42" i="2"/>
  <c r="I42" i="2" s="1"/>
  <c r="F25" i="2"/>
  <c r="C25" i="2"/>
  <c r="F27" i="2"/>
  <c r="C27" i="2"/>
  <c r="G25" i="2"/>
  <c r="F16" i="2"/>
  <c r="H16" i="2" s="1"/>
  <c r="B8" i="2"/>
  <c r="B9" i="2" s="1"/>
  <c r="B10" i="2" s="1"/>
  <c r="E7" i="2"/>
  <c r="B3" i="2"/>
  <c r="BW50" i="10" l="1"/>
  <c r="BG49" i="10"/>
  <c r="BW51" i="10"/>
  <c r="BW52" i="10" s="1"/>
  <c r="BW53" i="10" s="1"/>
  <c r="BW54" i="10" s="1"/>
  <c r="BW55" i="10" s="1"/>
  <c r="BW56" i="10" s="1"/>
  <c r="BW57" i="10" s="1"/>
  <c r="BW58" i="10" s="1"/>
  <c r="BW59" i="10" s="1"/>
  <c r="BW60" i="10" s="1"/>
  <c r="BW61" i="10" s="1"/>
  <c r="BW62" i="10" s="1"/>
  <c r="BW63" i="10" s="1"/>
  <c r="BW64" i="10" s="1"/>
  <c r="BW65" i="10" s="1"/>
  <c r="BW66" i="10" s="1"/>
  <c r="BW67" i="10" s="1"/>
  <c r="BW68" i="10" s="1"/>
  <c r="BW69" i="10" s="1"/>
  <c r="BW70" i="10" s="1"/>
  <c r="BW71" i="10" s="1"/>
  <c r="BW72" i="10" s="1"/>
  <c r="BW73" i="10" s="1"/>
  <c r="BW74" i="10" s="1"/>
  <c r="BW75" i="10" s="1"/>
  <c r="BW76" i="10" s="1"/>
  <c r="BW77" i="10" s="1"/>
  <c r="BW78" i="10" s="1"/>
  <c r="BW79" i="10" s="1"/>
  <c r="BW80" i="10" s="1"/>
  <c r="BW81" i="10" s="1"/>
  <c r="BG50" i="10"/>
  <c r="F4" i="1"/>
  <c r="F25" i="1" s="1"/>
  <c r="F49" i="1" s="1"/>
  <c r="G26" i="1"/>
  <c r="H44" i="2"/>
  <c r="I44" i="2" s="1"/>
  <c r="BW8" i="10"/>
  <c r="BW9" i="10" s="1"/>
  <c r="O39" i="7"/>
  <c r="F39" i="1"/>
  <c r="G25" i="1"/>
  <c r="G49" i="1" s="1"/>
  <c r="G39" i="1"/>
  <c r="C7" i="10"/>
  <c r="C8" i="10" s="1"/>
  <c r="O7" i="10"/>
  <c r="O8" i="10" s="1"/>
  <c r="H4" i="1"/>
  <c r="C50" i="7"/>
  <c r="C51" i="7" s="1"/>
  <c r="AM7" i="10"/>
  <c r="AA7" i="7"/>
  <c r="I8" i="10"/>
  <c r="C7" i="7"/>
  <c r="I50" i="10"/>
  <c r="U7" i="10"/>
  <c r="U8" i="10" s="1"/>
  <c r="I8" i="7"/>
  <c r="U9" i="7"/>
  <c r="AS7" i="10"/>
  <c r="AG8" i="7"/>
  <c r="I49" i="7"/>
  <c r="AG7" i="10"/>
  <c r="AY8" i="10"/>
  <c r="BE8" i="10"/>
  <c r="AA7" i="10"/>
  <c r="C49" i="10"/>
  <c r="O49" i="10"/>
  <c r="F30" i="1" l="1"/>
  <c r="F37" i="1" s="1"/>
  <c r="F26" i="1"/>
  <c r="H26" i="1"/>
  <c r="G30" i="1"/>
  <c r="G35" i="1" s="1"/>
  <c r="G56" i="1"/>
  <c r="G75" i="1" s="1"/>
  <c r="E48" i="10" s="1"/>
  <c r="G28" i="1"/>
  <c r="G51" i="1"/>
  <c r="G50" i="1"/>
  <c r="G29" i="1"/>
  <c r="G27" i="1"/>
  <c r="H62" i="18"/>
  <c r="H50" i="18"/>
  <c r="H32" i="18"/>
  <c r="BG6" i="10"/>
  <c r="AA8" i="7"/>
  <c r="AA9" i="7" s="1"/>
  <c r="H39" i="1"/>
  <c r="I4" i="1"/>
  <c r="H25" i="1"/>
  <c r="H49" i="1" s="1"/>
  <c r="O9" i="10"/>
  <c r="AM8" i="10"/>
  <c r="C8" i="7"/>
  <c r="I51" i="10"/>
  <c r="I52" i="10" s="1"/>
  <c r="I9" i="10"/>
  <c r="I9" i="7"/>
  <c r="O50" i="10"/>
  <c r="U9" i="10"/>
  <c r="AY9" i="10"/>
  <c r="AG9" i="7"/>
  <c r="AS8" i="10"/>
  <c r="U10" i="7"/>
  <c r="C50" i="10"/>
  <c r="AG8" i="10"/>
  <c r="C52" i="7"/>
  <c r="AA8" i="10"/>
  <c r="C9" i="10"/>
  <c r="BE9" i="10"/>
  <c r="I50" i="7"/>
  <c r="F28" i="1" l="1"/>
  <c r="F52" i="1" s="1"/>
  <c r="F72" i="1" s="1"/>
  <c r="F51" i="1"/>
  <c r="F71" i="1" s="1"/>
  <c r="F50" i="1"/>
  <c r="F70" i="1" s="1"/>
  <c r="F27" i="1"/>
  <c r="F54" i="1" s="1"/>
  <c r="H72" i="23"/>
  <c r="H72" i="24"/>
  <c r="J19" i="23"/>
  <c r="C19" i="23" s="1"/>
  <c r="H72" i="22"/>
  <c r="J8" i="23"/>
  <c r="C8" i="23" s="1"/>
  <c r="J35" i="23"/>
  <c r="C35" i="23" s="1"/>
  <c r="J35" i="22"/>
  <c r="J8" i="22"/>
  <c r="J19" i="22"/>
  <c r="F29" i="1"/>
  <c r="F53" i="1" s="1"/>
  <c r="F73" i="1" s="1"/>
  <c r="E6" i="10"/>
  <c r="G31" i="1"/>
  <c r="G60" i="1" s="1"/>
  <c r="F31" i="1"/>
  <c r="F60" i="1" s="1"/>
  <c r="F79" i="1" s="1"/>
  <c r="F34" i="1"/>
  <c r="F58" i="1" s="1"/>
  <c r="F77" i="1" s="1"/>
  <c r="F33" i="1"/>
  <c r="F59" i="1" s="1"/>
  <c r="F78" i="1" s="1"/>
  <c r="G34" i="1"/>
  <c r="G58" i="1" s="1"/>
  <c r="F32" i="1"/>
  <c r="F57" i="1" s="1"/>
  <c r="F76" i="1" s="1"/>
  <c r="F35" i="1"/>
  <c r="F61" i="1" s="1"/>
  <c r="F80" i="1" s="1"/>
  <c r="I26" i="1"/>
  <c r="F36" i="1"/>
  <c r="H12" i="18"/>
  <c r="H23" i="18"/>
  <c r="E6" i="7"/>
  <c r="G70" i="1"/>
  <c r="E48" i="7" s="1"/>
  <c r="J35" i="18"/>
  <c r="G71" i="1"/>
  <c r="K48" i="7" s="1"/>
  <c r="K6" i="7"/>
  <c r="J8" i="18"/>
  <c r="J19" i="18"/>
  <c r="G61" i="1"/>
  <c r="G37" i="1"/>
  <c r="G38" i="1" s="1"/>
  <c r="G52" i="1"/>
  <c r="G32" i="1"/>
  <c r="G57" i="1" s="1"/>
  <c r="G33" i="1"/>
  <c r="G36" i="1"/>
  <c r="G63" i="1" s="1"/>
  <c r="G82" i="1" s="1"/>
  <c r="G53" i="1"/>
  <c r="H51" i="1"/>
  <c r="H71" i="1" s="1"/>
  <c r="K49" i="7" s="1"/>
  <c r="H50" i="1"/>
  <c r="H70" i="1" s="1"/>
  <c r="E49" i="7" s="1"/>
  <c r="G54" i="1"/>
  <c r="H30" i="1"/>
  <c r="H32" i="1" s="1"/>
  <c r="H56" i="1"/>
  <c r="H75" i="1" s="1"/>
  <c r="E49" i="10" s="1"/>
  <c r="BW10" i="10"/>
  <c r="H18" i="18"/>
  <c r="H7" i="18"/>
  <c r="F38" i="1"/>
  <c r="J4" i="1"/>
  <c r="I39" i="1"/>
  <c r="I25" i="1"/>
  <c r="I49" i="1" s="1"/>
  <c r="O10" i="10"/>
  <c r="BG7" i="10"/>
  <c r="H28" i="1"/>
  <c r="H27" i="1"/>
  <c r="H29" i="1"/>
  <c r="AM9" i="10"/>
  <c r="I10" i="10"/>
  <c r="C9" i="7"/>
  <c r="O51" i="10"/>
  <c r="C10" i="10"/>
  <c r="C51" i="10"/>
  <c r="AG9" i="10"/>
  <c r="U10" i="10"/>
  <c r="AS9" i="10"/>
  <c r="AG10" i="7"/>
  <c r="I10" i="7"/>
  <c r="I51" i="7"/>
  <c r="AA10" i="7"/>
  <c r="AA9" i="10"/>
  <c r="U11" i="7"/>
  <c r="BE10" i="10"/>
  <c r="C53" i="7"/>
  <c r="AY10" i="10"/>
  <c r="I53" i="10"/>
  <c r="J91" i="23" l="1"/>
  <c r="C91" i="23" s="1"/>
  <c r="J107" i="23"/>
  <c r="C107" i="23" s="1"/>
  <c r="J80" i="23"/>
  <c r="C80" i="23" s="1"/>
  <c r="J91" i="22"/>
  <c r="J80" i="22"/>
  <c r="J107" i="22"/>
  <c r="J107" i="18"/>
  <c r="J91" i="18"/>
  <c r="J80" i="18"/>
  <c r="F64" i="1"/>
  <c r="F83" i="1" s="1"/>
  <c r="F63" i="1"/>
  <c r="F82" i="1" s="1"/>
  <c r="AU48" i="10" s="1"/>
  <c r="F62" i="1"/>
  <c r="F81" i="1" s="1"/>
  <c r="F74" i="1"/>
  <c r="F55" i="1"/>
  <c r="J76" i="18"/>
  <c r="J34" i="23"/>
  <c r="C34" i="23" s="1"/>
  <c r="J34" i="22"/>
  <c r="J36" i="23"/>
  <c r="C36" i="23" s="1"/>
  <c r="J36" i="22"/>
  <c r="G55" i="1"/>
  <c r="J37" i="22"/>
  <c r="H70" i="24"/>
  <c r="J28" i="22"/>
  <c r="J28" i="23"/>
  <c r="C28" i="23" s="1"/>
  <c r="J8" i="24"/>
  <c r="C8" i="24" s="1"/>
  <c r="J35" i="24"/>
  <c r="C35" i="24" s="1"/>
  <c r="J19" i="24"/>
  <c r="C19" i="24" s="1"/>
  <c r="H8" i="23"/>
  <c r="H19" i="23"/>
  <c r="H19" i="22"/>
  <c r="H8" i="22"/>
  <c r="J40" i="1"/>
  <c r="J41" i="1"/>
  <c r="J33" i="23"/>
  <c r="C33" i="23" s="1"/>
  <c r="J52" i="23"/>
  <c r="C52" i="23" s="1"/>
  <c r="H34" i="1"/>
  <c r="H58" i="1" s="1"/>
  <c r="H77" i="1" s="1"/>
  <c r="J33" i="18"/>
  <c r="H36" i="1"/>
  <c r="H63" i="1" s="1"/>
  <c r="H82" i="1" s="1"/>
  <c r="AU49" i="10" s="1"/>
  <c r="H33" i="1"/>
  <c r="H59" i="1" s="1"/>
  <c r="H78" i="1" s="1"/>
  <c r="H45" i="24"/>
  <c r="J52" i="22"/>
  <c r="H37" i="1"/>
  <c r="H38" i="1" s="1"/>
  <c r="J33" i="22"/>
  <c r="J52" i="18"/>
  <c r="H35" i="1"/>
  <c r="H61" i="1" s="1"/>
  <c r="H80" i="1" s="1"/>
  <c r="H31" i="1"/>
  <c r="H60" i="1" s="1"/>
  <c r="H79" i="1" s="1"/>
  <c r="G64" i="1"/>
  <c r="G83" i="1" s="1"/>
  <c r="BA48" i="10" s="1"/>
  <c r="J37" i="23"/>
  <c r="C37" i="23" s="1"/>
  <c r="E7" i="10"/>
  <c r="G74" i="1"/>
  <c r="AC48" i="7" s="1"/>
  <c r="E35" i="17"/>
  <c r="J36" i="18" s="1"/>
  <c r="G79" i="1"/>
  <c r="AC48" i="10" s="1"/>
  <c r="J16" i="18"/>
  <c r="J28" i="18"/>
  <c r="J48" i="18"/>
  <c r="G73" i="1"/>
  <c r="W48" i="7" s="1"/>
  <c r="E48" i="17"/>
  <c r="E36" i="17"/>
  <c r="J37" i="18" s="1"/>
  <c r="G72" i="1"/>
  <c r="Q48" i="7" s="1"/>
  <c r="J34" i="18"/>
  <c r="G80" i="1"/>
  <c r="AI48" i="10" s="1"/>
  <c r="G62" i="1"/>
  <c r="H52" i="1"/>
  <c r="H72" i="1" s="1"/>
  <c r="Q49" i="7" s="1"/>
  <c r="H53" i="1"/>
  <c r="H73" i="1" s="1"/>
  <c r="W49" i="7" s="1"/>
  <c r="G59" i="1"/>
  <c r="K6" i="10"/>
  <c r="G76" i="1"/>
  <c r="K48" i="10" s="1"/>
  <c r="Q6" i="10"/>
  <c r="G77" i="1"/>
  <c r="Q48" i="10" s="1"/>
  <c r="H54" i="1"/>
  <c r="I50" i="1"/>
  <c r="I70" i="1" s="1"/>
  <c r="E50" i="7" s="1"/>
  <c r="I51" i="1"/>
  <c r="I71" i="1" s="1"/>
  <c r="K50" i="7" s="1"/>
  <c r="I30" i="1"/>
  <c r="I34" i="1" s="1"/>
  <c r="I56" i="1"/>
  <c r="I75" i="1" s="1"/>
  <c r="E50" i="10" s="1"/>
  <c r="H57" i="1"/>
  <c r="H76" i="1" s="1"/>
  <c r="H64" i="1"/>
  <c r="H83" i="1" s="1"/>
  <c r="BA49" i="10" s="1"/>
  <c r="H62" i="1"/>
  <c r="H81" i="1" s="1"/>
  <c r="Q6" i="7"/>
  <c r="BW11" i="10"/>
  <c r="H19" i="18"/>
  <c r="H8" i="18"/>
  <c r="J26" i="1"/>
  <c r="O11" i="10"/>
  <c r="AO6" i="10"/>
  <c r="AC6" i="10"/>
  <c r="AU6" i="10"/>
  <c r="AI6" i="10"/>
  <c r="BG8" i="10"/>
  <c r="J25" i="1"/>
  <c r="K4" i="1"/>
  <c r="E7" i="7"/>
  <c r="I28" i="1"/>
  <c r="I29" i="1"/>
  <c r="I27" i="1"/>
  <c r="AM10" i="10"/>
  <c r="C10" i="7"/>
  <c r="I11" i="10"/>
  <c r="U12" i="7"/>
  <c r="AG11" i="7"/>
  <c r="O52" i="10"/>
  <c r="C54" i="7"/>
  <c r="AA10" i="10"/>
  <c r="AS10" i="10"/>
  <c r="I54" i="10"/>
  <c r="AA11" i="7"/>
  <c r="C11" i="10"/>
  <c r="I11" i="7"/>
  <c r="AY11" i="10"/>
  <c r="BE11" i="10"/>
  <c r="I52" i="7"/>
  <c r="C52" i="10"/>
  <c r="U11" i="10"/>
  <c r="AG10" i="10"/>
  <c r="J108" i="23" l="1"/>
  <c r="C108" i="23" s="1"/>
  <c r="H80" i="23"/>
  <c r="H34" i="23"/>
  <c r="J106" i="23"/>
  <c r="C106" i="23" s="1"/>
  <c r="H107" i="23"/>
  <c r="J109" i="23"/>
  <c r="C109" i="23" s="1"/>
  <c r="H91" i="23"/>
  <c r="J53" i="23"/>
  <c r="C53" i="23" s="1"/>
  <c r="J124" i="23"/>
  <c r="C124" i="23" s="1"/>
  <c r="J105" i="23"/>
  <c r="C105" i="23" s="1"/>
  <c r="J107" i="24"/>
  <c r="C107" i="24" s="1"/>
  <c r="H8" i="24"/>
  <c r="J80" i="24"/>
  <c r="C80" i="24" s="1"/>
  <c r="H19" i="24"/>
  <c r="J91" i="24"/>
  <c r="C91" i="24" s="1"/>
  <c r="J53" i="22"/>
  <c r="J124" i="22"/>
  <c r="H34" i="22"/>
  <c r="J106" i="22"/>
  <c r="H107" i="22"/>
  <c r="J29" i="22"/>
  <c r="J100" i="22"/>
  <c r="H80" i="22"/>
  <c r="J109" i="22"/>
  <c r="H91" i="22"/>
  <c r="J105" i="22"/>
  <c r="J108" i="22"/>
  <c r="H76" i="18"/>
  <c r="J148" i="18"/>
  <c r="H76" i="24"/>
  <c r="J148" i="24"/>
  <c r="C148" i="24" s="1"/>
  <c r="H76" i="23"/>
  <c r="J148" i="23"/>
  <c r="C148" i="23" s="1"/>
  <c r="H76" i="22"/>
  <c r="J148" i="22"/>
  <c r="J53" i="18"/>
  <c r="J124" i="18"/>
  <c r="J49" i="18"/>
  <c r="J120" i="18"/>
  <c r="J109" i="18"/>
  <c r="J105" i="18"/>
  <c r="J108" i="18"/>
  <c r="J106" i="18"/>
  <c r="H107" i="18"/>
  <c r="J29" i="18"/>
  <c r="J100" i="18"/>
  <c r="H91" i="18"/>
  <c r="H16" i="18"/>
  <c r="J88" i="18"/>
  <c r="H80" i="18"/>
  <c r="J29" i="23"/>
  <c r="C29" i="23" s="1"/>
  <c r="J100" i="23"/>
  <c r="C100" i="23" s="1"/>
  <c r="AC49" i="10"/>
  <c r="AI49" i="10"/>
  <c r="Q49" i="10"/>
  <c r="K49" i="10"/>
  <c r="H74" i="1"/>
  <c r="AC49" i="7" s="1"/>
  <c r="H55" i="1"/>
  <c r="BA6" i="10"/>
  <c r="H48" i="18"/>
  <c r="Q7" i="10"/>
  <c r="J37" i="24"/>
  <c r="C37" i="24" s="1"/>
  <c r="H32" i="24"/>
  <c r="J33" i="24"/>
  <c r="C33" i="24" s="1"/>
  <c r="J28" i="24"/>
  <c r="C28" i="24" s="1"/>
  <c r="Q7" i="7"/>
  <c r="J34" i="24"/>
  <c r="C34" i="24" s="1"/>
  <c r="H35" i="24"/>
  <c r="J36" i="24"/>
  <c r="C36" i="24" s="1"/>
  <c r="J52" i="24"/>
  <c r="C52" i="24" s="1"/>
  <c r="H52" i="18"/>
  <c r="H45" i="22"/>
  <c r="H32" i="23"/>
  <c r="H33" i="22"/>
  <c r="H36" i="23"/>
  <c r="H35" i="22"/>
  <c r="H28" i="23"/>
  <c r="I35" i="1"/>
  <c r="H35" i="23"/>
  <c r="H32" i="22"/>
  <c r="H33" i="23"/>
  <c r="H45" i="23"/>
  <c r="H36" i="22"/>
  <c r="H28" i="22"/>
  <c r="J46" i="23"/>
  <c r="C46" i="23" s="1"/>
  <c r="K40" i="1"/>
  <c r="K41" i="1"/>
  <c r="J60" i="22"/>
  <c r="J15" i="18"/>
  <c r="J9" i="23"/>
  <c r="C9" i="23" s="1"/>
  <c r="J57" i="23"/>
  <c r="C57" i="23" s="1"/>
  <c r="J60" i="23"/>
  <c r="C60" i="23" s="1"/>
  <c r="J57" i="22"/>
  <c r="J48" i="23"/>
  <c r="C48" i="23" s="1"/>
  <c r="J64" i="18"/>
  <c r="J20" i="22"/>
  <c r="J5" i="22"/>
  <c r="J16" i="22"/>
  <c r="J64" i="23"/>
  <c r="C64" i="23" s="1"/>
  <c r="E58" i="17"/>
  <c r="E61" i="17"/>
  <c r="J60" i="18" s="1"/>
  <c r="H34" i="18"/>
  <c r="J64" i="22"/>
  <c r="J15" i="22"/>
  <c r="J58" i="22"/>
  <c r="J5" i="23"/>
  <c r="C5" i="23" s="1"/>
  <c r="J9" i="22"/>
  <c r="J27" i="18"/>
  <c r="J27" i="22"/>
  <c r="J48" i="22"/>
  <c r="J58" i="23"/>
  <c r="C58" i="23" s="1"/>
  <c r="J20" i="18"/>
  <c r="J59" i="22"/>
  <c r="J59" i="23"/>
  <c r="C59" i="23" s="1"/>
  <c r="H33" i="18"/>
  <c r="J15" i="23"/>
  <c r="C15" i="23" s="1"/>
  <c r="J16" i="23"/>
  <c r="C16" i="23" s="1"/>
  <c r="J9" i="18"/>
  <c r="J46" i="18"/>
  <c r="J46" i="22"/>
  <c r="J20" i="23"/>
  <c r="C20" i="23" s="1"/>
  <c r="J27" i="23"/>
  <c r="C27" i="23" s="1"/>
  <c r="I33" i="1"/>
  <c r="I31" i="1"/>
  <c r="I60" i="1" s="1"/>
  <c r="I79" i="1" s="1"/>
  <c r="AC50" i="10" s="1"/>
  <c r="I36" i="1"/>
  <c r="I62" i="1" s="1"/>
  <c r="I81" i="1" s="1"/>
  <c r="AO50" i="10" s="1"/>
  <c r="I32" i="1"/>
  <c r="I57" i="1" s="1"/>
  <c r="I37" i="1"/>
  <c r="I38" i="1" s="1"/>
  <c r="J31" i="23"/>
  <c r="C31" i="23" s="1"/>
  <c r="K7" i="10"/>
  <c r="G81" i="1"/>
  <c r="AO48" i="10" s="1"/>
  <c r="J31" i="22"/>
  <c r="J31" i="18"/>
  <c r="I52" i="1"/>
  <c r="I72" i="1" s="1"/>
  <c r="Q50" i="7" s="1"/>
  <c r="W7" i="10"/>
  <c r="G78" i="1"/>
  <c r="W48" i="10" s="1"/>
  <c r="W6" i="10"/>
  <c r="I53" i="1"/>
  <c r="I73" i="1" s="1"/>
  <c r="W50" i="7" s="1"/>
  <c r="I61" i="1"/>
  <c r="I80" i="1" s="1"/>
  <c r="AI50" i="10" s="1"/>
  <c r="I54" i="1"/>
  <c r="J51" i="1"/>
  <c r="J71" i="1" s="1"/>
  <c r="K51" i="7" s="1"/>
  <c r="J50" i="1"/>
  <c r="J70" i="1" s="1"/>
  <c r="E51" i="7" s="1"/>
  <c r="J39" i="1"/>
  <c r="J65" i="1"/>
  <c r="J84" i="1" s="1"/>
  <c r="BG51" i="10" s="1"/>
  <c r="J30" i="1"/>
  <c r="J31" i="1" s="1"/>
  <c r="J56" i="1"/>
  <c r="J75" i="1" s="1"/>
  <c r="E51" i="10" s="1"/>
  <c r="I58" i="1"/>
  <c r="I77" i="1" s="1"/>
  <c r="Q50" i="10" s="1"/>
  <c r="I59" i="1"/>
  <c r="I78" i="1" s="1"/>
  <c r="W50" i="10" s="1"/>
  <c r="E8" i="10"/>
  <c r="K65" i="1"/>
  <c r="K84" i="1" s="1"/>
  <c r="BG52" i="10" s="1"/>
  <c r="BW12" i="10"/>
  <c r="H28" i="18"/>
  <c r="H35" i="18"/>
  <c r="G45" i="1"/>
  <c r="G44" i="1"/>
  <c r="K26" i="1"/>
  <c r="AO7" i="10"/>
  <c r="K7" i="7"/>
  <c r="L4" i="1"/>
  <c r="K25" i="1"/>
  <c r="E8" i="7"/>
  <c r="J28" i="1"/>
  <c r="J29" i="1"/>
  <c r="J27" i="1"/>
  <c r="AI7" i="10"/>
  <c r="J49" i="1"/>
  <c r="AC7" i="10"/>
  <c r="BA7" i="10"/>
  <c r="AU7" i="10"/>
  <c r="O12" i="10"/>
  <c r="AM11" i="10"/>
  <c r="I12" i="10"/>
  <c r="C11" i="7"/>
  <c r="AA11" i="10"/>
  <c r="I53" i="7"/>
  <c r="C53" i="10"/>
  <c r="I55" i="10"/>
  <c r="BE12" i="10"/>
  <c r="C55" i="7"/>
  <c r="U12" i="10"/>
  <c r="AA12" i="7"/>
  <c r="I12" i="7"/>
  <c r="C12" i="10"/>
  <c r="U13" i="7"/>
  <c r="AS11" i="10"/>
  <c r="O53" i="10"/>
  <c r="AG12" i="7"/>
  <c r="AG11" i="10"/>
  <c r="AY12" i="10"/>
  <c r="J57" i="18" l="1"/>
  <c r="E59" i="17"/>
  <c r="E70" i="17"/>
  <c r="J74" i="18" s="1"/>
  <c r="H124" i="23"/>
  <c r="H106" i="23"/>
  <c r="J88" i="23"/>
  <c r="C88" i="23" s="1"/>
  <c r="J49" i="23"/>
  <c r="C49" i="23" s="1"/>
  <c r="J120" i="23"/>
  <c r="C120" i="23" s="1"/>
  <c r="J125" i="23"/>
  <c r="C125" i="23" s="1"/>
  <c r="J47" i="23"/>
  <c r="C47" i="23" s="1"/>
  <c r="J118" i="23"/>
  <c r="C118" i="23" s="1"/>
  <c r="J131" i="23"/>
  <c r="C131" i="23" s="1"/>
  <c r="J132" i="23"/>
  <c r="C132" i="23" s="1"/>
  <c r="J92" i="23"/>
  <c r="C92" i="23" s="1"/>
  <c r="J65" i="23"/>
  <c r="C65" i="23" s="1"/>
  <c r="J136" i="23"/>
  <c r="C136" i="23" s="1"/>
  <c r="J129" i="23"/>
  <c r="C129" i="23" s="1"/>
  <c r="H109" i="23"/>
  <c r="H31" i="23"/>
  <c r="J103" i="23"/>
  <c r="C103" i="23" s="1"/>
  <c r="J81" i="23"/>
  <c r="C81" i="23" s="1"/>
  <c r="H105" i="23"/>
  <c r="H108" i="23"/>
  <c r="J130" i="23"/>
  <c r="C130" i="23" s="1"/>
  <c r="H33" i="24"/>
  <c r="J105" i="24"/>
  <c r="C105" i="24" s="1"/>
  <c r="J29" i="24"/>
  <c r="C29" i="24" s="1"/>
  <c r="J100" i="24"/>
  <c r="C100" i="24" s="1"/>
  <c r="H80" i="24"/>
  <c r="J109" i="24"/>
  <c r="C109" i="24" s="1"/>
  <c r="H36" i="24"/>
  <c r="J108" i="24"/>
  <c r="C108" i="24" s="1"/>
  <c r="H91" i="24"/>
  <c r="J53" i="24"/>
  <c r="J124" i="24"/>
  <c r="C124" i="24" s="1"/>
  <c r="H107" i="24"/>
  <c r="H34" i="24"/>
  <c r="J106" i="24"/>
  <c r="C106" i="24" s="1"/>
  <c r="J87" i="22"/>
  <c r="J77" i="22"/>
  <c r="H109" i="22"/>
  <c r="J92" i="22"/>
  <c r="J132" i="22"/>
  <c r="H106" i="22"/>
  <c r="J65" i="22"/>
  <c r="J136" i="22"/>
  <c r="H108" i="22"/>
  <c r="J99" i="22"/>
  <c r="J47" i="22"/>
  <c r="J118" i="22"/>
  <c r="J49" i="22"/>
  <c r="J120" i="22"/>
  <c r="H31" i="22"/>
  <c r="J103" i="22"/>
  <c r="J129" i="22"/>
  <c r="H105" i="22"/>
  <c r="H100" i="22"/>
  <c r="H124" i="22"/>
  <c r="J88" i="22"/>
  <c r="J81" i="22"/>
  <c r="J130" i="22"/>
  <c r="J131" i="22"/>
  <c r="J101" i="22"/>
  <c r="J125" i="22"/>
  <c r="J65" i="18"/>
  <c r="J136" i="18"/>
  <c r="H148" i="24"/>
  <c r="H148" i="22"/>
  <c r="H148" i="18"/>
  <c r="H148" i="23"/>
  <c r="H74" i="18"/>
  <c r="J146" i="18"/>
  <c r="H74" i="23"/>
  <c r="H149" i="23" s="1"/>
  <c r="J146" i="23"/>
  <c r="C146" i="23" s="1"/>
  <c r="H74" i="22"/>
  <c r="J146" i="22"/>
  <c r="H74" i="24"/>
  <c r="J146" i="24"/>
  <c r="C146" i="24" s="1"/>
  <c r="H124" i="18"/>
  <c r="H53" i="18"/>
  <c r="J125" i="18"/>
  <c r="H120" i="18"/>
  <c r="J47" i="18"/>
  <c r="J118" i="18"/>
  <c r="H49" i="18"/>
  <c r="J121" i="18"/>
  <c r="H108" i="18"/>
  <c r="H105" i="18"/>
  <c r="H106" i="18"/>
  <c r="H109" i="18"/>
  <c r="J99" i="18"/>
  <c r="H31" i="18"/>
  <c r="J103" i="18"/>
  <c r="H100" i="18"/>
  <c r="H29" i="18"/>
  <c r="J101" i="18"/>
  <c r="J92" i="18"/>
  <c r="H88" i="18"/>
  <c r="J87" i="18"/>
  <c r="J81" i="18"/>
  <c r="J132" i="18"/>
  <c r="J129" i="18"/>
  <c r="H100" i="23"/>
  <c r="J101" i="23"/>
  <c r="C101" i="23" s="1"/>
  <c r="J99" i="23"/>
  <c r="C99" i="23" s="1"/>
  <c r="J87" i="23"/>
  <c r="C87" i="23" s="1"/>
  <c r="J77" i="23"/>
  <c r="C77" i="23" s="1"/>
  <c r="W49" i="10"/>
  <c r="AO49" i="10"/>
  <c r="I74" i="1"/>
  <c r="AC50" i="7" s="1"/>
  <c r="I55" i="1"/>
  <c r="E9" i="10"/>
  <c r="I64" i="1"/>
  <c r="I83" i="1" s="1"/>
  <c r="BA50" i="10" s="1"/>
  <c r="I63" i="1"/>
  <c r="I82" i="1" s="1"/>
  <c r="AU50" i="10" s="1"/>
  <c r="I76" i="1"/>
  <c r="K50" i="10" s="1"/>
  <c r="K8" i="10"/>
  <c r="J31" i="24"/>
  <c r="C31" i="24" s="1"/>
  <c r="J9" i="24"/>
  <c r="C9" i="24" s="1"/>
  <c r="J60" i="24"/>
  <c r="C60" i="24" s="1"/>
  <c r="H28" i="24"/>
  <c r="J59" i="24"/>
  <c r="C59" i="24" s="1"/>
  <c r="J5" i="24"/>
  <c r="C5" i="24" s="1"/>
  <c r="J58" i="24"/>
  <c r="C58" i="24" s="1"/>
  <c r="Q8" i="10"/>
  <c r="J27" i="24"/>
  <c r="C27" i="24" s="1"/>
  <c r="J64" i="24"/>
  <c r="C64" i="24" s="1"/>
  <c r="J48" i="24"/>
  <c r="C48" i="24" s="1"/>
  <c r="J57" i="24"/>
  <c r="C57" i="24" s="1"/>
  <c r="J16" i="24"/>
  <c r="C16" i="24" s="1"/>
  <c r="J20" i="24"/>
  <c r="C20" i="24" s="1"/>
  <c r="J15" i="24"/>
  <c r="C15" i="24" s="1"/>
  <c r="H52" i="24"/>
  <c r="J46" i="24"/>
  <c r="C46" i="24" s="1"/>
  <c r="H60" i="18"/>
  <c r="W8" i="10"/>
  <c r="H27" i="22"/>
  <c r="H16" i="22"/>
  <c r="H58" i="22"/>
  <c r="H70" i="22"/>
  <c r="H46" i="18"/>
  <c r="H60" i="22"/>
  <c r="H5" i="23"/>
  <c r="H5" i="22"/>
  <c r="H27" i="23"/>
  <c r="H9" i="22"/>
  <c r="H52" i="23"/>
  <c r="H9" i="18"/>
  <c r="H59" i="22"/>
  <c r="H20" i="22"/>
  <c r="H58" i="23"/>
  <c r="H20" i="23"/>
  <c r="H16" i="23"/>
  <c r="H15" i="22"/>
  <c r="H9" i="23"/>
  <c r="H59" i="23"/>
  <c r="H64" i="23"/>
  <c r="H53" i="23"/>
  <c r="H52" i="22"/>
  <c r="H15" i="23"/>
  <c r="H20" i="18"/>
  <c r="H46" i="22"/>
  <c r="H57" i="18"/>
  <c r="H70" i="23"/>
  <c r="H46" i="23"/>
  <c r="H60" i="23"/>
  <c r="H53" i="22"/>
  <c r="H64" i="22"/>
  <c r="H48" i="23"/>
  <c r="H48" i="22"/>
  <c r="J61" i="23"/>
  <c r="C61" i="23" s="1"/>
  <c r="J61" i="22"/>
  <c r="J17" i="23"/>
  <c r="C17" i="23" s="1"/>
  <c r="J17" i="18"/>
  <c r="J30" i="22"/>
  <c r="J6" i="23"/>
  <c r="C6" i="23" s="1"/>
  <c r="L41" i="1"/>
  <c r="L40" i="1"/>
  <c r="J17" i="22"/>
  <c r="J6" i="18"/>
  <c r="J6" i="22"/>
  <c r="H15" i="18"/>
  <c r="E62" i="17"/>
  <c r="J61" i="18" s="1"/>
  <c r="J30" i="18"/>
  <c r="J30" i="23"/>
  <c r="C30" i="23" s="1"/>
  <c r="H27" i="18"/>
  <c r="H64" i="18"/>
  <c r="J5" i="18"/>
  <c r="J35" i="1"/>
  <c r="J61" i="1" s="1"/>
  <c r="J80" i="1" s="1"/>
  <c r="AI51" i="10" s="1"/>
  <c r="J34" i="1"/>
  <c r="J58" i="1" s="1"/>
  <c r="J77" i="1" s="1"/>
  <c r="Q51" i="10" s="1"/>
  <c r="J32" i="1"/>
  <c r="J57" i="1" s="1"/>
  <c r="J76" i="1" s="1"/>
  <c r="Q8" i="7"/>
  <c r="J33" i="1"/>
  <c r="J59" i="1" s="1"/>
  <c r="J36" i="1"/>
  <c r="J62" i="1" s="1"/>
  <c r="J81" i="1" s="1"/>
  <c r="AO51" i="10" s="1"/>
  <c r="J37" i="1"/>
  <c r="J38" i="1" s="1"/>
  <c r="J60" i="1"/>
  <c r="J79" i="1" s="1"/>
  <c r="AC51" i="10" s="1"/>
  <c r="J53" i="1"/>
  <c r="J73" i="1" s="1"/>
  <c r="W51" i="7" s="1"/>
  <c r="J52" i="1"/>
  <c r="J72" i="1" s="1"/>
  <c r="Q51" i="7" s="1"/>
  <c r="K39" i="1"/>
  <c r="K50" i="1"/>
  <c r="K70" i="1" s="1"/>
  <c r="E52" i="7" s="1"/>
  <c r="K51" i="1"/>
  <c r="K71" i="1" s="1"/>
  <c r="K52" i="7" s="1"/>
  <c r="BG9" i="10"/>
  <c r="K30" i="1"/>
  <c r="K56" i="1"/>
  <c r="K75" i="1" s="1"/>
  <c r="E52" i="10" s="1"/>
  <c r="J54" i="1"/>
  <c r="AI6" i="7"/>
  <c r="G69" i="1"/>
  <c r="G68" i="1"/>
  <c r="BW13" i="10"/>
  <c r="BW14" i="10" s="1"/>
  <c r="H36" i="18"/>
  <c r="H37" i="18"/>
  <c r="L26" i="1"/>
  <c r="H45" i="1"/>
  <c r="H44" i="1"/>
  <c r="E9" i="7"/>
  <c r="AI8" i="10"/>
  <c r="BA8" i="10"/>
  <c r="O13" i="10"/>
  <c r="AU8" i="10"/>
  <c r="K49" i="1"/>
  <c r="AC8" i="10"/>
  <c r="K8" i="7"/>
  <c r="K27" i="1"/>
  <c r="K28" i="1"/>
  <c r="K29" i="1"/>
  <c r="AO8" i="10"/>
  <c r="M4" i="1"/>
  <c r="L25" i="1"/>
  <c r="AM12" i="10"/>
  <c r="C12" i="7"/>
  <c r="I13" i="10"/>
  <c r="BE13" i="10"/>
  <c r="C54" i="10"/>
  <c r="C13" i="10"/>
  <c r="U13" i="10"/>
  <c r="AG13" i="7"/>
  <c r="I13" i="7"/>
  <c r="AS12" i="10"/>
  <c r="AY13" i="10"/>
  <c r="I56" i="10"/>
  <c r="AA12" i="10"/>
  <c r="U14" i="7"/>
  <c r="AA13" i="7"/>
  <c r="AG12" i="10"/>
  <c r="O54" i="10"/>
  <c r="C56" i="7"/>
  <c r="I54" i="7"/>
  <c r="H53" i="24" l="1"/>
  <c r="C53" i="24"/>
  <c r="E60" i="17"/>
  <c r="J59" i="18" s="1"/>
  <c r="J58" i="18"/>
  <c r="H81" i="23"/>
  <c r="H131" i="23"/>
  <c r="H136" i="23"/>
  <c r="J121" i="23"/>
  <c r="C121" i="23" s="1"/>
  <c r="H61" i="23"/>
  <c r="J133" i="23"/>
  <c r="C133" i="23" s="1"/>
  <c r="H130" i="23"/>
  <c r="H103" i="23"/>
  <c r="H118" i="23"/>
  <c r="H88" i="23"/>
  <c r="J137" i="23"/>
  <c r="C137" i="23" s="1"/>
  <c r="H92" i="23"/>
  <c r="J119" i="23"/>
  <c r="C119" i="23" s="1"/>
  <c r="J78" i="23"/>
  <c r="C78" i="23" s="1"/>
  <c r="H125" i="23"/>
  <c r="J89" i="23"/>
  <c r="C89" i="23" s="1"/>
  <c r="H132" i="23"/>
  <c r="H30" i="23"/>
  <c r="J102" i="23"/>
  <c r="C102" i="23" s="1"/>
  <c r="H129" i="23"/>
  <c r="H120" i="23"/>
  <c r="H5" i="24"/>
  <c r="J77" i="24"/>
  <c r="C77" i="24" s="1"/>
  <c r="H20" i="24"/>
  <c r="J92" i="24"/>
  <c r="C92" i="24" s="1"/>
  <c r="H58" i="24"/>
  <c r="J130" i="24"/>
  <c r="C130" i="24" s="1"/>
  <c r="J125" i="24"/>
  <c r="C125" i="24" s="1"/>
  <c r="H106" i="24"/>
  <c r="H59" i="24"/>
  <c r="J131" i="24"/>
  <c r="C131" i="24" s="1"/>
  <c r="H100" i="24"/>
  <c r="J129" i="24"/>
  <c r="C129" i="24" s="1"/>
  <c r="J49" i="24"/>
  <c r="C49" i="24" s="1"/>
  <c r="J120" i="24"/>
  <c r="C120" i="24" s="1"/>
  <c r="H108" i="24"/>
  <c r="H60" i="24"/>
  <c r="J132" i="24"/>
  <c r="C132" i="24" s="1"/>
  <c r="J101" i="24"/>
  <c r="C101" i="24" s="1"/>
  <c r="H16" i="24"/>
  <c r="J88" i="24"/>
  <c r="C88" i="24" s="1"/>
  <c r="J47" i="24"/>
  <c r="C47" i="24" s="1"/>
  <c r="J118" i="24"/>
  <c r="C118" i="24" s="1"/>
  <c r="J65" i="24"/>
  <c r="C65" i="24" s="1"/>
  <c r="J136" i="24"/>
  <c r="C136" i="24" s="1"/>
  <c r="H9" i="24"/>
  <c r="J81" i="24"/>
  <c r="C81" i="24" s="1"/>
  <c r="H105" i="24"/>
  <c r="H27" i="24"/>
  <c r="J99" i="24"/>
  <c r="C99" i="24" s="1"/>
  <c r="H31" i="24"/>
  <c r="J103" i="24"/>
  <c r="C103" i="24" s="1"/>
  <c r="H124" i="24"/>
  <c r="H109" i="24"/>
  <c r="H15" i="24"/>
  <c r="J87" i="24"/>
  <c r="C87" i="24" s="1"/>
  <c r="H92" i="22"/>
  <c r="J121" i="22"/>
  <c r="H136" i="22"/>
  <c r="H101" i="22"/>
  <c r="H88" i="22"/>
  <c r="H129" i="22"/>
  <c r="H118" i="22"/>
  <c r="H30" i="22"/>
  <c r="J102" i="22"/>
  <c r="J137" i="22"/>
  <c r="H125" i="22"/>
  <c r="J78" i="22"/>
  <c r="H131" i="22"/>
  <c r="H103" i="22"/>
  <c r="H47" i="22"/>
  <c r="J119" i="22"/>
  <c r="H77" i="22"/>
  <c r="H81" i="22"/>
  <c r="H99" i="22"/>
  <c r="H61" i="22"/>
  <c r="J133" i="22"/>
  <c r="H130" i="22"/>
  <c r="H132" i="22"/>
  <c r="H87" i="22"/>
  <c r="J89" i="22"/>
  <c r="H120" i="22"/>
  <c r="H136" i="18"/>
  <c r="H65" i="18"/>
  <c r="J137" i="18"/>
  <c r="H146" i="23"/>
  <c r="H150" i="23" s="1"/>
  <c r="H146" i="24"/>
  <c r="H146" i="18"/>
  <c r="H146" i="22"/>
  <c r="H125" i="18"/>
  <c r="H121" i="18"/>
  <c r="H118" i="18"/>
  <c r="H47" i="18"/>
  <c r="J119" i="18"/>
  <c r="J102" i="18"/>
  <c r="H103" i="18"/>
  <c r="H101" i="18"/>
  <c r="H99" i="18"/>
  <c r="H92" i="18"/>
  <c r="J89" i="18"/>
  <c r="H87" i="18"/>
  <c r="J78" i="18"/>
  <c r="J77" i="18"/>
  <c r="H81" i="18"/>
  <c r="J133" i="18"/>
  <c r="H132" i="18"/>
  <c r="H129" i="18"/>
  <c r="H101" i="23"/>
  <c r="H99" i="23"/>
  <c r="H87" i="23"/>
  <c r="H77" i="23"/>
  <c r="C149" i="23"/>
  <c r="K51" i="10"/>
  <c r="J74" i="1"/>
  <c r="AC51" i="7" s="1"/>
  <c r="J55" i="1"/>
  <c r="H48" i="24"/>
  <c r="H64" i="24"/>
  <c r="H46" i="24"/>
  <c r="H62" i="24"/>
  <c r="J61" i="24"/>
  <c r="C61" i="24" s="1"/>
  <c r="J6" i="24"/>
  <c r="C6" i="24" s="1"/>
  <c r="H29" i="24"/>
  <c r="J30" i="24"/>
  <c r="C30" i="24" s="1"/>
  <c r="Q9" i="7"/>
  <c r="J17" i="24"/>
  <c r="C17" i="24" s="1"/>
  <c r="H6" i="22"/>
  <c r="H17" i="22"/>
  <c r="H29" i="23"/>
  <c r="H6" i="23"/>
  <c r="H17" i="23"/>
  <c r="H62" i="22"/>
  <c r="H29" i="22"/>
  <c r="H62" i="23"/>
  <c r="H5" i="18"/>
  <c r="J63" i="1"/>
  <c r="J82" i="1" s="1"/>
  <c r="AU51" i="10" s="1"/>
  <c r="H30" i="18"/>
  <c r="H6" i="18"/>
  <c r="H17" i="18"/>
  <c r="M41" i="1"/>
  <c r="M40" i="1"/>
  <c r="J64" i="1"/>
  <c r="J83" i="1" s="1"/>
  <c r="BA51" i="10" s="1"/>
  <c r="Q9" i="10"/>
  <c r="G88" i="1"/>
  <c r="J67" i="18"/>
  <c r="G87" i="1"/>
  <c r="K9" i="10"/>
  <c r="AC6" i="7"/>
  <c r="K34" i="1"/>
  <c r="K58" i="1" s="1"/>
  <c r="K52" i="1"/>
  <c r="K72" i="1" s="1"/>
  <c r="Q52" i="7" s="1"/>
  <c r="BG10" i="10"/>
  <c r="K53" i="1"/>
  <c r="K73" i="1" s="1"/>
  <c r="W52" i="7" s="1"/>
  <c r="W9" i="10"/>
  <c r="J78" i="1"/>
  <c r="W51" i="10" s="1"/>
  <c r="E10" i="10"/>
  <c r="K36" i="1"/>
  <c r="K62" i="1" s="1"/>
  <c r="K81" i="1" s="1"/>
  <c r="AO52" i="10" s="1"/>
  <c r="K35" i="1"/>
  <c r="L30" i="1"/>
  <c r="L36" i="1" s="1"/>
  <c r="L56" i="1"/>
  <c r="L75" i="1" s="1"/>
  <c r="E53" i="10" s="1"/>
  <c r="K33" i="1"/>
  <c r="L39" i="1"/>
  <c r="L65" i="1"/>
  <c r="L84" i="1" s="1"/>
  <c r="BG53" i="10" s="1"/>
  <c r="K37" i="1"/>
  <c r="K38" i="1" s="1"/>
  <c r="K31" i="1"/>
  <c r="H69" i="1"/>
  <c r="H88" i="1" s="1"/>
  <c r="K54" i="1"/>
  <c r="K32" i="1"/>
  <c r="H68" i="1"/>
  <c r="H87" i="1" s="1"/>
  <c r="L50" i="1"/>
  <c r="L70" i="1" s="1"/>
  <c r="E53" i="7" s="1"/>
  <c r="L51" i="1"/>
  <c r="L71" i="1" s="1"/>
  <c r="K53" i="7" s="1"/>
  <c r="I45" i="1"/>
  <c r="I44" i="1"/>
  <c r="M26" i="1"/>
  <c r="AI9" i="10"/>
  <c r="E10" i="7"/>
  <c r="L29" i="1"/>
  <c r="L28" i="1"/>
  <c r="L27" i="1"/>
  <c r="K9" i="7"/>
  <c r="L49" i="1"/>
  <c r="AU9" i="10"/>
  <c r="AO9" i="10"/>
  <c r="N4" i="1"/>
  <c r="M25" i="1"/>
  <c r="M49" i="1" s="1"/>
  <c r="O14" i="10"/>
  <c r="AC9" i="10"/>
  <c r="BA9" i="10"/>
  <c r="AM13" i="10"/>
  <c r="I14" i="10"/>
  <c r="C13" i="7"/>
  <c r="I55" i="7"/>
  <c r="C14" i="10"/>
  <c r="U15" i="7"/>
  <c r="AY14" i="10"/>
  <c r="AS13" i="10"/>
  <c r="C55" i="10"/>
  <c r="O55" i="10"/>
  <c r="AA13" i="10"/>
  <c r="I14" i="7"/>
  <c r="C57" i="7"/>
  <c r="U14" i="10"/>
  <c r="BE14" i="10"/>
  <c r="AA14" i="7"/>
  <c r="AG14" i="7"/>
  <c r="AG13" i="10"/>
  <c r="I57" i="10"/>
  <c r="J130" i="18" l="1"/>
  <c r="H58" i="18"/>
  <c r="H59" i="18"/>
  <c r="J131" i="18"/>
  <c r="H121" i="23"/>
  <c r="H89" i="23"/>
  <c r="H137" i="23"/>
  <c r="H102" i="23"/>
  <c r="H78" i="23"/>
  <c r="C150" i="23"/>
  <c r="H133" i="23"/>
  <c r="H131" i="24"/>
  <c r="H6" i="24"/>
  <c r="J78" i="24"/>
  <c r="C78" i="24" s="1"/>
  <c r="H99" i="24"/>
  <c r="H136" i="24"/>
  <c r="H120" i="24"/>
  <c r="H61" i="24"/>
  <c r="J133" i="24"/>
  <c r="C133" i="24" s="1"/>
  <c r="H101" i="24"/>
  <c r="H92" i="24"/>
  <c r="J137" i="24"/>
  <c r="C137" i="24" s="1"/>
  <c r="J121" i="24"/>
  <c r="C121" i="24" s="1"/>
  <c r="H118" i="24"/>
  <c r="H132" i="24"/>
  <c r="H129" i="24"/>
  <c r="H17" i="24"/>
  <c r="J89" i="24"/>
  <c r="C89" i="24" s="1"/>
  <c r="H125" i="24"/>
  <c r="H77" i="24"/>
  <c r="H103" i="24"/>
  <c r="H81" i="24"/>
  <c r="H47" i="24"/>
  <c r="J119" i="24"/>
  <c r="C119" i="24" s="1"/>
  <c r="H30" i="24"/>
  <c r="J102" i="24"/>
  <c r="C102" i="24" s="1"/>
  <c r="H87" i="24"/>
  <c r="H88" i="24"/>
  <c r="H130" i="24"/>
  <c r="H89" i="22"/>
  <c r="H133" i="22"/>
  <c r="H78" i="22"/>
  <c r="H121" i="22"/>
  <c r="H137" i="22"/>
  <c r="H102" i="22"/>
  <c r="H137" i="18"/>
  <c r="H67" i="18"/>
  <c r="J139" i="18"/>
  <c r="H102" i="18"/>
  <c r="H89" i="18"/>
  <c r="H77" i="18"/>
  <c r="H78" i="18"/>
  <c r="H133" i="18"/>
  <c r="K74" i="1"/>
  <c r="AC52" i="7" s="1"/>
  <c r="K55" i="1"/>
  <c r="Q10" i="7"/>
  <c r="J68" i="18"/>
  <c r="J66" i="18"/>
  <c r="K77" i="1"/>
  <c r="Q52" i="10" s="1"/>
  <c r="Q10" i="10"/>
  <c r="J67" i="23"/>
  <c r="C67" i="23" s="1"/>
  <c r="L32" i="1"/>
  <c r="L57" i="1" s="1"/>
  <c r="N41" i="1"/>
  <c r="N40" i="1"/>
  <c r="N26" i="1"/>
  <c r="E11" i="10"/>
  <c r="J67" i="22"/>
  <c r="H61" i="18"/>
  <c r="H72" i="18"/>
  <c r="L34" i="1"/>
  <c r="L58" i="1" s="1"/>
  <c r="L52" i="1"/>
  <c r="L72" i="1" s="1"/>
  <c r="Q53" i="7" s="1"/>
  <c r="AC7" i="7"/>
  <c r="L53" i="1"/>
  <c r="L73" i="1" s="1"/>
  <c r="W53" i="7" s="1"/>
  <c r="L37" i="1"/>
  <c r="L38" i="1" s="1"/>
  <c r="K60" i="1"/>
  <c r="K79" i="1" s="1"/>
  <c r="AC52" i="10" s="1"/>
  <c r="I68" i="1"/>
  <c r="I87" i="1" s="1"/>
  <c r="L35" i="1"/>
  <c r="K61" i="1"/>
  <c r="K80" i="1" s="1"/>
  <c r="AI52" i="10" s="1"/>
  <c r="K63" i="1"/>
  <c r="K82" i="1" s="1"/>
  <c r="AU52" i="10" s="1"/>
  <c r="L33" i="1"/>
  <c r="L59" i="1" s="1"/>
  <c r="L31" i="1"/>
  <c r="K64" i="1"/>
  <c r="K83" i="1" s="1"/>
  <c r="BA52" i="10" s="1"/>
  <c r="L54" i="1"/>
  <c r="M39" i="1"/>
  <c r="M65" i="1"/>
  <c r="M84" i="1" s="1"/>
  <c r="BG54" i="10" s="1"/>
  <c r="AI7" i="7"/>
  <c r="K59" i="1"/>
  <c r="M30" i="1"/>
  <c r="M31" i="1" s="1"/>
  <c r="M56" i="1"/>
  <c r="M75" i="1" s="1"/>
  <c r="E54" i="10" s="1"/>
  <c r="E44" i="1"/>
  <c r="I69" i="1"/>
  <c r="I88" i="1" s="1"/>
  <c r="L62" i="1"/>
  <c r="L81" i="1" s="1"/>
  <c r="AO53" i="10" s="1"/>
  <c r="L64" i="1"/>
  <c r="L83" i="1" s="1"/>
  <c r="L63" i="1"/>
  <c r="L82" i="1" s="1"/>
  <c r="BG11" i="10"/>
  <c r="M50" i="1"/>
  <c r="M70" i="1" s="1"/>
  <c r="E54" i="7" s="1"/>
  <c r="M51" i="1"/>
  <c r="M71" i="1" s="1"/>
  <c r="K54" i="7" s="1"/>
  <c r="K57" i="1"/>
  <c r="N65" i="1"/>
  <c r="N84" i="1" s="1"/>
  <c r="BG55" i="10" s="1"/>
  <c r="AI8" i="7"/>
  <c r="BW15" i="10"/>
  <c r="E45" i="1"/>
  <c r="AC8" i="7"/>
  <c r="AC9" i="7"/>
  <c r="AI9" i="7"/>
  <c r="AO10" i="10"/>
  <c r="E11" i="7"/>
  <c r="K10" i="7"/>
  <c r="O15" i="10"/>
  <c r="N25" i="1"/>
  <c r="N49" i="1" s="1"/>
  <c r="O4" i="1"/>
  <c r="M28" i="1"/>
  <c r="M29" i="1"/>
  <c r="M27" i="1"/>
  <c r="AM14" i="10"/>
  <c r="I15" i="10"/>
  <c r="C14" i="7"/>
  <c r="AS14" i="10"/>
  <c r="AG15" i="7"/>
  <c r="C58" i="7"/>
  <c r="C56" i="10"/>
  <c r="C15" i="10"/>
  <c r="I56" i="7"/>
  <c r="U15" i="10"/>
  <c r="AY15" i="10"/>
  <c r="AA15" i="7"/>
  <c r="I15" i="7"/>
  <c r="AA14" i="10"/>
  <c r="I58" i="10"/>
  <c r="O56" i="10"/>
  <c r="AG14" i="10"/>
  <c r="U16" i="7"/>
  <c r="BE15" i="10"/>
  <c r="H131" i="18" l="1"/>
  <c r="H130" i="18"/>
  <c r="H67" i="23"/>
  <c r="J139" i="23"/>
  <c r="C139" i="23" s="1"/>
  <c r="H121" i="24"/>
  <c r="H133" i="24"/>
  <c r="H89" i="24"/>
  <c r="H102" i="24"/>
  <c r="H78" i="24"/>
  <c r="H137" i="24"/>
  <c r="H67" i="22"/>
  <c r="J139" i="22"/>
  <c r="H139" i="18"/>
  <c r="H66" i="18"/>
  <c r="J138" i="18"/>
  <c r="J140" i="18"/>
  <c r="Q11" i="7"/>
  <c r="BA53" i="10"/>
  <c r="AU53" i="10"/>
  <c r="L74" i="1"/>
  <c r="AC53" i="7" s="1"/>
  <c r="L55" i="1"/>
  <c r="AU10" i="10"/>
  <c r="AC10" i="10"/>
  <c r="J68" i="22"/>
  <c r="J66" i="22"/>
  <c r="BA10" i="10"/>
  <c r="J68" i="23"/>
  <c r="C68" i="23" s="1"/>
  <c r="J66" i="23"/>
  <c r="C66" i="23" s="1"/>
  <c r="H65" i="24"/>
  <c r="J67" i="24"/>
  <c r="C67" i="24" s="1"/>
  <c r="J68" i="24"/>
  <c r="C68" i="24" s="1"/>
  <c r="J66" i="24"/>
  <c r="C66" i="24" s="1"/>
  <c r="J69" i="18"/>
  <c r="H68" i="18"/>
  <c r="E12" i="10"/>
  <c r="H65" i="23"/>
  <c r="H65" i="22"/>
  <c r="O40" i="1"/>
  <c r="O26" i="1"/>
  <c r="O41" i="1"/>
  <c r="AI10" i="10"/>
  <c r="BG12" i="10"/>
  <c r="L78" i="1"/>
  <c r="W11" i="10"/>
  <c r="N39" i="1"/>
  <c r="M34" i="1"/>
  <c r="M36" i="1"/>
  <c r="M63" i="1" s="1"/>
  <c r="M82" i="1" s="1"/>
  <c r="AU54" i="10" s="1"/>
  <c r="M37" i="1"/>
  <c r="M38" i="1" s="1"/>
  <c r="M53" i="1"/>
  <c r="M73" i="1" s="1"/>
  <c r="W54" i="7" s="1"/>
  <c r="M52" i="1"/>
  <c r="M72" i="1" s="1"/>
  <c r="Q54" i="7" s="1"/>
  <c r="M32" i="1"/>
  <c r="M57" i="1" s="1"/>
  <c r="M76" i="1" s="1"/>
  <c r="M60" i="1"/>
  <c r="M79" i="1" s="1"/>
  <c r="AC54" i="10" s="1"/>
  <c r="L60" i="1"/>
  <c r="L79" i="1" s="1"/>
  <c r="AC53" i="10" s="1"/>
  <c r="M33" i="1"/>
  <c r="L61" i="1"/>
  <c r="L80" i="1" s="1"/>
  <c r="AI53" i="10" s="1"/>
  <c r="M35" i="1"/>
  <c r="K11" i="10"/>
  <c r="L76" i="1"/>
  <c r="K53" i="10" s="1"/>
  <c r="Q11" i="10"/>
  <c r="L77" i="1"/>
  <c r="Q53" i="10" s="1"/>
  <c r="K10" i="10"/>
  <c r="K76" i="1"/>
  <c r="K52" i="10" s="1"/>
  <c r="W10" i="10"/>
  <c r="K78" i="1"/>
  <c r="W52" i="10" s="1"/>
  <c r="M54" i="1"/>
  <c r="M59" i="1"/>
  <c r="N30" i="1"/>
  <c r="N56" i="1"/>
  <c r="N75" i="1" s="1"/>
  <c r="E55" i="10" s="1"/>
  <c r="N51" i="1"/>
  <c r="N71" i="1" s="1"/>
  <c r="K55" i="7" s="1"/>
  <c r="N50" i="1"/>
  <c r="N70" i="1" s="1"/>
  <c r="E55" i="7" s="1"/>
  <c r="BW16" i="10"/>
  <c r="O65" i="1"/>
  <c r="O84" i="1" s="1"/>
  <c r="BG56" i="10" s="1"/>
  <c r="BG13" i="10"/>
  <c r="O16" i="10"/>
  <c r="N27" i="1"/>
  <c r="N29" i="1"/>
  <c r="N28" i="1"/>
  <c r="P4" i="1"/>
  <c r="O25" i="1"/>
  <c r="O49" i="1" s="1"/>
  <c r="E12" i="7"/>
  <c r="K11" i="7"/>
  <c r="AO11" i="10"/>
  <c r="BA11" i="10"/>
  <c r="AC11" i="10"/>
  <c r="AU11" i="10"/>
  <c r="AM15" i="10"/>
  <c r="I16" i="10"/>
  <c r="C15" i="7"/>
  <c r="AY16" i="10"/>
  <c r="I57" i="7"/>
  <c r="AG15" i="10"/>
  <c r="C16" i="10"/>
  <c r="I16" i="7"/>
  <c r="AG16" i="7"/>
  <c r="AS15" i="10"/>
  <c r="C59" i="7"/>
  <c r="I59" i="10"/>
  <c r="AA16" i="7"/>
  <c r="BE16" i="10"/>
  <c r="O57" i="10"/>
  <c r="U17" i="7"/>
  <c r="AA15" i="10"/>
  <c r="U16" i="10"/>
  <c r="C57" i="10"/>
  <c r="H66" i="23" l="1"/>
  <c r="J138" i="23"/>
  <c r="C138" i="23" s="1"/>
  <c r="J140" i="23"/>
  <c r="C140" i="23" s="1"/>
  <c r="H139" i="23"/>
  <c r="H66" i="24"/>
  <c r="J138" i="24"/>
  <c r="C138" i="24" s="1"/>
  <c r="J140" i="24"/>
  <c r="C140" i="24" s="1"/>
  <c r="H67" i="24"/>
  <c r="J139" i="24"/>
  <c r="C139" i="24" s="1"/>
  <c r="H66" i="22"/>
  <c r="J138" i="22"/>
  <c r="H139" i="22"/>
  <c r="J140" i="22"/>
  <c r="H140" i="18"/>
  <c r="H138" i="18"/>
  <c r="H69" i="18"/>
  <c r="J141" i="18"/>
  <c r="K54" i="10"/>
  <c r="W53" i="10"/>
  <c r="M74" i="1"/>
  <c r="AC54" i="7" s="1"/>
  <c r="M55" i="1"/>
  <c r="Q12" i="7"/>
  <c r="J69" i="23"/>
  <c r="C69" i="23" s="1"/>
  <c r="H68" i="23"/>
  <c r="M64" i="1"/>
  <c r="M83" i="1" s="1"/>
  <c r="BA54" i="10" s="1"/>
  <c r="AI11" i="10"/>
  <c r="M62" i="1"/>
  <c r="M81" i="1" s="1"/>
  <c r="AO54" i="10" s="1"/>
  <c r="J69" i="24"/>
  <c r="C69" i="24" s="1"/>
  <c r="H68" i="24"/>
  <c r="J69" i="22"/>
  <c r="H68" i="22"/>
  <c r="P40" i="1"/>
  <c r="P65" i="1"/>
  <c r="P84" i="1" s="1"/>
  <c r="BG57" i="10" s="1"/>
  <c r="P41" i="1"/>
  <c r="E13" i="10"/>
  <c r="K12" i="10"/>
  <c r="N52" i="1"/>
  <c r="N72" i="1" s="1"/>
  <c r="Q55" i="7" s="1"/>
  <c r="M58" i="1"/>
  <c r="N53" i="1"/>
  <c r="N73" i="1" s="1"/>
  <c r="W55" i="7" s="1"/>
  <c r="N34" i="1"/>
  <c r="M61" i="1"/>
  <c r="M80" i="1" s="1"/>
  <c r="AI54" i="10" s="1"/>
  <c r="N32" i="1"/>
  <c r="N37" i="1"/>
  <c r="N35" i="1"/>
  <c r="W12" i="10"/>
  <c r="M78" i="1"/>
  <c r="W54" i="10" s="1"/>
  <c r="N33" i="1"/>
  <c r="N31" i="1"/>
  <c r="N36" i="1"/>
  <c r="O39" i="1"/>
  <c r="O30" i="1"/>
  <c r="O31" i="1" s="1"/>
  <c r="O56" i="1"/>
  <c r="O75" i="1" s="1"/>
  <c r="E56" i="10" s="1"/>
  <c r="N54" i="1"/>
  <c r="O50" i="1"/>
  <c r="O70" i="1" s="1"/>
  <c r="E56" i="7" s="1"/>
  <c r="O51" i="1"/>
  <c r="O71" i="1" s="1"/>
  <c r="K56" i="7" s="1"/>
  <c r="BW17" i="10"/>
  <c r="P26" i="1"/>
  <c r="O29" i="1"/>
  <c r="O27" i="1"/>
  <c r="O28" i="1"/>
  <c r="O17" i="10"/>
  <c r="BG14" i="10"/>
  <c r="AC12" i="10"/>
  <c r="AU12" i="10"/>
  <c r="P25" i="1"/>
  <c r="P49" i="1" s="1"/>
  <c r="Q4" i="1"/>
  <c r="BA12" i="10"/>
  <c r="K12" i="7"/>
  <c r="E13" i="7"/>
  <c r="AM16" i="10"/>
  <c r="C16" i="7"/>
  <c r="I17" i="10"/>
  <c r="C58" i="10"/>
  <c r="U17" i="10"/>
  <c r="C60" i="7"/>
  <c r="AG17" i="7"/>
  <c r="AA16" i="10"/>
  <c r="BE17" i="10"/>
  <c r="AY17" i="10"/>
  <c r="AS16" i="10"/>
  <c r="I17" i="7"/>
  <c r="U18" i="7"/>
  <c r="O58" i="10"/>
  <c r="AG16" i="10"/>
  <c r="I60" i="10"/>
  <c r="C17" i="10"/>
  <c r="AA17" i="7"/>
  <c r="I58" i="7"/>
  <c r="H140" i="23" l="1"/>
  <c r="H138" i="23"/>
  <c r="H69" i="23"/>
  <c r="J141" i="23"/>
  <c r="C141" i="23" s="1"/>
  <c r="H140" i="24"/>
  <c r="H138" i="24"/>
  <c r="H139" i="24"/>
  <c r="H69" i="24"/>
  <c r="J141" i="24"/>
  <c r="C141" i="24" s="1"/>
  <c r="H140" i="22"/>
  <c r="H69" i="22"/>
  <c r="J141" i="22"/>
  <c r="H138" i="22"/>
  <c r="H141" i="18"/>
  <c r="Q13" i="7"/>
  <c r="N74" i="1"/>
  <c r="AC55" i="7" s="1"/>
  <c r="N55" i="1"/>
  <c r="AO12" i="10"/>
  <c r="AI12" i="10"/>
  <c r="E14" i="10"/>
  <c r="Q40" i="1"/>
  <c r="Q41" i="1"/>
  <c r="Q26" i="1"/>
  <c r="O60" i="1"/>
  <c r="O79" i="1" s="1"/>
  <c r="O33" i="1"/>
  <c r="O59" i="1" s="1"/>
  <c r="N64" i="1"/>
  <c r="N83" i="1" s="1"/>
  <c r="BA55" i="10" s="1"/>
  <c r="N38" i="1"/>
  <c r="N60" i="1"/>
  <c r="N79" i="1" s="1"/>
  <c r="AC55" i="10" s="1"/>
  <c r="O35" i="1"/>
  <c r="O36" i="1"/>
  <c r="O64" i="1" s="1"/>
  <c r="O83" i="1" s="1"/>
  <c r="BA56" i="10" s="1"/>
  <c r="N57" i="1"/>
  <c r="N59" i="1"/>
  <c r="M77" i="1"/>
  <c r="Q54" i="10" s="1"/>
  <c r="Q12" i="10"/>
  <c r="O52" i="1"/>
  <c r="O72" i="1" s="1"/>
  <c r="Q56" i="7" s="1"/>
  <c r="O34" i="1"/>
  <c r="O58" i="1" s="1"/>
  <c r="N58" i="1"/>
  <c r="O32" i="1"/>
  <c r="O37" i="1"/>
  <c r="O38" i="1" s="1"/>
  <c r="O53" i="1"/>
  <c r="O73" i="1" s="1"/>
  <c r="W56" i="7" s="1"/>
  <c r="N61" i="1"/>
  <c r="N80" i="1" s="1"/>
  <c r="AI55" i="10" s="1"/>
  <c r="N62" i="1"/>
  <c r="N81" i="1" s="1"/>
  <c r="AO55" i="10" s="1"/>
  <c r="N63" i="1"/>
  <c r="N82" i="1" s="1"/>
  <c r="AU55" i="10" s="1"/>
  <c r="P30" i="1"/>
  <c r="P36" i="1" s="1"/>
  <c r="P56" i="1"/>
  <c r="P75" i="1" s="1"/>
  <c r="E57" i="10" s="1"/>
  <c r="P50" i="1"/>
  <c r="P70" i="1" s="1"/>
  <c r="E57" i="7" s="1"/>
  <c r="P51" i="1"/>
  <c r="P71" i="1" s="1"/>
  <c r="K57" i="7" s="1"/>
  <c r="O54" i="1"/>
  <c r="P39" i="1"/>
  <c r="BW18" i="10"/>
  <c r="BW19" i="10" s="1"/>
  <c r="O18" i="10"/>
  <c r="AI13" i="10"/>
  <c r="K13" i="7"/>
  <c r="P28" i="1"/>
  <c r="P29" i="1"/>
  <c r="P27" i="1"/>
  <c r="BA13" i="10"/>
  <c r="E14" i="7"/>
  <c r="R4" i="1"/>
  <c r="Q25" i="1"/>
  <c r="Q49" i="1" s="1"/>
  <c r="AM17" i="10"/>
  <c r="C17" i="7"/>
  <c r="I18" i="10"/>
  <c r="U19" i="7"/>
  <c r="AY18" i="10"/>
  <c r="AA17" i="10"/>
  <c r="O59" i="10"/>
  <c r="I59" i="7"/>
  <c r="AG18" i="7"/>
  <c r="I18" i="7"/>
  <c r="C61" i="7"/>
  <c r="BE18" i="10"/>
  <c r="C18" i="10"/>
  <c r="AG17" i="10"/>
  <c r="AA18" i="7"/>
  <c r="AS17" i="10"/>
  <c r="I61" i="10"/>
  <c r="U18" i="10"/>
  <c r="C59" i="10"/>
  <c r="H141" i="23" l="1"/>
  <c r="H141" i="24"/>
  <c r="H141" i="22"/>
  <c r="AC56" i="10"/>
  <c r="Q14" i="7"/>
  <c r="O74" i="1"/>
  <c r="AC56" i="7" s="1"/>
  <c r="O55" i="1"/>
  <c r="AC13" i="10"/>
  <c r="P31" i="1"/>
  <c r="P60" i="1" s="1"/>
  <c r="P79" i="1" s="1"/>
  <c r="AC57" i="10" s="1"/>
  <c r="P34" i="1"/>
  <c r="P58" i="1" s="1"/>
  <c r="P77" i="1" s="1"/>
  <c r="P37" i="1"/>
  <c r="P38" i="1" s="1"/>
  <c r="R40" i="1"/>
  <c r="R26" i="1"/>
  <c r="AO13" i="10"/>
  <c r="O78" i="1"/>
  <c r="W14" i="10"/>
  <c r="P35" i="1"/>
  <c r="P61" i="1" s="1"/>
  <c r="P80" i="1" s="1"/>
  <c r="AI57" i="10" s="1"/>
  <c r="P32" i="1"/>
  <c r="P57" i="1" s="1"/>
  <c r="O77" i="1"/>
  <c r="Q14" i="10"/>
  <c r="E15" i="10"/>
  <c r="O62" i="1"/>
  <c r="O81" i="1" s="1"/>
  <c r="AO56" i="10" s="1"/>
  <c r="O63" i="1"/>
  <c r="O82" i="1" s="1"/>
  <c r="AU56" i="10" s="1"/>
  <c r="O61" i="1"/>
  <c r="O80" i="1" s="1"/>
  <c r="AI56" i="10" s="1"/>
  <c r="P53" i="1"/>
  <c r="P73" i="1" s="1"/>
  <c r="W57" i="7" s="1"/>
  <c r="P52" i="1"/>
  <c r="P72" i="1" s="1"/>
  <c r="Q57" i="7" s="1"/>
  <c r="N77" i="1"/>
  <c r="Q55" i="10" s="1"/>
  <c r="Q13" i="10"/>
  <c r="N78" i="1"/>
  <c r="W55" i="10" s="1"/>
  <c r="W13" i="10"/>
  <c r="AU13" i="10"/>
  <c r="N76" i="1"/>
  <c r="K55" i="10" s="1"/>
  <c r="K13" i="10"/>
  <c r="O57" i="1"/>
  <c r="P33" i="1"/>
  <c r="BG15" i="10"/>
  <c r="Q30" i="1"/>
  <c r="Q31" i="1" s="1"/>
  <c r="Q56" i="1"/>
  <c r="Q75" i="1" s="1"/>
  <c r="E58" i="10" s="1"/>
  <c r="P63" i="1"/>
  <c r="P82" i="1" s="1"/>
  <c r="AU57" i="10" s="1"/>
  <c r="P64" i="1"/>
  <c r="P83" i="1" s="1"/>
  <c r="BA57" i="10" s="1"/>
  <c r="P62" i="1"/>
  <c r="P81" i="1" s="1"/>
  <c r="Q39" i="1"/>
  <c r="Q65" i="1"/>
  <c r="Q84" i="1" s="1"/>
  <c r="BG58" i="10" s="1"/>
  <c r="Q50" i="1"/>
  <c r="Q70" i="1" s="1"/>
  <c r="E58" i="7" s="1"/>
  <c r="Q51" i="1"/>
  <c r="Q71" i="1" s="1"/>
  <c r="K58" i="7" s="1"/>
  <c r="P54" i="1"/>
  <c r="R65" i="1"/>
  <c r="R84" i="1" s="1"/>
  <c r="R41" i="1"/>
  <c r="AC14" i="10"/>
  <c r="O19" i="10"/>
  <c r="BA14" i="10"/>
  <c r="AI14" i="10"/>
  <c r="E15" i="7"/>
  <c r="Q32" i="1"/>
  <c r="Q15" i="10"/>
  <c r="Q28" i="1"/>
  <c r="Q29" i="1"/>
  <c r="Q27" i="1"/>
  <c r="K14" i="7"/>
  <c r="S4" i="1"/>
  <c r="R25" i="1"/>
  <c r="R49" i="1" s="1"/>
  <c r="AU14" i="10"/>
  <c r="AM18" i="10"/>
  <c r="C18" i="7"/>
  <c r="I19" i="10"/>
  <c r="C60" i="10"/>
  <c r="AG19" i="7"/>
  <c r="AG18" i="10"/>
  <c r="O60" i="10"/>
  <c r="AY19" i="10"/>
  <c r="U19" i="10"/>
  <c r="AS18" i="10"/>
  <c r="C19" i="10"/>
  <c r="I62" i="10"/>
  <c r="BE19" i="10"/>
  <c r="I19" i="7"/>
  <c r="U20" i="7"/>
  <c r="AA19" i="7"/>
  <c r="C62" i="7"/>
  <c r="AA18" i="10"/>
  <c r="I60" i="7"/>
  <c r="Q35" i="1" l="1"/>
  <c r="Q57" i="10"/>
  <c r="AO57" i="10"/>
  <c r="Q56" i="10"/>
  <c r="BG59" i="10"/>
  <c r="W56" i="10"/>
  <c r="Q15" i="7"/>
  <c r="P74" i="1"/>
  <c r="AC57" i="7" s="1"/>
  <c r="P55" i="1"/>
  <c r="P76" i="1"/>
  <c r="K57" i="10" s="1"/>
  <c r="K15" i="10"/>
  <c r="S40" i="1"/>
  <c r="S26" i="1"/>
  <c r="S41" i="1"/>
  <c r="Q34" i="1"/>
  <c r="Q58" i="1" s="1"/>
  <c r="BG16" i="10"/>
  <c r="AO14" i="10"/>
  <c r="Q37" i="1"/>
  <c r="Q38" i="1" s="1"/>
  <c r="Q53" i="1"/>
  <c r="Q73" i="1" s="1"/>
  <c r="W58" i="7" s="1"/>
  <c r="O76" i="1"/>
  <c r="K56" i="10" s="1"/>
  <c r="K14" i="10"/>
  <c r="Q52" i="1"/>
  <c r="Q72" i="1" s="1"/>
  <c r="Q58" i="7" s="1"/>
  <c r="Q60" i="1"/>
  <c r="Q79" i="1" s="1"/>
  <c r="AC58" i="10" s="1"/>
  <c r="Q36" i="1"/>
  <c r="Q63" i="1" s="1"/>
  <c r="Q82" i="1" s="1"/>
  <c r="AU58" i="10" s="1"/>
  <c r="P59" i="1"/>
  <c r="E16" i="10"/>
  <c r="Q61" i="1"/>
  <c r="Q80" i="1" s="1"/>
  <c r="AI58" i="10" s="1"/>
  <c r="Q33" i="1"/>
  <c r="Q59" i="1" s="1"/>
  <c r="R39" i="1"/>
  <c r="R51" i="1"/>
  <c r="R71" i="1" s="1"/>
  <c r="K59" i="7" s="1"/>
  <c r="R50" i="1"/>
  <c r="R70" i="1" s="1"/>
  <c r="E59" i="7" s="1"/>
  <c r="R30" i="1"/>
  <c r="R36" i="1" s="1"/>
  <c r="R56" i="1"/>
  <c r="R75" i="1" s="1"/>
  <c r="E59" i="10" s="1"/>
  <c r="Q54" i="1"/>
  <c r="Q57" i="1"/>
  <c r="Q76" i="1" s="1"/>
  <c r="BW20" i="10"/>
  <c r="S65" i="1"/>
  <c r="S84" i="1" s="1"/>
  <c r="BG60" i="10" s="1"/>
  <c r="T4" i="1"/>
  <c r="S25" i="1"/>
  <c r="S49" i="1" s="1"/>
  <c r="O20" i="10"/>
  <c r="K15" i="7"/>
  <c r="AU15" i="10"/>
  <c r="R29" i="1"/>
  <c r="R27" i="1"/>
  <c r="R28" i="1"/>
  <c r="AO15" i="10"/>
  <c r="BG17" i="10"/>
  <c r="BA15" i="10"/>
  <c r="E16" i="7"/>
  <c r="AC15" i="10"/>
  <c r="AI15" i="10"/>
  <c r="AM19" i="10"/>
  <c r="C19" i="7"/>
  <c r="I20" i="10"/>
  <c r="U21" i="7"/>
  <c r="AA19" i="10"/>
  <c r="I63" i="10"/>
  <c r="AG20" i="7"/>
  <c r="U20" i="10"/>
  <c r="BE20" i="10"/>
  <c r="O61" i="10"/>
  <c r="C20" i="10"/>
  <c r="I61" i="7"/>
  <c r="AG19" i="10"/>
  <c r="C61" i="10"/>
  <c r="C63" i="7"/>
  <c r="AA20" i="7"/>
  <c r="I20" i="7"/>
  <c r="AS19" i="10"/>
  <c r="AY20" i="10"/>
  <c r="K58" i="10" l="1"/>
  <c r="Q74" i="1"/>
  <c r="AC58" i="7" s="1"/>
  <c r="Q55" i="1"/>
  <c r="E17" i="10"/>
  <c r="Q16" i="7"/>
  <c r="T41" i="1"/>
  <c r="T40" i="1"/>
  <c r="Q64" i="1"/>
  <c r="Q83" i="1" s="1"/>
  <c r="BA58" i="10" s="1"/>
  <c r="Q62" i="1"/>
  <c r="Q81" i="1" s="1"/>
  <c r="AO58" i="10" s="1"/>
  <c r="K16" i="10"/>
  <c r="R37" i="1"/>
  <c r="R31" i="1"/>
  <c r="R53" i="1"/>
  <c r="R73" i="1" s="1"/>
  <c r="W59" i="7" s="1"/>
  <c r="P78" i="1"/>
  <c r="W57" i="10" s="1"/>
  <c r="W15" i="10"/>
  <c r="R52" i="1"/>
  <c r="R72" i="1" s="1"/>
  <c r="Q59" i="7" s="1"/>
  <c r="R35" i="1"/>
  <c r="R33" i="1"/>
  <c r="R34" i="1"/>
  <c r="R32" i="1"/>
  <c r="W16" i="10"/>
  <c r="Q78" i="1"/>
  <c r="W58" i="10" s="1"/>
  <c r="S39" i="1"/>
  <c r="Q16" i="10"/>
  <c r="Q77" i="1"/>
  <c r="Q58" i="10" s="1"/>
  <c r="R59" i="1"/>
  <c r="R78" i="1" s="1"/>
  <c r="R54" i="1"/>
  <c r="S50" i="1"/>
  <c r="S70" i="1" s="1"/>
  <c r="E60" i="7" s="1"/>
  <c r="S51" i="1"/>
  <c r="S71" i="1" s="1"/>
  <c r="K60" i="7" s="1"/>
  <c r="S30" i="1"/>
  <c r="S32" i="1" s="1"/>
  <c r="S56" i="1"/>
  <c r="S75" i="1" s="1"/>
  <c r="E60" i="10" s="1"/>
  <c r="R62" i="1"/>
  <c r="R81" i="1" s="1"/>
  <c r="AO59" i="10" s="1"/>
  <c r="R64" i="1"/>
  <c r="R83" i="1" s="1"/>
  <c r="R63" i="1"/>
  <c r="R82" i="1" s="1"/>
  <c r="AU59" i="10" s="1"/>
  <c r="T65" i="1"/>
  <c r="T84" i="1" s="1"/>
  <c r="BG61" i="10" s="1"/>
  <c r="BW21" i="10"/>
  <c r="T39" i="1"/>
  <c r="T26" i="1"/>
  <c r="S27" i="1"/>
  <c r="S29" i="1"/>
  <c r="S28" i="1"/>
  <c r="BG18" i="10"/>
  <c r="O21" i="10"/>
  <c r="U4" i="1"/>
  <c r="T25" i="1"/>
  <c r="AI16" i="10"/>
  <c r="K16" i="7"/>
  <c r="R38" i="1"/>
  <c r="AC16" i="10"/>
  <c r="AU16" i="10"/>
  <c r="E17" i="7"/>
  <c r="BA16" i="10"/>
  <c r="AM20" i="10"/>
  <c r="C20" i="7"/>
  <c r="I21" i="10"/>
  <c r="AA21" i="7"/>
  <c r="I64" i="10"/>
  <c r="AS20" i="10"/>
  <c r="U21" i="10"/>
  <c r="AG21" i="7"/>
  <c r="C62" i="10"/>
  <c r="AG20" i="10"/>
  <c r="C64" i="7"/>
  <c r="O62" i="10"/>
  <c r="I21" i="7"/>
  <c r="AY21" i="10"/>
  <c r="C21" i="10"/>
  <c r="U22" i="7"/>
  <c r="AA20" i="10"/>
  <c r="I62" i="7"/>
  <c r="BE21" i="10"/>
  <c r="BA59" i="10" l="1"/>
  <c r="W59" i="10"/>
  <c r="R74" i="1"/>
  <c r="AC59" i="7" s="1"/>
  <c r="R55" i="1"/>
  <c r="AO16" i="10"/>
  <c r="U41" i="1"/>
  <c r="U40" i="1"/>
  <c r="E18" i="10"/>
  <c r="S34" i="1"/>
  <c r="S58" i="1" s="1"/>
  <c r="S77" i="1" s="1"/>
  <c r="Q60" i="10" s="1"/>
  <c r="S35" i="1"/>
  <c r="S61" i="1" s="1"/>
  <c r="S80" i="1" s="1"/>
  <c r="S36" i="1"/>
  <c r="S63" i="1" s="1"/>
  <c r="S82" i="1" s="1"/>
  <c r="AU60" i="10" s="1"/>
  <c r="W17" i="10"/>
  <c r="Q17" i="7"/>
  <c r="S52" i="1"/>
  <c r="S72" i="1" s="1"/>
  <c r="Q60" i="7" s="1"/>
  <c r="S37" i="1"/>
  <c r="S38" i="1" s="1"/>
  <c r="S53" i="1"/>
  <c r="S73" i="1" s="1"/>
  <c r="W60" i="7" s="1"/>
  <c r="R57" i="1"/>
  <c r="R61" i="1"/>
  <c r="R80" i="1" s="1"/>
  <c r="AI59" i="10" s="1"/>
  <c r="S33" i="1"/>
  <c r="S59" i="1" s="1"/>
  <c r="S78" i="1" s="1"/>
  <c r="W60" i="10" s="1"/>
  <c r="R58" i="1"/>
  <c r="R77" i="1" s="1"/>
  <c r="Q59" i="10" s="1"/>
  <c r="R60" i="1"/>
  <c r="R79" i="1" s="1"/>
  <c r="AC59" i="10" s="1"/>
  <c r="S31" i="1"/>
  <c r="T51" i="1"/>
  <c r="T71" i="1" s="1"/>
  <c r="K61" i="7" s="1"/>
  <c r="T50" i="1"/>
  <c r="T70" i="1" s="1"/>
  <c r="E61" i="7" s="1"/>
  <c r="S57" i="1"/>
  <c r="S76" i="1" s="1"/>
  <c r="S54" i="1"/>
  <c r="T30" i="1"/>
  <c r="T31" i="1" s="1"/>
  <c r="T56" i="1"/>
  <c r="T75" i="1" s="1"/>
  <c r="E61" i="10" s="1"/>
  <c r="BW22" i="10"/>
  <c r="U26" i="1"/>
  <c r="S45" i="1"/>
  <c r="K45" i="1"/>
  <c r="Q44" i="1"/>
  <c r="P44" i="1"/>
  <c r="Q45" i="1"/>
  <c r="O44" i="1"/>
  <c r="N44" i="1"/>
  <c r="N45" i="1"/>
  <c r="M45" i="1"/>
  <c r="K44" i="1"/>
  <c r="R44" i="1"/>
  <c r="R45" i="1"/>
  <c r="P45" i="1"/>
  <c r="O45" i="1"/>
  <c r="M44" i="1"/>
  <c r="L44" i="1"/>
  <c r="S44" i="1"/>
  <c r="L45" i="1"/>
  <c r="BG19" i="10"/>
  <c r="K17" i="7"/>
  <c r="AC17" i="10"/>
  <c r="T49" i="1"/>
  <c r="BA17" i="10"/>
  <c r="AU17" i="10"/>
  <c r="O22" i="10"/>
  <c r="Q18" i="10"/>
  <c r="V4" i="1"/>
  <c r="U25" i="1"/>
  <c r="E18" i="7"/>
  <c r="T29" i="1"/>
  <c r="T28" i="1"/>
  <c r="T27" i="1"/>
  <c r="AO17" i="10"/>
  <c r="AM21" i="10"/>
  <c r="I22" i="10"/>
  <c r="C21" i="7"/>
  <c r="AS21" i="10"/>
  <c r="I65" i="10"/>
  <c r="O63" i="10"/>
  <c r="I22" i="7"/>
  <c r="C63" i="10"/>
  <c r="AA22" i="7"/>
  <c r="U23" i="7"/>
  <c r="AY22" i="10"/>
  <c r="U22" i="10"/>
  <c r="BE22" i="10"/>
  <c r="C22" i="10"/>
  <c r="AG22" i="7"/>
  <c r="I63" i="7"/>
  <c r="AA21" i="10"/>
  <c r="C65" i="7"/>
  <c r="AG21" i="10"/>
  <c r="AI60" i="10" l="1"/>
  <c r="S74" i="1"/>
  <c r="AC60" i="7" s="1"/>
  <c r="S55" i="1"/>
  <c r="AI17" i="10"/>
  <c r="T33" i="1"/>
  <c r="W18" i="10"/>
  <c r="S62" i="1"/>
  <c r="S81" i="1" s="1"/>
  <c r="AO60" i="10" s="1"/>
  <c r="S64" i="1"/>
  <c r="S83" i="1" s="1"/>
  <c r="BA60" i="10" s="1"/>
  <c r="K18" i="10"/>
  <c r="V41" i="1"/>
  <c r="V40" i="1"/>
  <c r="V65" i="1"/>
  <c r="V84" i="1" s="1"/>
  <c r="V26" i="1"/>
  <c r="T37" i="1"/>
  <c r="T38" i="1" s="1"/>
  <c r="T36" i="1"/>
  <c r="T62" i="1" s="1"/>
  <c r="T81" i="1" s="1"/>
  <c r="AO61" i="10" s="1"/>
  <c r="T35" i="1"/>
  <c r="T61" i="1" s="1"/>
  <c r="T80" i="1" s="1"/>
  <c r="AI61" i="10" s="1"/>
  <c r="T32" i="1"/>
  <c r="T57" i="1" s="1"/>
  <c r="T34" i="1"/>
  <c r="T58" i="1" s="1"/>
  <c r="T77" i="1" s="1"/>
  <c r="Q61" i="10" s="1"/>
  <c r="Q17" i="10"/>
  <c r="P69" i="1"/>
  <c r="P88" i="1" s="1"/>
  <c r="S60" i="1"/>
  <c r="S79" i="1" s="1"/>
  <c r="AC60" i="10" s="1"/>
  <c r="R76" i="1"/>
  <c r="K59" i="10" s="1"/>
  <c r="K17" i="10"/>
  <c r="T52" i="1"/>
  <c r="T72" i="1" s="1"/>
  <c r="Q61" i="7" s="1"/>
  <c r="T53" i="1"/>
  <c r="T73" i="1" s="1"/>
  <c r="W61" i="7" s="1"/>
  <c r="T60" i="1"/>
  <c r="T79" i="1" s="1"/>
  <c r="AC61" i="10" s="1"/>
  <c r="Q18" i="7"/>
  <c r="E19" i="10"/>
  <c r="L68" i="1"/>
  <c r="L87" i="1" s="1"/>
  <c r="K69" i="1"/>
  <c r="K88" i="1" s="1"/>
  <c r="K68" i="1"/>
  <c r="K87" i="1" s="1"/>
  <c r="T54" i="1"/>
  <c r="T59" i="1"/>
  <c r="T78" i="1" s="1"/>
  <c r="W61" i="10" s="1"/>
  <c r="S69" i="1"/>
  <c r="S88" i="1" s="1"/>
  <c r="M68" i="1"/>
  <c r="S68" i="1"/>
  <c r="M69" i="1"/>
  <c r="AI13" i="7"/>
  <c r="N69" i="1"/>
  <c r="N88" i="1" s="1"/>
  <c r="U30" i="1"/>
  <c r="U56" i="1"/>
  <c r="U75" i="1" s="1"/>
  <c r="E62" i="10" s="1"/>
  <c r="L69" i="1"/>
  <c r="L88" i="1" s="1"/>
  <c r="O68" i="1"/>
  <c r="O87" i="1" s="1"/>
  <c r="O69" i="1"/>
  <c r="O88" i="1" s="1"/>
  <c r="U50" i="1"/>
  <c r="U70" i="1" s="1"/>
  <c r="E62" i="7" s="1"/>
  <c r="U51" i="1"/>
  <c r="U71" i="1" s="1"/>
  <c r="K62" i="7" s="1"/>
  <c r="P68" i="1"/>
  <c r="P87" i="1" s="1"/>
  <c r="Q68" i="1"/>
  <c r="Q87" i="1" s="1"/>
  <c r="U39" i="1"/>
  <c r="U65" i="1"/>
  <c r="U84" i="1" s="1"/>
  <c r="BG62" i="10" s="1"/>
  <c r="N68" i="1"/>
  <c r="N87" i="1" s="1"/>
  <c r="R68" i="1"/>
  <c r="R87" i="1" s="1"/>
  <c r="R69" i="1"/>
  <c r="R88" i="1" s="1"/>
  <c r="Q69" i="1"/>
  <c r="Q88" i="1" s="1"/>
  <c r="BW23" i="10"/>
  <c r="AI18" i="7"/>
  <c r="AI19" i="7"/>
  <c r="AC15" i="7"/>
  <c r="AC14" i="7"/>
  <c r="AI15" i="7"/>
  <c r="E19" i="7"/>
  <c r="BA18" i="10"/>
  <c r="U49" i="1"/>
  <c r="K18" i="7"/>
  <c r="W4" i="1"/>
  <c r="V25" i="1"/>
  <c r="AO18" i="10"/>
  <c r="AC18" i="10"/>
  <c r="O23" i="10"/>
  <c r="AU18" i="10"/>
  <c r="U29" i="1"/>
  <c r="U28" i="1"/>
  <c r="U27" i="1"/>
  <c r="AI18" i="10"/>
  <c r="AM22" i="10"/>
  <c r="C22" i="7"/>
  <c r="I23" i="10"/>
  <c r="C66" i="7"/>
  <c r="I64" i="7"/>
  <c r="AG23" i="7"/>
  <c r="BE23" i="10"/>
  <c r="C64" i="10"/>
  <c r="AA22" i="10"/>
  <c r="I66" i="10"/>
  <c r="U23" i="10"/>
  <c r="C23" i="10"/>
  <c r="I23" i="7"/>
  <c r="U24" i="7"/>
  <c r="O64" i="10"/>
  <c r="AA23" i="7"/>
  <c r="AG22" i="10"/>
  <c r="AY23" i="10"/>
  <c r="AS22" i="10"/>
  <c r="BG63" i="10" l="1"/>
  <c r="K60" i="10"/>
  <c r="T74" i="1"/>
  <c r="AC61" i="7" s="1"/>
  <c r="T55" i="1"/>
  <c r="AC19" i="7" s="1"/>
  <c r="T63" i="1"/>
  <c r="T82" i="1" s="1"/>
  <c r="AU61" i="10" s="1"/>
  <c r="T64" i="1"/>
  <c r="T83" i="1" s="1"/>
  <c r="BA61" i="10" s="1"/>
  <c r="T76" i="1"/>
  <c r="K61" i="10" s="1"/>
  <c r="K19" i="10"/>
  <c r="W19" i="10"/>
  <c r="W40" i="1"/>
  <c r="W41" i="1"/>
  <c r="Q19" i="7"/>
  <c r="Q19" i="10"/>
  <c r="AC13" i="7"/>
  <c r="AI16" i="7"/>
  <c r="BG20" i="10"/>
  <c r="U53" i="1"/>
  <c r="U73" i="1" s="1"/>
  <c r="W62" i="7" s="1"/>
  <c r="AI17" i="7"/>
  <c r="U31" i="1"/>
  <c r="AI14" i="7"/>
  <c r="U52" i="1"/>
  <c r="U72" i="1" s="1"/>
  <c r="Q62" i="7" s="1"/>
  <c r="AC12" i="7"/>
  <c r="M87" i="1"/>
  <c r="AI12" i="7"/>
  <c r="M88" i="1"/>
  <c r="AC18" i="7"/>
  <c r="S87" i="1"/>
  <c r="U34" i="1"/>
  <c r="AI10" i="7"/>
  <c r="U35" i="1"/>
  <c r="AC11" i="7"/>
  <c r="U36" i="1"/>
  <c r="AC10" i="7"/>
  <c r="U37" i="1"/>
  <c r="U38" i="1" s="1"/>
  <c r="AC17" i="7"/>
  <c r="AC16" i="7"/>
  <c r="E20" i="10"/>
  <c r="U54" i="1"/>
  <c r="U32" i="1"/>
  <c r="V39" i="1"/>
  <c r="U33" i="1"/>
  <c r="V30" i="1"/>
  <c r="V36" i="1" s="1"/>
  <c r="V56" i="1"/>
  <c r="V75" i="1" s="1"/>
  <c r="E63" i="10" s="1"/>
  <c r="AI11" i="7"/>
  <c r="V51" i="1"/>
  <c r="V71" i="1" s="1"/>
  <c r="K63" i="7" s="1"/>
  <c r="V50" i="1"/>
  <c r="V70" i="1" s="1"/>
  <c r="E63" i="7" s="1"/>
  <c r="W65" i="1"/>
  <c r="W84" i="1" s="1"/>
  <c r="BG64" i="10" s="1"/>
  <c r="BW24" i="10"/>
  <c r="W26" i="1"/>
  <c r="AI19" i="10"/>
  <c r="E20" i="7"/>
  <c r="V27" i="1"/>
  <c r="V29" i="1"/>
  <c r="V28" i="1"/>
  <c r="V49" i="1"/>
  <c r="O24" i="10"/>
  <c r="K19" i="7"/>
  <c r="BA19" i="10"/>
  <c r="AC19" i="10"/>
  <c r="X4" i="1"/>
  <c r="W25" i="1"/>
  <c r="AO19" i="10"/>
  <c r="AM23" i="10"/>
  <c r="I24" i="10"/>
  <c r="C23" i="7"/>
  <c r="AG23" i="10"/>
  <c r="AS23" i="10"/>
  <c r="I24" i="7"/>
  <c r="BE24" i="10"/>
  <c r="I67" i="10"/>
  <c r="O65" i="10"/>
  <c r="I65" i="7"/>
  <c r="AY24" i="10"/>
  <c r="U24" i="10"/>
  <c r="C65" i="10"/>
  <c r="AA24" i="7"/>
  <c r="C24" i="10"/>
  <c r="U25" i="7"/>
  <c r="AA23" i="10"/>
  <c r="AG24" i="7"/>
  <c r="C67" i="7"/>
  <c r="U74" i="1" l="1"/>
  <c r="AC62" i="7" s="1"/>
  <c r="U55" i="1"/>
  <c r="AU19" i="10"/>
  <c r="Q20" i="7"/>
  <c r="X40" i="1"/>
  <c r="X26" i="1"/>
  <c r="X41" i="1"/>
  <c r="V52" i="1"/>
  <c r="V72" i="1" s="1"/>
  <c r="Q63" i="7" s="1"/>
  <c r="U58" i="1"/>
  <c r="U77" i="1" s="1"/>
  <c r="Q62" i="10" s="1"/>
  <c r="V53" i="1"/>
  <c r="V73" i="1" s="1"/>
  <c r="W63" i="7" s="1"/>
  <c r="V31" i="1"/>
  <c r="W39" i="1"/>
  <c r="U61" i="1"/>
  <c r="U80" i="1" s="1"/>
  <c r="AI62" i="10" s="1"/>
  <c r="U60" i="1"/>
  <c r="U79" i="1" s="1"/>
  <c r="AC62" i="10" s="1"/>
  <c r="V35" i="1"/>
  <c r="V34" i="1"/>
  <c r="U59" i="1"/>
  <c r="V33" i="1"/>
  <c r="W50" i="1"/>
  <c r="W70" i="1" s="1"/>
  <c r="E64" i="7" s="1"/>
  <c r="W51" i="1"/>
  <c r="W71" i="1" s="1"/>
  <c r="K64" i="7" s="1"/>
  <c r="E21" i="10"/>
  <c r="V54" i="1"/>
  <c r="V32" i="1"/>
  <c r="V63" i="1"/>
  <c r="V82" i="1" s="1"/>
  <c r="V62" i="1"/>
  <c r="V81" i="1" s="1"/>
  <c r="AO63" i="10" s="1"/>
  <c r="V64" i="1"/>
  <c r="V83" i="1" s="1"/>
  <c r="V37" i="1"/>
  <c r="W30" i="1"/>
  <c r="W31" i="1" s="1"/>
  <c r="W56" i="1"/>
  <c r="W75" i="1" s="1"/>
  <c r="E64" i="10" s="1"/>
  <c r="U57" i="1"/>
  <c r="U62" i="1"/>
  <c r="U81" i="1" s="1"/>
  <c r="AO62" i="10" s="1"/>
  <c r="U64" i="1"/>
  <c r="U83" i="1" s="1"/>
  <c r="BA62" i="10" s="1"/>
  <c r="U63" i="1"/>
  <c r="U82" i="1" s="1"/>
  <c r="AU62" i="10" s="1"/>
  <c r="X65" i="1"/>
  <c r="X84" i="1" s="1"/>
  <c r="BG65" i="10" s="1"/>
  <c r="BW25" i="10"/>
  <c r="K20" i="7"/>
  <c r="AC20" i="10"/>
  <c r="W49" i="1"/>
  <c r="Y4" i="1"/>
  <c r="X25" i="1"/>
  <c r="W29" i="1"/>
  <c r="W27" i="1"/>
  <c r="W28" i="1"/>
  <c r="E21" i="7"/>
  <c r="BG22" i="10"/>
  <c r="O25" i="10"/>
  <c r="AM24" i="10"/>
  <c r="I25" i="10"/>
  <c r="C24" i="7"/>
  <c r="I66" i="7"/>
  <c r="C66" i="10"/>
  <c r="AY25" i="10"/>
  <c r="AG25" i="7"/>
  <c r="U25" i="10"/>
  <c r="U26" i="7"/>
  <c r="AA25" i="7"/>
  <c r="C68" i="7"/>
  <c r="AA24" i="10"/>
  <c r="I25" i="7"/>
  <c r="C25" i="10"/>
  <c r="BE25" i="10"/>
  <c r="AG24" i="10"/>
  <c r="O66" i="10"/>
  <c r="I68" i="10"/>
  <c r="AS24" i="10"/>
  <c r="AU63" i="10" l="1"/>
  <c r="BA63" i="10"/>
  <c r="V74" i="1"/>
  <c r="AC63" i="7" s="1"/>
  <c r="V55" i="1"/>
  <c r="AU20" i="10"/>
  <c r="Y40" i="1"/>
  <c r="Y41" i="1"/>
  <c r="Q21" i="7"/>
  <c r="BA20" i="10"/>
  <c r="Q20" i="10"/>
  <c r="W52" i="1"/>
  <c r="W72" i="1" s="1"/>
  <c r="Q64" i="7" s="1"/>
  <c r="V61" i="1"/>
  <c r="V80" i="1" s="1"/>
  <c r="AI63" i="10" s="1"/>
  <c r="W60" i="1"/>
  <c r="W79" i="1" s="1"/>
  <c r="AC64" i="10" s="1"/>
  <c r="AI20" i="10"/>
  <c r="W36" i="1"/>
  <c r="W64" i="1" s="1"/>
  <c r="W83" i="1" s="1"/>
  <c r="BA64" i="10" s="1"/>
  <c r="BG21" i="10"/>
  <c r="AO20" i="10"/>
  <c r="V38" i="1"/>
  <c r="W53" i="1"/>
  <c r="W73" i="1" s="1"/>
  <c r="W64" i="7" s="1"/>
  <c r="V60" i="1"/>
  <c r="V79" i="1" s="1"/>
  <c r="AC63" i="10" s="1"/>
  <c r="W20" i="10"/>
  <c r="U78" i="1"/>
  <c r="W62" i="10" s="1"/>
  <c r="K20" i="10"/>
  <c r="U76" i="1"/>
  <c r="K62" i="10" s="1"/>
  <c r="W37" i="1"/>
  <c r="W38" i="1" s="1"/>
  <c r="W32" i="1"/>
  <c r="W34" i="1"/>
  <c r="E22" i="10"/>
  <c r="W54" i="1"/>
  <c r="W35" i="1"/>
  <c r="X50" i="1"/>
  <c r="X70" i="1" s="1"/>
  <c r="E65" i="7" s="1"/>
  <c r="X51" i="1"/>
  <c r="X71" i="1" s="1"/>
  <c r="K65" i="7" s="1"/>
  <c r="V59" i="1"/>
  <c r="W33" i="1"/>
  <c r="X39" i="1"/>
  <c r="X30" i="1"/>
  <c r="X35" i="1" s="1"/>
  <c r="X56" i="1"/>
  <c r="X75" i="1" s="1"/>
  <c r="E65" i="10" s="1"/>
  <c r="V57" i="1"/>
  <c r="V58" i="1"/>
  <c r="BW26" i="10"/>
  <c r="Y26" i="1"/>
  <c r="AO21" i="10"/>
  <c r="AI21" i="10"/>
  <c r="O26" i="10"/>
  <c r="E22" i="7"/>
  <c r="Y25" i="1"/>
  <c r="Z4" i="1"/>
  <c r="K21" i="7"/>
  <c r="BA21" i="10"/>
  <c r="AC21" i="10"/>
  <c r="X49" i="1"/>
  <c r="AU21" i="10"/>
  <c r="X28" i="1"/>
  <c r="X27" i="1"/>
  <c r="X29" i="1"/>
  <c r="AM25" i="10"/>
  <c r="I26" i="10"/>
  <c r="C25" i="7"/>
  <c r="I69" i="10"/>
  <c r="O67" i="10"/>
  <c r="C69" i="7"/>
  <c r="U27" i="7"/>
  <c r="I26" i="7"/>
  <c r="BE26" i="10"/>
  <c r="AY26" i="10"/>
  <c r="AS25" i="10"/>
  <c r="AG25" i="10"/>
  <c r="AA26" i="7"/>
  <c r="C26" i="10"/>
  <c r="AA25" i="10"/>
  <c r="U26" i="10"/>
  <c r="C67" i="10"/>
  <c r="AG26" i="7"/>
  <c r="I67" i="7"/>
  <c r="Q22" i="7" l="1"/>
  <c r="W74" i="1"/>
  <c r="AC64" i="7" s="1"/>
  <c r="W55" i="1"/>
  <c r="W63" i="1"/>
  <c r="W82" i="1" s="1"/>
  <c r="AU64" i="10" s="1"/>
  <c r="X32" i="1"/>
  <c r="W62" i="1"/>
  <c r="W81" i="1" s="1"/>
  <c r="AO64" i="10" s="1"/>
  <c r="Z40" i="1"/>
  <c r="Z26" i="1"/>
  <c r="Z41" i="1"/>
  <c r="X34" i="1"/>
  <c r="X58" i="1" s="1"/>
  <c r="X77" i="1" s="1"/>
  <c r="X37" i="1"/>
  <c r="X38" i="1" s="1"/>
  <c r="W57" i="1"/>
  <c r="X53" i="1"/>
  <c r="X73" i="1" s="1"/>
  <c r="W65" i="7" s="1"/>
  <c r="W61" i="1"/>
  <c r="W80" i="1" s="1"/>
  <c r="AI64" i="10" s="1"/>
  <c r="W58" i="1"/>
  <c r="X31" i="1"/>
  <c r="X52" i="1"/>
  <c r="X72" i="1" s="1"/>
  <c r="Q65" i="7" s="1"/>
  <c r="X61" i="1"/>
  <c r="X80" i="1" s="1"/>
  <c r="X33" i="1"/>
  <c r="X59" i="1" s="1"/>
  <c r="X78" i="1" s="1"/>
  <c r="BG23" i="10"/>
  <c r="X36" i="1"/>
  <c r="X64" i="1" s="1"/>
  <c r="X83" i="1" s="1"/>
  <c r="BA65" i="10" s="1"/>
  <c r="K21" i="10"/>
  <c r="V76" i="1"/>
  <c r="K63" i="10" s="1"/>
  <c r="Q21" i="10"/>
  <c r="V77" i="1"/>
  <c r="Q63" i="10" s="1"/>
  <c r="W21" i="10"/>
  <c r="V78" i="1"/>
  <c r="W63" i="10" s="1"/>
  <c r="Y39" i="1"/>
  <c r="Y65" i="1"/>
  <c r="Y84" i="1" s="1"/>
  <c r="BG66" i="10" s="1"/>
  <c r="X54" i="1"/>
  <c r="Y50" i="1"/>
  <c r="Y70" i="1" s="1"/>
  <c r="E66" i="7" s="1"/>
  <c r="Y51" i="1"/>
  <c r="Y71" i="1" s="1"/>
  <c r="K66" i="7" s="1"/>
  <c r="W59" i="1"/>
  <c r="Y30" i="1"/>
  <c r="Y37" i="1" s="1"/>
  <c r="Y56" i="1"/>
  <c r="Y75" i="1" s="1"/>
  <c r="E66" i="10" s="1"/>
  <c r="E23" i="10"/>
  <c r="X57" i="1"/>
  <c r="Z65" i="1"/>
  <c r="Z84" i="1" s="1"/>
  <c r="BG67" i="10" s="1"/>
  <c r="BW27" i="10"/>
  <c r="E23" i="7"/>
  <c r="AC22" i="10"/>
  <c r="K22" i="7"/>
  <c r="AA4" i="1"/>
  <c r="Z25" i="1"/>
  <c r="AU22" i="10"/>
  <c r="AI22" i="10"/>
  <c r="Y29" i="1"/>
  <c r="Y27" i="1"/>
  <c r="Y28" i="1"/>
  <c r="Y49" i="1"/>
  <c r="O27" i="10"/>
  <c r="AO22" i="10"/>
  <c r="BA22" i="10"/>
  <c r="AM26" i="10"/>
  <c r="C26" i="7"/>
  <c r="I27" i="10"/>
  <c r="C68" i="10"/>
  <c r="AA27" i="7"/>
  <c r="AS26" i="10"/>
  <c r="I68" i="7"/>
  <c r="AG27" i="7"/>
  <c r="U27" i="10"/>
  <c r="C27" i="10"/>
  <c r="AY27" i="10"/>
  <c r="I27" i="7"/>
  <c r="O68" i="10"/>
  <c r="C70" i="7"/>
  <c r="BE27" i="10"/>
  <c r="U28" i="7"/>
  <c r="AA26" i="10"/>
  <c r="AG26" i="10"/>
  <c r="I70" i="10"/>
  <c r="Y32" i="1" l="1"/>
  <c r="AI65" i="10"/>
  <c r="Y34" i="1"/>
  <c r="X74" i="1"/>
  <c r="AC65" i="7" s="1"/>
  <c r="X55" i="1"/>
  <c r="X62" i="1"/>
  <c r="X81" i="1" s="1"/>
  <c r="AO65" i="10" s="1"/>
  <c r="X63" i="1"/>
  <c r="X82" i="1" s="1"/>
  <c r="AU65" i="10" s="1"/>
  <c r="BG24" i="10"/>
  <c r="Q23" i="10"/>
  <c r="AA40" i="1"/>
  <c r="AA41" i="1"/>
  <c r="Q23" i="7"/>
  <c r="Y31" i="1"/>
  <c r="Y36" i="1"/>
  <c r="W23" i="10"/>
  <c r="Y35" i="1"/>
  <c r="Y61" i="1" s="1"/>
  <c r="Y80" i="1" s="1"/>
  <c r="AI66" i="10" s="1"/>
  <c r="W76" i="1"/>
  <c r="K64" i="10" s="1"/>
  <c r="K22" i="10"/>
  <c r="W77" i="1"/>
  <c r="Q64" i="10" s="1"/>
  <c r="Q22" i="10"/>
  <c r="Y60" i="1"/>
  <c r="Y79" i="1" s="1"/>
  <c r="Y53" i="1"/>
  <c r="Y73" i="1" s="1"/>
  <c r="W66" i="7" s="1"/>
  <c r="E24" i="10"/>
  <c r="Z39" i="1"/>
  <c r="Y52" i="1"/>
  <c r="Y72" i="1" s="1"/>
  <c r="Q66" i="7" s="1"/>
  <c r="Y33" i="1"/>
  <c r="X60" i="1"/>
  <c r="X79" i="1" s="1"/>
  <c r="AC65" i="10" s="1"/>
  <c r="K23" i="10"/>
  <c r="X76" i="1"/>
  <c r="W22" i="10"/>
  <c r="W78" i="1"/>
  <c r="W64" i="10" s="1"/>
  <c r="Y58" i="1"/>
  <c r="Y77" i="1" s="1"/>
  <c r="Q66" i="10" s="1"/>
  <c r="Y54" i="1"/>
  <c r="Z50" i="1"/>
  <c r="Z70" i="1" s="1"/>
  <c r="E67" i="7" s="1"/>
  <c r="Z51" i="1"/>
  <c r="Z71" i="1" s="1"/>
  <c r="K67" i="7" s="1"/>
  <c r="Z30" i="1"/>
  <c r="Z33" i="1" s="1"/>
  <c r="Z56" i="1"/>
  <c r="Z75" i="1" s="1"/>
  <c r="E67" i="10" s="1"/>
  <c r="Y62" i="1"/>
  <c r="Y81" i="1" s="1"/>
  <c r="AO66" i="10" s="1"/>
  <c r="Y63" i="1"/>
  <c r="Y82" i="1" s="1"/>
  <c r="AU66" i="10" s="1"/>
  <c r="Y64" i="1"/>
  <c r="Y83" i="1" s="1"/>
  <c r="BA66" i="10" s="1"/>
  <c r="Y57" i="1"/>
  <c r="Y76" i="1" s="1"/>
  <c r="BW28" i="10"/>
  <c r="AA26" i="1"/>
  <c r="Z27" i="1"/>
  <c r="Z29" i="1"/>
  <c r="Z28" i="1"/>
  <c r="O28" i="10"/>
  <c r="BG25" i="10"/>
  <c r="AB4" i="1"/>
  <c r="AA25" i="1"/>
  <c r="Q24" i="10"/>
  <c r="E24" i="7"/>
  <c r="BA23" i="10"/>
  <c r="AI23" i="10"/>
  <c r="K23" i="7"/>
  <c r="AU23" i="10"/>
  <c r="AO23" i="10"/>
  <c r="Y38" i="1"/>
  <c r="Z49" i="1"/>
  <c r="AM27" i="10"/>
  <c r="C27" i="7"/>
  <c r="I28" i="10"/>
  <c r="U28" i="10"/>
  <c r="AS27" i="10"/>
  <c r="AA28" i="7"/>
  <c r="I71" i="10"/>
  <c r="AG28" i="7"/>
  <c r="BE28" i="10"/>
  <c r="C71" i="7"/>
  <c r="I28" i="7"/>
  <c r="I69" i="7"/>
  <c r="C69" i="10"/>
  <c r="U29" i="7"/>
  <c r="AA27" i="10"/>
  <c r="C28" i="10"/>
  <c r="AG27" i="10"/>
  <c r="O69" i="10"/>
  <c r="AY28" i="10"/>
  <c r="AC66" i="10" l="1"/>
  <c r="K66" i="10"/>
  <c r="K65" i="10"/>
  <c r="Q65" i="10"/>
  <c r="W65" i="10"/>
  <c r="Y74" i="1"/>
  <c r="AC66" i="7" s="1"/>
  <c r="Y55" i="1"/>
  <c r="AB41" i="1"/>
  <c r="AB40" i="1"/>
  <c r="Z34" i="1"/>
  <c r="Z58" i="1" s="1"/>
  <c r="Z35" i="1"/>
  <c r="Z61" i="1" s="1"/>
  <c r="Z80" i="1" s="1"/>
  <c r="AI67" i="10" s="1"/>
  <c r="AC23" i="10"/>
  <c r="Z37" i="1"/>
  <c r="Z38" i="1" s="1"/>
  <c r="Z31" i="1"/>
  <c r="Z60" i="1" s="1"/>
  <c r="Z79" i="1" s="1"/>
  <c r="AC67" i="10" s="1"/>
  <c r="E25" i="10"/>
  <c r="Z36" i="1"/>
  <c r="Z62" i="1" s="1"/>
  <c r="Z81" i="1" s="1"/>
  <c r="AO67" i="10" s="1"/>
  <c r="K24" i="10"/>
  <c r="Q24" i="7"/>
  <c r="Z52" i="1"/>
  <c r="Z72" i="1" s="1"/>
  <c r="Q67" i="7" s="1"/>
  <c r="Z53" i="1"/>
  <c r="Z73" i="1" s="1"/>
  <c r="W67" i="7" s="1"/>
  <c r="Z32" i="1"/>
  <c r="Y59" i="1"/>
  <c r="AA39" i="1"/>
  <c r="AA65" i="1"/>
  <c r="AA84" i="1" s="1"/>
  <c r="BG68" i="10" s="1"/>
  <c r="AA30" i="1"/>
  <c r="AA34" i="1" s="1"/>
  <c r="AA56" i="1"/>
  <c r="AA75" i="1" s="1"/>
  <c r="E68" i="10" s="1"/>
  <c r="AA50" i="1"/>
  <c r="AA70" i="1" s="1"/>
  <c r="E68" i="7" s="1"/>
  <c r="AA51" i="1"/>
  <c r="AA71" i="1" s="1"/>
  <c r="K68" i="7" s="1"/>
  <c r="Z59" i="1"/>
  <c r="Z78" i="1" s="1"/>
  <c r="Z54" i="1"/>
  <c r="AB65" i="1"/>
  <c r="AB84" i="1" s="1"/>
  <c r="BW29" i="10"/>
  <c r="AB26" i="1"/>
  <c r="AO24" i="10"/>
  <c r="AC4" i="1"/>
  <c r="AB25" i="1"/>
  <c r="AI24" i="10"/>
  <c r="BA24" i="10"/>
  <c r="K24" i="7"/>
  <c r="AU24" i="10"/>
  <c r="O29" i="10"/>
  <c r="AA29" i="1"/>
  <c r="AA28" i="1"/>
  <c r="AA27" i="1"/>
  <c r="AA49" i="1"/>
  <c r="E25" i="7"/>
  <c r="AC24" i="10"/>
  <c r="AM28" i="10"/>
  <c r="I29" i="10"/>
  <c r="C28" i="7"/>
  <c r="I72" i="10"/>
  <c r="AS28" i="10"/>
  <c r="AA28" i="10"/>
  <c r="C70" i="10"/>
  <c r="AG29" i="7"/>
  <c r="AA29" i="7"/>
  <c r="BE29" i="10"/>
  <c r="U29" i="10"/>
  <c r="O70" i="10"/>
  <c r="C72" i="7"/>
  <c r="AG28" i="10"/>
  <c r="I70" i="7"/>
  <c r="C29" i="10"/>
  <c r="U30" i="7"/>
  <c r="AY29" i="10"/>
  <c r="I29" i="7"/>
  <c r="BG69" i="10" l="1"/>
  <c r="Z74" i="1"/>
  <c r="AC67" i="7" s="1"/>
  <c r="Z55" i="1"/>
  <c r="BG26" i="10"/>
  <c r="Q25" i="7"/>
  <c r="Z63" i="1"/>
  <c r="Z82" i="1" s="1"/>
  <c r="AU67" i="10" s="1"/>
  <c r="Z64" i="1"/>
  <c r="Z83" i="1" s="1"/>
  <c r="BA67" i="10" s="1"/>
  <c r="W25" i="10"/>
  <c r="AA31" i="1"/>
  <c r="AA60" i="1" s="1"/>
  <c r="AA79" i="1" s="1"/>
  <c r="AC68" i="10" s="1"/>
  <c r="AA32" i="1"/>
  <c r="AA57" i="1" s="1"/>
  <c r="AA76" i="1" s="1"/>
  <c r="AA37" i="1"/>
  <c r="AA38" i="1" s="1"/>
  <c r="Y78" i="1"/>
  <c r="W66" i="10" s="1"/>
  <c r="W24" i="10"/>
  <c r="Z57" i="1"/>
  <c r="K25" i="10" s="1"/>
  <c r="AA52" i="1"/>
  <c r="AA72" i="1" s="1"/>
  <c r="Q68" i="7" s="1"/>
  <c r="AA53" i="1"/>
  <c r="AA73" i="1" s="1"/>
  <c r="W68" i="7" s="1"/>
  <c r="Q25" i="10"/>
  <c r="Z77" i="1"/>
  <c r="Q67" i="10" s="1"/>
  <c r="AB39" i="1"/>
  <c r="E26" i="10"/>
  <c r="AB30" i="1"/>
  <c r="AB31" i="1" s="1"/>
  <c r="AB56" i="1"/>
  <c r="AB75" i="1" s="1"/>
  <c r="E69" i="10" s="1"/>
  <c r="AA36" i="1"/>
  <c r="AA58" i="1"/>
  <c r="AA77" i="1" s="1"/>
  <c r="AA54" i="1"/>
  <c r="AA33" i="1"/>
  <c r="AA35" i="1"/>
  <c r="AB51" i="1"/>
  <c r="AB71" i="1" s="1"/>
  <c r="K69" i="7" s="1"/>
  <c r="AB50" i="1"/>
  <c r="AB70" i="1" s="1"/>
  <c r="E69" i="7" s="1"/>
  <c r="BW30" i="10"/>
  <c r="E26" i="7"/>
  <c r="AB49" i="1"/>
  <c r="AC25" i="10"/>
  <c r="AB29" i="1"/>
  <c r="AB27" i="1"/>
  <c r="AB28" i="1"/>
  <c r="AI25" i="10"/>
  <c r="BG27" i="10"/>
  <c r="K25" i="7"/>
  <c r="AD4" i="1"/>
  <c r="AC25" i="1"/>
  <c r="AO25" i="10"/>
  <c r="O30" i="10"/>
  <c r="AM29" i="10"/>
  <c r="I30" i="10"/>
  <c r="C29" i="7"/>
  <c r="C30" i="10"/>
  <c r="AA29" i="10"/>
  <c r="C73" i="7"/>
  <c r="AS29" i="10"/>
  <c r="I73" i="10"/>
  <c r="I71" i="7"/>
  <c r="BE30" i="10"/>
  <c r="U30" i="10"/>
  <c r="AA30" i="7"/>
  <c r="I30" i="7"/>
  <c r="AG30" i="7"/>
  <c r="C71" i="10"/>
  <c r="AY30" i="10"/>
  <c r="O71" i="10"/>
  <c r="U31" i="7"/>
  <c r="AG29" i="10"/>
  <c r="Q68" i="10" l="1"/>
  <c r="W67" i="10"/>
  <c r="Q26" i="7"/>
  <c r="AA74" i="1"/>
  <c r="AC68" i="7" s="1"/>
  <c r="AA55" i="1"/>
  <c r="BA25" i="10"/>
  <c r="AU25" i="10"/>
  <c r="E27" i="10"/>
  <c r="K26" i="10"/>
  <c r="AB33" i="1"/>
  <c r="AB59" i="1" s="1"/>
  <c r="AB36" i="1"/>
  <c r="AB64" i="1" s="1"/>
  <c r="AB83" i="1" s="1"/>
  <c r="Z76" i="1"/>
  <c r="K67" i="10" s="1"/>
  <c r="AB37" i="1"/>
  <c r="AB38" i="1" s="1"/>
  <c r="AB32" i="1"/>
  <c r="AB57" i="1" s="1"/>
  <c r="AB76" i="1" s="1"/>
  <c r="K69" i="10" s="1"/>
  <c r="AB60" i="1"/>
  <c r="AB79" i="1" s="1"/>
  <c r="AC69" i="10" s="1"/>
  <c r="Q26" i="10"/>
  <c r="AB52" i="1"/>
  <c r="AB72" i="1" s="1"/>
  <c r="Q69" i="7" s="1"/>
  <c r="AB34" i="1"/>
  <c r="AB58" i="1" s="1"/>
  <c r="AB77" i="1" s="1"/>
  <c r="Q69" i="10" s="1"/>
  <c r="AB35" i="1"/>
  <c r="AB53" i="1"/>
  <c r="AB73" i="1" s="1"/>
  <c r="W69" i="7" s="1"/>
  <c r="AA61" i="1"/>
  <c r="AA80" i="1" s="1"/>
  <c r="AI68" i="10" s="1"/>
  <c r="AC26" i="1"/>
  <c r="AC28" i="1" s="1"/>
  <c r="AN26" i="1"/>
  <c r="AC41" i="1"/>
  <c r="AC40" i="1"/>
  <c r="AA63" i="1"/>
  <c r="AA82" i="1" s="1"/>
  <c r="AU68" i="10" s="1"/>
  <c r="AA62" i="1"/>
  <c r="AA81" i="1" s="1"/>
  <c r="AO68" i="10" s="1"/>
  <c r="AA64" i="1"/>
  <c r="AA83" i="1" s="1"/>
  <c r="BA68" i="10" s="1"/>
  <c r="AB62" i="1"/>
  <c r="AB81" i="1" s="1"/>
  <c r="AO69" i="10" s="1"/>
  <c r="AC30" i="1"/>
  <c r="AC33" i="1" s="1"/>
  <c r="AC56" i="1"/>
  <c r="AC75" i="1" s="1"/>
  <c r="E70" i="10" s="1"/>
  <c r="AA59" i="1"/>
  <c r="AB54" i="1"/>
  <c r="AC39" i="1"/>
  <c r="AC65" i="1"/>
  <c r="AC84" i="1" s="1"/>
  <c r="BG70" i="10" s="1"/>
  <c r="BW31" i="10"/>
  <c r="BW32" i="10" s="1"/>
  <c r="BW33" i="10" s="1"/>
  <c r="BW34" i="10" s="1"/>
  <c r="BW35" i="10" s="1"/>
  <c r="BW36" i="10" s="1"/>
  <c r="BW37" i="10" s="1"/>
  <c r="BW38" i="10" s="1"/>
  <c r="BW39" i="10" s="1"/>
  <c r="AC26" i="10"/>
  <c r="AE4" i="1"/>
  <c r="AD25" i="1"/>
  <c r="O31" i="10"/>
  <c r="E27" i="7"/>
  <c r="AC49" i="1"/>
  <c r="K26" i="7"/>
  <c r="AM30" i="10"/>
  <c r="I31" i="10"/>
  <c r="C30" i="7"/>
  <c r="AA31" i="7"/>
  <c r="I72" i="7"/>
  <c r="AG30" i="10"/>
  <c r="I31" i="7"/>
  <c r="AA30" i="10"/>
  <c r="O72" i="10"/>
  <c r="AG31" i="7"/>
  <c r="I74" i="10"/>
  <c r="U32" i="7"/>
  <c r="AY31" i="10"/>
  <c r="C72" i="10"/>
  <c r="BE31" i="10"/>
  <c r="C74" i="7"/>
  <c r="C31" i="10"/>
  <c r="AS30" i="10"/>
  <c r="U31" i="10"/>
  <c r="K68" i="10" l="1"/>
  <c r="BA69" i="10"/>
  <c r="AB74" i="1"/>
  <c r="AC69" i="7" s="1"/>
  <c r="AB55" i="1"/>
  <c r="AC32" i="1"/>
  <c r="AC57" i="1" s="1"/>
  <c r="AI26" i="10"/>
  <c r="AU26" i="10"/>
  <c r="AB63" i="1"/>
  <c r="AB82" i="1" s="1"/>
  <c r="AU69" i="10" s="1"/>
  <c r="AC50" i="1"/>
  <c r="AC70" i="1" s="1"/>
  <c r="E70" i="7" s="1"/>
  <c r="AC51" i="1"/>
  <c r="AC71" i="1" s="1"/>
  <c r="K70" i="7" s="1"/>
  <c r="AO26" i="10"/>
  <c r="AC27" i="1"/>
  <c r="AC54" i="1" s="1"/>
  <c r="AC37" i="1"/>
  <c r="AC38" i="1" s="1"/>
  <c r="AC35" i="1"/>
  <c r="AC61" i="1" s="1"/>
  <c r="AC80" i="1" s="1"/>
  <c r="AC36" i="1"/>
  <c r="AC62" i="1" s="1"/>
  <c r="AC81" i="1" s="1"/>
  <c r="AO70" i="10" s="1"/>
  <c r="K27" i="10"/>
  <c r="Q27" i="7"/>
  <c r="AN29" i="1"/>
  <c r="AN53" i="1" s="1"/>
  <c r="AN73" i="1" s="1"/>
  <c r="W81" i="7" s="1"/>
  <c r="AN51" i="1"/>
  <c r="AN71" i="1" s="1"/>
  <c r="AN27" i="1"/>
  <c r="AN54" i="1" s="1"/>
  <c r="AN50" i="1"/>
  <c r="AN70" i="1" s="1"/>
  <c r="AN28" i="1"/>
  <c r="AN52" i="1" s="1"/>
  <c r="AN72" i="1" s="1"/>
  <c r="Q81" i="7" s="1"/>
  <c r="AB61" i="1"/>
  <c r="AB80" i="1" s="1"/>
  <c r="AI69" i="10" s="1"/>
  <c r="AC52" i="1"/>
  <c r="AC72" i="1" s="1"/>
  <c r="Q70" i="7" s="1"/>
  <c r="AC29" i="1"/>
  <c r="BA26" i="10"/>
  <c r="Q27" i="10"/>
  <c r="AC31" i="1"/>
  <c r="AC34" i="1"/>
  <c r="W27" i="10"/>
  <c r="AB78" i="1"/>
  <c r="W26" i="10"/>
  <c r="AA78" i="1"/>
  <c r="W68" i="10" s="1"/>
  <c r="E28" i="10"/>
  <c r="AD56" i="1"/>
  <c r="AD75" i="1" s="1"/>
  <c r="E71" i="10" s="1"/>
  <c r="AC59" i="1"/>
  <c r="AC78" i="1" s="1"/>
  <c r="AD65" i="1"/>
  <c r="AD84" i="1" s="1"/>
  <c r="BG71" i="10" s="1"/>
  <c r="AD40" i="1"/>
  <c r="AD41" i="1"/>
  <c r="AI27" i="10"/>
  <c r="AU27" i="10"/>
  <c r="AD49" i="1"/>
  <c r="AD26" i="1"/>
  <c r="K27" i="7"/>
  <c r="AF4" i="1"/>
  <c r="AE25" i="1"/>
  <c r="AO27" i="10"/>
  <c r="O32" i="10"/>
  <c r="AD30" i="1"/>
  <c r="AD39" i="1"/>
  <c r="BA27" i="10"/>
  <c r="AC27" i="10"/>
  <c r="AM31" i="10"/>
  <c r="C31" i="7"/>
  <c r="I32" i="10"/>
  <c r="C75" i="7"/>
  <c r="AA31" i="10"/>
  <c r="BE32" i="10"/>
  <c r="AG32" i="7"/>
  <c r="I32" i="7"/>
  <c r="I73" i="7"/>
  <c r="I75" i="10"/>
  <c r="U33" i="7"/>
  <c r="O73" i="10"/>
  <c r="U32" i="10"/>
  <c r="C32" i="10"/>
  <c r="AA32" i="7"/>
  <c r="AS31" i="10"/>
  <c r="AY32" i="10"/>
  <c r="C73" i="10"/>
  <c r="AG31" i="10"/>
  <c r="W70" i="10" l="1"/>
  <c r="AI70" i="10"/>
  <c r="E28" i="7"/>
  <c r="AC64" i="1"/>
  <c r="AC83" i="1" s="1"/>
  <c r="BA70" i="10" s="1"/>
  <c r="W69" i="10"/>
  <c r="AC63" i="1"/>
  <c r="AC82" i="1" s="1"/>
  <c r="AU70" i="10" s="1"/>
  <c r="AC74" i="1"/>
  <c r="AC70" i="7" s="1"/>
  <c r="AC55" i="1"/>
  <c r="AN74" i="1"/>
  <c r="AC81" i="7" s="1"/>
  <c r="AN55" i="1"/>
  <c r="W28" i="10"/>
  <c r="AC60" i="1"/>
  <c r="AC79" i="1" s="1"/>
  <c r="AC70" i="10" s="1"/>
  <c r="AC53" i="1"/>
  <c r="AC58" i="1"/>
  <c r="AC77" i="1" s="1"/>
  <c r="Q70" i="10" s="1"/>
  <c r="BG28" i="10"/>
  <c r="K28" i="10"/>
  <c r="AC76" i="1"/>
  <c r="K70" i="10" s="1"/>
  <c r="AE65" i="1"/>
  <c r="AE84" i="1" s="1"/>
  <c r="BG72" i="10" s="1"/>
  <c r="AE56" i="1"/>
  <c r="AE75" i="1" s="1"/>
  <c r="E72" i="10" s="1"/>
  <c r="AD51" i="1"/>
  <c r="AD71" i="1" s="1"/>
  <c r="K71" i="7" s="1"/>
  <c r="AD50" i="1"/>
  <c r="AD70" i="1" s="1"/>
  <c r="E71" i="7" s="1"/>
  <c r="AE41" i="1"/>
  <c r="AE40" i="1"/>
  <c r="K28" i="7"/>
  <c r="BG29" i="10"/>
  <c r="AU28" i="10"/>
  <c r="AE39" i="1"/>
  <c r="AD37" i="1"/>
  <c r="AD31" i="1"/>
  <c r="AD36" i="1"/>
  <c r="AD35" i="1"/>
  <c r="AD33" i="1"/>
  <c r="AD32" i="1"/>
  <c r="E29" i="10"/>
  <c r="AD34" i="1"/>
  <c r="AI28" i="10"/>
  <c r="AO28" i="10"/>
  <c r="AD27" i="1"/>
  <c r="AD29" i="1"/>
  <c r="AD28" i="1"/>
  <c r="AE30" i="1"/>
  <c r="AE26" i="1"/>
  <c r="O33" i="10"/>
  <c r="AE49" i="1"/>
  <c r="BA28" i="10"/>
  <c r="AG4" i="1"/>
  <c r="AF25" i="1"/>
  <c r="AM32" i="10"/>
  <c r="C32" i="7"/>
  <c r="I33" i="10"/>
  <c r="AA33" i="7"/>
  <c r="C33" i="10"/>
  <c r="U34" i="7"/>
  <c r="AG33" i="7"/>
  <c r="AA32" i="10"/>
  <c r="O74" i="10"/>
  <c r="C76" i="7"/>
  <c r="AS32" i="10"/>
  <c r="C74" i="10"/>
  <c r="I76" i="10"/>
  <c r="I74" i="7"/>
  <c r="AG32" i="10"/>
  <c r="I33" i="7"/>
  <c r="BE33" i="10"/>
  <c r="U33" i="10"/>
  <c r="AY33" i="10"/>
  <c r="Q28" i="10" l="1"/>
  <c r="AD52" i="1"/>
  <c r="AD72" i="1" s="1"/>
  <c r="Q71" i="7" s="1"/>
  <c r="AD53" i="1"/>
  <c r="AD73" i="1" s="1"/>
  <c r="W71" i="7" s="1"/>
  <c r="AD61" i="1"/>
  <c r="AD80" i="1" s="1"/>
  <c r="AI71" i="10" s="1"/>
  <c r="AC28" i="10"/>
  <c r="AD60" i="1"/>
  <c r="AD79" i="1" s="1"/>
  <c r="AC71" i="10" s="1"/>
  <c r="AC73" i="1"/>
  <c r="W70" i="7" s="1"/>
  <c r="Q28" i="7"/>
  <c r="AD58" i="1"/>
  <c r="AD77" i="1" s="1"/>
  <c r="Q71" i="10" s="1"/>
  <c r="AE51" i="1"/>
  <c r="AE71" i="1" s="1"/>
  <c r="K72" i="7" s="1"/>
  <c r="AE50" i="1"/>
  <c r="AE70" i="1" s="1"/>
  <c r="E72" i="7" s="1"/>
  <c r="AD57" i="1"/>
  <c r="AD54" i="1"/>
  <c r="AD59" i="1"/>
  <c r="AD78" i="1" s="1"/>
  <c r="W71" i="10" s="1"/>
  <c r="AF56" i="1"/>
  <c r="AF75" i="1" s="1"/>
  <c r="E73" i="10" s="1"/>
  <c r="AD62" i="1"/>
  <c r="AD81" i="1" s="1"/>
  <c r="AO71" i="10" s="1"/>
  <c r="AD64" i="1"/>
  <c r="AD83" i="1" s="1"/>
  <c r="BA71" i="10" s="1"/>
  <c r="AD63" i="1"/>
  <c r="AD82" i="1" s="1"/>
  <c r="AU71" i="10" s="1"/>
  <c r="AF65" i="1"/>
  <c r="AF84" i="1" s="1"/>
  <c r="BG73" i="10" s="1"/>
  <c r="AF41" i="1"/>
  <c r="AF40" i="1"/>
  <c r="AD38" i="1"/>
  <c r="AF30" i="1"/>
  <c r="Q29" i="10"/>
  <c r="AE35" i="1"/>
  <c r="AE36" i="1"/>
  <c r="AE37" i="1"/>
  <c r="AE33" i="1"/>
  <c r="AE32" i="1"/>
  <c r="E30" i="10"/>
  <c r="AE34" i="1"/>
  <c r="AE31" i="1"/>
  <c r="AF49" i="1"/>
  <c r="AG25" i="1"/>
  <c r="AG49" i="1" s="1"/>
  <c r="AH4" i="1"/>
  <c r="AE27" i="1"/>
  <c r="AE28" i="1"/>
  <c r="AE29" i="1"/>
  <c r="AF26" i="1"/>
  <c r="O34" i="10"/>
  <c r="E29" i="7"/>
  <c r="AF39" i="1"/>
  <c r="BG30" i="10"/>
  <c r="AM33" i="10"/>
  <c r="C33" i="7"/>
  <c r="I34" i="10"/>
  <c r="U34" i="10"/>
  <c r="I34" i="7"/>
  <c r="C75" i="10"/>
  <c r="AG33" i="10"/>
  <c r="AA33" i="10"/>
  <c r="BE34" i="10"/>
  <c r="I75" i="7"/>
  <c r="I77" i="10"/>
  <c r="U35" i="7"/>
  <c r="O75" i="10"/>
  <c r="AG34" i="7"/>
  <c r="AA34" i="7"/>
  <c r="AY34" i="10"/>
  <c r="C34" i="10"/>
  <c r="AS33" i="10"/>
  <c r="C77" i="7"/>
  <c r="AD74" i="1" l="1"/>
  <c r="AC71" i="7" s="1"/>
  <c r="AD55" i="1"/>
  <c r="AE52" i="1"/>
  <c r="AE72" i="1" s="1"/>
  <c r="Q72" i="7" s="1"/>
  <c r="AE60" i="1"/>
  <c r="AE79" i="1" s="1"/>
  <c r="AC72" i="10" s="1"/>
  <c r="AE53" i="1"/>
  <c r="AE73" i="1" s="1"/>
  <c r="W72" i="7" s="1"/>
  <c r="AE61" i="1"/>
  <c r="AE80" i="1" s="1"/>
  <c r="AI72" i="10" s="1"/>
  <c r="W29" i="10"/>
  <c r="Q29" i="7"/>
  <c r="K29" i="10"/>
  <c r="AD76" i="1"/>
  <c r="K71" i="10" s="1"/>
  <c r="AE64" i="1"/>
  <c r="AE83" i="1" s="1"/>
  <c r="BA72" i="10" s="1"/>
  <c r="AE63" i="1"/>
  <c r="AE82" i="1" s="1"/>
  <c r="AU72" i="10" s="1"/>
  <c r="AE62" i="1"/>
  <c r="AE81" i="1" s="1"/>
  <c r="AO72" i="10" s="1"/>
  <c r="AE58" i="1"/>
  <c r="AE77" i="1" s="1"/>
  <c r="Q72" i="10" s="1"/>
  <c r="AG56" i="1"/>
  <c r="AG75" i="1" s="1"/>
  <c r="E74" i="10" s="1"/>
  <c r="AE57" i="1"/>
  <c r="AE76" i="1" s="1"/>
  <c r="AE54" i="1"/>
  <c r="AF50" i="1"/>
  <c r="AF70" i="1" s="1"/>
  <c r="E73" i="7" s="1"/>
  <c r="AF51" i="1"/>
  <c r="AF71" i="1" s="1"/>
  <c r="K73" i="7" s="1"/>
  <c r="AE59" i="1"/>
  <c r="AE78" i="1" s="1"/>
  <c r="W72" i="10" s="1"/>
  <c r="AG65" i="1"/>
  <c r="AG84" i="1" s="1"/>
  <c r="BG74" i="10" s="1"/>
  <c r="AG40" i="1"/>
  <c r="AG41" i="1"/>
  <c r="AO29" i="10"/>
  <c r="AG30" i="1"/>
  <c r="AF37" i="1"/>
  <c r="AF31" i="1"/>
  <c r="E31" i="10"/>
  <c r="AF35" i="1"/>
  <c r="AF36" i="1"/>
  <c r="AF32" i="1"/>
  <c r="AF34" i="1"/>
  <c r="AF33" i="1"/>
  <c r="AG26" i="1"/>
  <c r="BA29" i="10"/>
  <c r="AF28" i="1"/>
  <c r="AF29" i="1"/>
  <c r="AF27" i="1"/>
  <c r="K29" i="7"/>
  <c r="AG39" i="1"/>
  <c r="AE38" i="1"/>
  <c r="E30" i="7"/>
  <c r="BG31" i="10"/>
  <c r="AI4" i="1"/>
  <c r="AH25" i="1"/>
  <c r="AH49" i="1" s="1"/>
  <c r="AU29" i="10"/>
  <c r="Q30" i="7"/>
  <c r="AC29" i="10"/>
  <c r="AI29" i="10"/>
  <c r="Q30" i="10"/>
  <c r="W30" i="10"/>
  <c r="O35" i="10"/>
  <c r="AM34" i="10"/>
  <c r="I35" i="10"/>
  <c r="C34" i="7"/>
  <c r="I35" i="7"/>
  <c r="AG34" i="10"/>
  <c r="C78" i="7"/>
  <c r="AY35" i="10"/>
  <c r="BE35" i="10"/>
  <c r="AA34" i="10"/>
  <c r="C35" i="10"/>
  <c r="AS34" i="10"/>
  <c r="U36" i="7"/>
  <c r="C76" i="10"/>
  <c r="U35" i="10"/>
  <c r="AA35" i="7"/>
  <c r="O76" i="10"/>
  <c r="I78" i="10"/>
  <c r="I76" i="7"/>
  <c r="AG35" i="7"/>
  <c r="K72" i="10" l="1"/>
  <c r="AE74" i="1"/>
  <c r="AC72" i="7" s="1"/>
  <c r="AE55" i="1"/>
  <c r="AF60" i="1"/>
  <c r="AF79" i="1" s="1"/>
  <c r="AC73" i="10" s="1"/>
  <c r="K30" i="10"/>
  <c r="AF53" i="1"/>
  <c r="AF73" i="1" s="1"/>
  <c r="W73" i="7" s="1"/>
  <c r="AF61" i="1"/>
  <c r="AF80" i="1" s="1"/>
  <c r="AI73" i="10" s="1"/>
  <c r="AF52" i="1"/>
  <c r="AF72" i="1" s="1"/>
  <c r="Q73" i="7" s="1"/>
  <c r="AF57" i="1"/>
  <c r="AF76" i="1" s="1"/>
  <c r="K73" i="10" s="1"/>
  <c r="AF54" i="1"/>
  <c r="AF58" i="1"/>
  <c r="AF77" i="1" s="1"/>
  <c r="Q73" i="10" s="1"/>
  <c r="AG50" i="1"/>
  <c r="AG70" i="1" s="1"/>
  <c r="E74" i="7" s="1"/>
  <c r="AG51" i="1"/>
  <c r="AG71" i="1" s="1"/>
  <c r="K74" i="7" s="1"/>
  <c r="AF63" i="1"/>
  <c r="AF82" i="1" s="1"/>
  <c r="AU73" i="10" s="1"/>
  <c r="AF64" i="1"/>
  <c r="AF83" i="1" s="1"/>
  <c r="BA73" i="10" s="1"/>
  <c r="AF62" i="1"/>
  <c r="AF81" i="1" s="1"/>
  <c r="AO73" i="10" s="1"/>
  <c r="AH56" i="1"/>
  <c r="AH75" i="1" s="1"/>
  <c r="E75" i="10" s="1"/>
  <c r="AF59" i="1"/>
  <c r="AF78" i="1" s="1"/>
  <c r="W73" i="10" s="1"/>
  <c r="AH65" i="1"/>
  <c r="AH84" i="1" s="1"/>
  <c r="BG75" i="10" s="1"/>
  <c r="AH41" i="1"/>
  <c r="AH40" i="1"/>
  <c r="BA30" i="10"/>
  <c r="K30" i="7"/>
  <c r="AG28" i="1"/>
  <c r="AG29" i="1"/>
  <c r="AG27" i="1"/>
  <c r="AH30" i="1"/>
  <c r="AH26" i="1"/>
  <c r="AF38" i="1"/>
  <c r="AG31" i="1"/>
  <c r="AG33" i="1"/>
  <c r="AG35" i="1"/>
  <c r="AG34" i="1"/>
  <c r="AG37" i="1"/>
  <c r="AG32" i="1"/>
  <c r="E32" i="10"/>
  <c r="AG36" i="1"/>
  <c r="AC30" i="10"/>
  <c r="O36" i="10"/>
  <c r="AU30" i="10"/>
  <c r="AJ4" i="1"/>
  <c r="AI25" i="1"/>
  <c r="AI49" i="1" s="1"/>
  <c r="AO30" i="10"/>
  <c r="AH39" i="1"/>
  <c r="E31" i="7"/>
  <c r="AI30" i="10"/>
  <c r="BG32" i="10"/>
  <c r="AM35" i="10"/>
  <c r="I36" i="10"/>
  <c r="C35" i="7"/>
  <c r="I79" i="10"/>
  <c r="AA36" i="7"/>
  <c r="AY36" i="10"/>
  <c r="I77" i="7"/>
  <c r="AG35" i="10"/>
  <c r="AG36" i="7"/>
  <c r="O77" i="10"/>
  <c r="AS35" i="10"/>
  <c r="AA35" i="10"/>
  <c r="I36" i="7"/>
  <c r="U37" i="7"/>
  <c r="U36" i="10"/>
  <c r="C77" i="10"/>
  <c r="C36" i="10"/>
  <c r="BE36" i="10"/>
  <c r="C79" i="7"/>
  <c r="AF74" i="1" l="1"/>
  <c r="AC73" i="7" s="1"/>
  <c r="AF55" i="1"/>
  <c r="W31" i="10"/>
  <c r="AG60" i="1"/>
  <c r="AG79" i="1" s="1"/>
  <c r="AC74" i="10" s="1"/>
  <c r="AG53" i="1"/>
  <c r="AG73" i="1" s="1"/>
  <c r="W74" i="7" s="1"/>
  <c r="AG61" i="1"/>
  <c r="AG80" i="1" s="1"/>
  <c r="AI74" i="10" s="1"/>
  <c r="AG52" i="1"/>
  <c r="AG72" i="1" s="1"/>
  <c r="Q74" i="7" s="1"/>
  <c r="Q31" i="10"/>
  <c r="K31" i="10"/>
  <c r="Q31" i="7"/>
  <c r="AG57" i="1"/>
  <c r="AG76" i="1" s="1"/>
  <c r="K74" i="10" s="1"/>
  <c r="AH50" i="1"/>
  <c r="AH70" i="1" s="1"/>
  <c r="E75" i="7" s="1"/>
  <c r="AH51" i="1"/>
  <c r="AH71" i="1" s="1"/>
  <c r="K75" i="7" s="1"/>
  <c r="AG58" i="1"/>
  <c r="AI56" i="1"/>
  <c r="AI75" i="1" s="1"/>
  <c r="E76" i="10" s="1"/>
  <c r="AG59" i="1"/>
  <c r="AG78" i="1" s="1"/>
  <c r="W74" i="10" s="1"/>
  <c r="AG62" i="1"/>
  <c r="AG81" i="1" s="1"/>
  <c r="AO74" i="10" s="1"/>
  <c r="AG63" i="1"/>
  <c r="AG82" i="1" s="1"/>
  <c r="AU74" i="10" s="1"/>
  <c r="AG64" i="1"/>
  <c r="AG83" i="1" s="1"/>
  <c r="BA74" i="10" s="1"/>
  <c r="AG54" i="1"/>
  <c r="AI65" i="1"/>
  <c r="AI84" i="1" s="1"/>
  <c r="BG76" i="10" s="1"/>
  <c r="AI40" i="1"/>
  <c r="AI41" i="1"/>
  <c r="AI39" i="1"/>
  <c r="AI26" i="1"/>
  <c r="AK4" i="1"/>
  <c r="AJ25" i="1"/>
  <c r="AJ49" i="1" s="1"/>
  <c r="AC31" i="10"/>
  <c r="AH29" i="1"/>
  <c r="AH27" i="1"/>
  <c r="AH28" i="1"/>
  <c r="AI30" i="1"/>
  <c r="BG33" i="10"/>
  <c r="K31" i="7"/>
  <c r="AG38" i="1"/>
  <c r="O37" i="10"/>
  <c r="BA31" i="10"/>
  <c r="AU31" i="10"/>
  <c r="AI31" i="10"/>
  <c r="AH35" i="1"/>
  <c r="AH37" i="1"/>
  <c r="AH33" i="1"/>
  <c r="AH32" i="1"/>
  <c r="AH34" i="1"/>
  <c r="AH36" i="1"/>
  <c r="E33" i="10"/>
  <c r="AH31" i="1"/>
  <c r="AO31" i="10"/>
  <c r="E32" i="7"/>
  <c r="AM36" i="10"/>
  <c r="I37" i="10"/>
  <c r="C36" i="7"/>
  <c r="I78" i="7"/>
  <c r="AS36" i="10"/>
  <c r="AY37" i="10"/>
  <c r="I80" i="10"/>
  <c r="C78" i="10"/>
  <c r="I37" i="7"/>
  <c r="O78" i="10"/>
  <c r="C80" i="7"/>
  <c r="AA37" i="7"/>
  <c r="U37" i="10"/>
  <c r="AG36" i="10"/>
  <c r="AA36" i="10"/>
  <c r="AG37" i="7"/>
  <c r="C37" i="10"/>
  <c r="U38" i="7"/>
  <c r="BE37" i="10"/>
  <c r="AG74" i="1" l="1"/>
  <c r="AC74" i="7" s="1"/>
  <c r="AG55" i="1"/>
  <c r="W32" i="10"/>
  <c r="AH61" i="1"/>
  <c r="AH80" i="1" s="1"/>
  <c r="AI75" i="10" s="1"/>
  <c r="AH53" i="1"/>
  <c r="AH73" i="1" s="1"/>
  <c r="W75" i="7" s="1"/>
  <c r="AH60" i="1"/>
  <c r="AH79" i="1" s="1"/>
  <c r="AC75" i="10" s="1"/>
  <c r="K32" i="10"/>
  <c r="Q32" i="7"/>
  <c r="AH52" i="1"/>
  <c r="AH72" i="1" s="1"/>
  <c r="Q75" i="7" s="1"/>
  <c r="Q32" i="10"/>
  <c r="AG77" i="1"/>
  <c r="Q74" i="10" s="1"/>
  <c r="AH59" i="1"/>
  <c r="AH78" i="1" s="1"/>
  <c r="W75" i="10" s="1"/>
  <c r="AJ56" i="1"/>
  <c r="AJ75" i="1" s="1"/>
  <c r="E77" i="10" s="1"/>
  <c r="AH57" i="1"/>
  <c r="AH76" i="1" s="1"/>
  <c r="K75" i="10" s="1"/>
  <c r="AH54" i="1"/>
  <c r="AH62" i="1"/>
  <c r="AH81" i="1" s="1"/>
  <c r="AO75" i="10" s="1"/>
  <c r="AH64" i="1"/>
  <c r="AH83" i="1" s="1"/>
  <c r="BA75" i="10" s="1"/>
  <c r="AH63" i="1"/>
  <c r="AH82" i="1" s="1"/>
  <c r="AU75" i="10" s="1"/>
  <c r="AI50" i="1"/>
  <c r="AI70" i="1" s="1"/>
  <c r="E76" i="7" s="1"/>
  <c r="AI51" i="1"/>
  <c r="AI71" i="1" s="1"/>
  <c r="K76" i="7" s="1"/>
  <c r="AH58" i="1"/>
  <c r="AH77" i="1" s="1"/>
  <c r="Q75" i="10" s="1"/>
  <c r="AJ65" i="1"/>
  <c r="AJ84" i="1" s="1"/>
  <c r="BG77" i="10" s="1"/>
  <c r="AJ40" i="1"/>
  <c r="AJ41" i="1"/>
  <c r="K32" i="7"/>
  <c r="AI37" i="1"/>
  <c r="AI35" i="1"/>
  <c r="AI31" i="1"/>
  <c r="AI36" i="1"/>
  <c r="AI34" i="1"/>
  <c r="AI33" i="1"/>
  <c r="E34" i="10"/>
  <c r="AI32" i="1"/>
  <c r="AI32" i="10"/>
  <c r="AJ26" i="1"/>
  <c r="AH38" i="1"/>
  <c r="Q33" i="10"/>
  <c r="AU32" i="10"/>
  <c r="AJ30" i="1"/>
  <c r="BA32" i="10"/>
  <c r="E33" i="7"/>
  <c r="AJ39" i="1"/>
  <c r="AO32" i="10"/>
  <c r="BG34" i="10"/>
  <c r="AI27" i="1"/>
  <c r="AI29" i="1"/>
  <c r="AI28" i="1"/>
  <c r="AK25" i="1"/>
  <c r="AK49" i="1" s="1"/>
  <c r="AL4" i="1"/>
  <c r="O38" i="10"/>
  <c r="AC32" i="10"/>
  <c r="AM37" i="10"/>
  <c r="I38" i="10"/>
  <c r="C37" i="7"/>
  <c r="BE38" i="10"/>
  <c r="AA38" i="7"/>
  <c r="O79" i="10"/>
  <c r="AS37" i="10"/>
  <c r="U38" i="10"/>
  <c r="U39" i="7"/>
  <c r="I81" i="10"/>
  <c r="C38" i="10"/>
  <c r="AA37" i="10"/>
  <c r="AG37" i="10"/>
  <c r="C79" i="10"/>
  <c r="AG38" i="7"/>
  <c r="I38" i="7"/>
  <c r="C81" i="7"/>
  <c r="E81" i="7" s="1"/>
  <c r="AY38" i="10"/>
  <c r="I79" i="7"/>
  <c r="AH74" i="1" l="1"/>
  <c r="AC75" i="7" s="1"/>
  <c r="AH55" i="1"/>
  <c r="Q33" i="7"/>
  <c r="K33" i="10"/>
  <c r="AI60" i="1"/>
  <c r="AI79" i="1" s="1"/>
  <c r="AC76" i="10" s="1"/>
  <c r="AI52" i="1"/>
  <c r="AI72" i="1" s="1"/>
  <c r="Q76" i="7" s="1"/>
  <c r="AI61" i="1"/>
  <c r="AI80" i="1" s="1"/>
  <c r="AI76" i="10" s="1"/>
  <c r="AI53" i="1"/>
  <c r="AI73" i="1" s="1"/>
  <c r="W76" i="7" s="1"/>
  <c r="W33" i="10"/>
  <c r="AI54" i="1"/>
  <c r="AI63" i="1"/>
  <c r="AI82" i="1" s="1"/>
  <c r="AU76" i="10" s="1"/>
  <c r="AI62" i="1"/>
  <c r="AI81" i="1" s="1"/>
  <c r="AO76" i="10" s="1"/>
  <c r="AI64" i="1"/>
  <c r="AI83" i="1" s="1"/>
  <c r="BA76" i="10" s="1"/>
  <c r="AI58" i="1"/>
  <c r="AI77" i="1" s="1"/>
  <c r="Q76" i="10" s="1"/>
  <c r="AI57" i="1"/>
  <c r="AI76" i="1" s="1"/>
  <c r="K76" i="10" s="1"/>
  <c r="AK56" i="1"/>
  <c r="AK75" i="1" s="1"/>
  <c r="E78" i="10" s="1"/>
  <c r="AJ51" i="1"/>
  <c r="AJ71" i="1" s="1"/>
  <c r="K77" i="7" s="1"/>
  <c r="AJ50" i="1"/>
  <c r="AJ70" i="1" s="1"/>
  <c r="E77" i="7" s="1"/>
  <c r="AI59" i="1"/>
  <c r="AI78" i="1" s="1"/>
  <c r="W76" i="10" s="1"/>
  <c r="AK65" i="1"/>
  <c r="AK84" i="1" s="1"/>
  <c r="BG78" i="10" s="1"/>
  <c r="AK41" i="1"/>
  <c r="AK40" i="1"/>
  <c r="K33" i="7"/>
  <c r="AK26" i="1"/>
  <c r="O39" i="10"/>
  <c r="BA33" i="10"/>
  <c r="AU33" i="10"/>
  <c r="AI33" i="10"/>
  <c r="AI38" i="1"/>
  <c r="E34" i="7"/>
  <c r="AJ35" i="1"/>
  <c r="AJ31" i="1"/>
  <c r="AJ34" i="1"/>
  <c r="AJ33" i="1"/>
  <c r="E35" i="10"/>
  <c r="AJ32" i="1"/>
  <c r="AJ37" i="1"/>
  <c r="AJ36" i="1"/>
  <c r="AJ29" i="1"/>
  <c r="AJ28" i="1"/>
  <c r="AJ27" i="1"/>
  <c r="AO33" i="10"/>
  <c r="AL25" i="1"/>
  <c r="AL49" i="1" s="1"/>
  <c r="AM4" i="1"/>
  <c r="AN4" i="1" s="1"/>
  <c r="AN25" i="1" s="1"/>
  <c r="AN49" i="1" s="1"/>
  <c r="BG35" i="10"/>
  <c r="AC33" i="10"/>
  <c r="AK30" i="1"/>
  <c r="AK39" i="1"/>
  <c r="AM38" i="10"/>
  <c r="C38" i="7"/>
  <c r="I39" i="10"/>
  <c r="I39" i="7"/>
  <c r="AS38" i="10"/>
  <c r="I80" i="7"/>
  <c r="C80" i="10"/>
  <c r="U39" i="10"/>
  <c r="AG38" i="10"/>
  <c r="C39" i="10"/>
  <c r="AG39" i="7"/>
  <c r="O80" i="10"/>
  <c r="AA39" i="7"/>
  <c r="AY39" i="10"/>
  <c r="AA38" i="10"/>
  <c r="BE39" i="10"/>
  <c r="AI74" i="1" l="1"/>
  <c r="AC76" i="7" s="1"/>
  <c r="AI55" i="1"/>
  <c r="W34" i="10"/>
  <c r="K34" i="10"/>
  <c r="AJ61" i="1"/>
  <c r="AJ80" i="1" s="1"/>
  <c r="AI77" i="10" s="1"/>
  <c r="Q34" i="10"/>
  <c r="Q34" i="7"/>
  <c r="AJ53" i="1"/>
  <c r="AJ73" i="1" s="1"/>
  <c r="W77" i="7" s="1"/>
  <c r="AJ52" i="1"/>
  <c r="AJ72" i="1" s="1"/>
  <c r="Q77" i="7" s="1"/>
  <c r="AJ60" i="1"/>
  <c r="AJ79" i="1" s="1"/>
  <c r="AC77" i="10" s="1"/>
  <c r="AJ57" i="1"/>
  <c r="AK50" i="1"/>
  <c r="AK70" i="1" s="1"/>
  <c r="E78" i="7" s="1"/>
  <c r="AK51" i="1"/>
  <c r="AK71" i="1" s="1"/>
  <c r="K78" i="7" s="1"/>
  <c r="AJ62" i="1"/>
  <c r="AJ81" i="1" s="1"/>
  <c r="AO77" i="10" s="1"/>
  <c r="AJ63" i="1"/>
  <c r="AJ82" i="1" s="1"/>
  <c r="AU77" i="10" s="1"/>
  <c r="AJ64" i="1"/>
  <c r="AJ83" i="1" s="1"/>
  <c r="BA77" i="10" s="1"/>
  <c r="AJ59" i="1"/>
  <c r="AJ78" i="1" s="1"/>
  <c r="W77" i="10" s="1"/>
  <c r="AL56" i="1"/>
  <c r="AL75" i="1" s="1"/>
  <c r="E79" i="10" s="1"/>
  <c r="AJ54" i="1"/>
  <c r="AJ58" i="1"/>
  <c r="AJ77" i="1" s="1"/>
  <c r="Q77" i="10" s="1"/>
  <c r="AL65" i="1"/>
  <c r="AL84" i="1" s="1"/>
  <c r="BG79" i="10" s="1"/>
  <c r="AN40" i="1"/>
  <c r="AL40" i="1"/>
  <c r="AN41" i="1"/>
  <c r="AL41" i="1"/>
  <c r="AL39" i="1"/>
  <c r="AC34" i="10"/>
  <c r="AJ38" i="1"/>
  <c r="BG36" i="10"/>
  <c r="AK29" i="1"/>
  <c r="AK27" i="1"/>
  <c r="AK28" i="1"/>
  <c r="E35" i="7"/>
  <c r="AL26" i="1"/>
  <c r="K34" i="7"/>
  <c r="AL30" i="1"/>
  <c r="AU34" i="10"/>
  <c r="AI34" i="10"/>
  <c r="AK35" i="1"/>
  <c r="AK36" i="1"/>
  <c r="AK33" i="1"/>
  <c r="AK31" i="1"/>
  <c r="AK34" i="1"/>
  <c r="AK32" i="1"/>
  <c r="AK37" i="1"/>
  <c r="E36" i="10"/>
  <c r="AO34" i="10"/>
  <c r="AM25" i="1"/>
  <c r="AM49" i="1" s="1"/>
  <c r="BA34" i="10"/>
  <c r="AM39" i="10"/>
  <c r="C39" i="7"/>
  <c r="O81" i="10"/>
  <c r="I81" i="7"/>
  <c r="K81" i="7" s="1"/>
  <c r="AS39" i="10"/>
  <c r="AA39" i="10"/>
  <c r="AG39" i="10"/>
  <c r="C81" i="10"/>
  <c r="AJ74" i="1" l="1"/>
  <c r="AC77" i="7" s="1"/>
  <c r="AJ55" i="1"/>
  <c r="Q35" i="7"/>
  <c r="W35" i="10"/>
  <c r="AN30" i="1"/>
  <c r="AN56" i="1"/>
  <c r="AN75" i="1" s="1"/>
  <c r="AN39" i="1"/>
  <c r="AN65" i="1"/>
  <c r="AN84" i="1" s="1"/>
  <c r="BG81" i="10" s="1"/>
  <c r="AK52" i="1"/>
  <c r="AK72" i="1" s="1"/>
  <c r="Q78" i="7" s="1"/>
  <c r="AK60" i="1"/>
  <c r="AK79" i="1" s="1"/>
  <c r="AC78" i="10" s="1"/>
  <c r="Q35" i="10"/>
  <c r="AK61" i="1"/>
  <c r="AK80" i="1" s="1"/>
  <c r="AI78" i="10" s="1"/>
  <c r="AK53" i="1"/>
  <c r="AK73" i="1" s="1"/>
  <c r="W78" i="7" s="1"/>
  <c r="K35" i="10"/>
  <c r="AJ76" i="1"/>
  <c r="K77" i="10" s="1"/>
  <c r="AL50" i="1"/>
  <c r="AL70" i="1" s="1"/>
  <c r="E79" i="7" s="1"/>
  <c r="AL51" i="1"/>
  <c r="AL71" i="1" s="1"/>
  <c r="K79" i="7" s="1"/>
  <c r="AK59" i="1"/>
  <c r="AK78" i="1" s="1"/>
  <c r="W78" i="10" s="1"/>
  <c r="AK57" i="1"/>
  <c r="AK58" i="1"/>
  <c r="AK62" i="1"/>
  <c r="AK81" i="1" s="1"/>
  <c r="AO78" i="10" s="1"/>
  <c r="AK64" i="1"/>
  <c r="AK83" i="1" s="1"/>
  <c r="BA78" i="10" s="1"/>
  <c r="AK63" i="1"/>
  <c r="AK82" i="1" s="1"/>
  <c r="AU78" i="10" s="1"/>
  <c r="AK54" i="1"/>
  <c r="AM56" i="1"/>
  <c r="AM75" i="1" s="1"/>
  <c r="E80" i="10" s="1"/>
  <c r="AM65" i="1"/>
  <c r="AM84" i="1" s="1"/>
  <c r="BG80" i="10" s="1"/>
  <c r="AM41" i="1"/>
  <c r="AM40" i="1"/>
  <c r="AH44" i="1"/>
  <c r="Z44" i="1"/>
  <c r="Y44" i="1"/>
  <c r="AF44" i="1"/>
  <c r="AM44" i="1"/>
  <c r="AE44" i="1"/>
  <c r="AL44" i="1"/>
  <c r="V44" i="1"/>
  <c r="AC44" i="1"/>
  <c r="U44" i="1"/>
  <c r="AB44" i="1"/>
  <c r="AI44" i="1"/>
  <c r="AG44" i="1"/>
  <c r="X44" i="1"/>
  <c r="W44" i="1"/>
  <c r="AD44" i="1"/>
  <c r="AK44" i="1"/>
  <c r="AJ44" i="1"/>
  <c r="AA44" i="1"/>
  <c r="AI35" i="10"/>
  <c r="AC35" i="10"/>
  <c r="AM26" i="1"/>
  <c r="AL27" i="1"/>
  <c r="AL29" i="1"/>
  <c r="AL28" i="1"/>
  <c r="E36" i="7"/>
  <c r="AU35" i="10"/>
  <c r="AO35" i="10"/>
  <c r="AK38" i="1"/>
  <c r="BG37" i="10"/>
  <c r="AL37" i="1"/>
  <c r="AL36" i="1"/>
  <c r="AL35" i="1"/>
  <c r="AL32" i="1"/>
  <c r="AL31" i="1"/>
  <c r="E37" i="10"/>
  <c r="AL33" i="1"/>
  <c r="AL34" i="1"/>
  <c r="AM39" i="1"/>
  <c r="BA35" i="10"/>
  <c r="AM30" i="1"/>
  <c r="K35" i="7"/>
  <c r="Q36" i="7" l="1"/>
  <c r="E81" i="10"/>
  <c r="AK74" i="1"/>
  <c r="AC78" i="7" s="1"/>
  <c r="AK55" i="1"/>
  <c r="W36" i="10"/>
  <c r="AN31" i="1"/>
  <c r="AN60" i="1" s="1"/>
  <c r="AN79" i="1" s="1"/>
  <c r="AN34" i="1"/>
  <c r="AN58" i="1" s="1"/>
  <c r="AN77" i="1" s="1"/>
  <c r="AN36" i="1"/>
  <c r="AN37" i="1"/>
  <c r="AN38" i="1" s="1"/>
  <c r="AN32" i="1"/>
  <c r="AN57" i="1" s="1"/>
  <c r="AN76" i="1" s="1"/>
  <c r="AN35" i="1"/>
  <c r="AN61" i="1" s="1"/>
  <c r="AN80" i="1" s="1"/>
  <c r="AN33" i="1"/>
  <c r="AN59" i="1" s="1"/>
  <c r="AN78" i="1" s="1"/>
  <c r="AL53" i="1"/>
  <c r="AL73" i="1" s="1"/>
  <c r="W79" i="7" s="1"/>
  <c r="AL52" i="1"/>
  <c r="AL72" i="1" s="1"/>
  <c r="Q79" i="7" s="1"/>
  <c r="AL60" i="1"/>
  <c r="AL79" i="1" s="1"/>
  <c r="AC79" i="10" s="1"/>
  <c r="Z69" i="1"/>
  <c r="Z88" i="1" s="1"/>
  <c r="AL61" i="1"/>
  <c r="AL80" i="1" s="1"/>
  <c r="AI79" i="10" s="1"/>
  <c r="K36" i="10"/>
  <c r="AK76" i="1"/>
  <c r="K78" i="10" s="1"/>
  <c r="Q36" i="10"/>
  <c r="AK77" i="1"/>
  <c r="Q78" i="10" s="1"/>
  <c r="U69" i="1"/>
  <c r="U88" i="1" s="1"/>
  <c r="AK69" i="1"/>
  <c r="AK88" i="1" s="1"/>
  <c r="AC69" i="1"/>
  <c r="AH69" i="1"/>
  <c r="AH88" i="1" s="1"/>
  <c r="W69" i="1"/>
  <c r="W88" i="1" s="1"/>
  <c r="AL69" i="1"/>
  <c r="AL88" i="1" s="1"/>
  <c r="V69" i="1"/>
  <c r="V88" i="1" s="1"/>
  <c r="AL58" i="1"/>
  <c r="AL77" i="1" s="1"/>
  <c r="Q79" i="10" s="1"/>
  <c r="AI23" i="7"/>
  <c r="X69" i="1"/>
  <c r="X88" i="1" s="1"/>
  <c r="AE69" i="1"/>
  <c r="AE88" i="1" s="1"/>
  <c r="AL63" i="1"/>
  <c r="AL82" i="1" s="1"/>
  <c r="AU79" i="10" s="1"/>
  <c r="AL62" i="1"/>
  <c r="AL81" i="1" s="1"/>
  <c r="AO79" i="10" s="1"/>
  <c r="AL64" i="1"/>
  <c r="AL83" i="1" s="1"/>
  <c r="BA79" i="10" s="1"/>
  <c r="AL59" i="1"/>
  <c r="AL78" i="1" s="1"/>
  <c r="W79" i="10" s="1"/>
  <c r="AL54" i="1"/>
  <c r="AG69" i="1"/>
  <c r="AM69" i="1"/>
  <c r="AL57" i="1"/>
  <c r="AL76" i="1" s="1"/>
  <c r="K79" i="10" s="1"/>
  <c r="AJ69" i="1"/>
  <c r="AJ88" i="1" s="1"/>
  <c r="AM51" i="1"/>
  <c r="AM71" i="1" s="1"/>
  <c r="K80" i="7" s="1"/>
  <c r="AM50" i="1"/>
  <c r="AM70" i="1" s="1"/>
  <c r="E80" i="7" s="1"/>
  <c r="AI69" i="1"/>
  <c r="AF69" i="1"/>
  <c r="AF88" i="1" s="1"/>
  <c r="AD69" i="1"/>
  <c r="AD88" i="1" s="1"/>
  <c r="AA69" i="1"/>
  <c r="AB69" i="1"/>
  <c r="AB88" i="1" s="1"/>
  <c r="Y69" i="1"/>
  <c r="Y88" i="1" s="1"/>
  <c r="AI21" i="7"/>
  <c r="AI39" i="7"/>
  <c r="AI24" i="7"/>
  <c r="BG39" i="10"/>
  <c r="AO36" i="10"/>
  <c r="AM36" i="1"/>
  <c r="AM37" i="1"/>
  <c r="AM33" i="1"/>
  <c r="AM32" i="1"/>
  <c r="E38" i="10"/>
  <c r="AM35" i="1"/>
  <c r="AM34" i="1"/>
  <c r="AM31" i="1"/>
  <c r="AL38" i="1"/>
  <c r="AU36" i="10"/>
  <c r="AM29" i="1"/>
  <c r="AM28" i="1"/>
  <c r="AM27" i="1"/>
  <c r="K36" i="7"/>
  <c r="AI36" i="10"/>
  <c r="E39" i="10"/>
  <c r="E37" i="7"/>
  <c r="AC36" i="10"/>
  <c r="BA36" i="10"/>
  <c r="BG38" i="10"/>
  <c r="AL74" i="1" l="1"/>
  <c r="AC79" i="7" s="1"/>
  <c r="AL55" i="1"/>
  <c r="Q37" i="10"/>
  <c r="Q37" i="7"/>
  <c r="W37" i="10"/>
  <c r="AN63" i="1"/>
  <c r="AN82" i="1" s="1"/>
  <c r="AN62" i="1"/>
  <c r="AN81" i="1" s="1"/>
  <c r="AN64" i="1"/>
  <c r="AN83" i="1" s="1"/>
  <c r="AI36" i="7"/>
  <c r="AI37" i="7"/>
  <c r="AI20" i="7"/>
  <c r="AM60" i="1"/>
  <c r="AM79" i="1" s="1"/>
  <c r="AC80" i="10" s="1"/>
  <c r="AM52" i="1"/>
  <c r="AM72" i="1" s="1"/>
  <c r="Q80" i="7" s="1"/>
  <c r="AM61" i="1"/>
  <c r="AM80" i="1" s="1"/>
  <c r="AI80" i="10" s="1"/>
  <c r="AM53" i="1"/>
  <c r="AM73" i="1" s="1"/>
  <c r="W80" i="7" s="1"/>
  <c r="AI25" i="7"/>
  <c r="AI30" i="7"/>
  <c r="AI22" i="7"/>
  <c r="AI26" i="7"/>
  <c r="AA88" i="1"/>
  <c r="AI38" i="7"/>
  <c r="AM88" i="1"/>
  <c r="AI28" i="7"/>
  <c r="AC88" i="1"/>
  <c r="AI32" i="7"/>
  <c r="AG88" i="1"/>
  <c r="AI34" i="7"/>
  <c r="AI88" i="1"/>
  <c r="K37" i="10"/>
  <c r="AI33" i="7"/>
  <c r="AM64" i="1"/>
  <c r="AM83" i="1" s="1"/>
  <c r="BA80" i="10" s="1"/>
  <c r="AM63" i="1"/>
  <c r="AM82" i="1" s="1"/>
  <c r="AU80" i="10" s="1"/>
  <c r="AM62" i="1"/>
  <c r="AM81" i="1" s="1"/>
  <c r="AO80" i="10" s="1"/>
  <c r="AI29" i="7"/>
  <c r="AI35" i="7"/>
  <c r="AM58" i="1"/>
  <c r="AM77" i="1" s="1"/>
  <c r="Q80" i="10" s="1"/>
  <c r="AM54" i="1"/>
  <c r="AM57" i="1"/>
  <c r="AM76" i="1" s="1"/>
  <c r="K80" i="10" s="1"/>
  <c r="AI31" i="7"/>
  <c r="AM59" i="1"/>
  <c r="AM78" i="1" s="1"/>
  <c r="W80" i="10" s="1"/>
  <c r="AI27" i="7"/>
  <c r="E38" i="7"/>
  <c r="Q39" i="7"/>
  <c r="E39" i="7"/>
  <c r="AI37" i="10"/>
  <c r="AM38" i="1"/>
  <c r="AU37" i="10"/>
  <c r="BA37" i="10"/>
  <c r="AO37" i="10"/>
  <c r="K37" i="7"/>
  <c r="AC37" i="10"/>
  <c r="K39" i="10" l="1"/>
  <c r="BA81" i="10"/>
  <c r="K81" i="10"/>
  <c r="AO81" i="10"/>
  <c r="AI81" i="10"/>
  <c r="AU81" i="10"/>
  <c r="W81" i="10"/>
  <c r="AC81" i="10"/>
  <c r="Q81" i="10"/>
  <c r="AM74" i="1"/>
  <c r="AC80" i="7" s="1"/>
  <c r="AM55" i="1"/>
  <c r="Q38" i="10"/>
  <c r="W38" i="10"/>
  <c r="K38" i="10"/>
  <c r="W39" i="10"/>
  <c r="Q38" i="7"/>
  <c r="Q39" i="10"/>
  <c r="AO39" i="10"/>
  <c r="K38" i="7"/>
  <c r="AI39" i="10"/>
  <c r="AC39" i="10"/>
  <c r="AI38" i="10"/>
  <c r="AC38" i="10"/>
  <c r="BA39" i="10"/>
  <c r="AO38" i="10"/>
  <c r="K39" i="7"/>
  <c r="AU38" i="10"/>
  <c r="AU39" i="10"/>
  <c r="BA38" i="10"/>
  <c r="X45" i="1" l="1"/>
  <c r="V45" i="1"/>
  <c r="AL45" i="1"/>
  <c r="AG45" i="1"/>
  <c r="W45" i="1"/>
  <c r="Y45" i="1"/>
  <c r="AE45" i="1"/>
  <c r="AA45" i="1"/>
  <c r="U45" i="1"/>
  <c r="AC45" i="1"/>
  <c r="AM45" i="1"/>
  <c r="AC39" i="7"/>
  <c r="AJ45" i="1"/>
  <c r="AB45" i="1"/>
  <c r="Z45" i="1"/>
  <c r="AK45" i="1"/>
  <c r="AI45" i="1"/>
  <c r="AH45" i="1"/>
  <c r="AD45" i="1"/>
  <c r="AF45" i="1"/>
  <c r="W39" i="7"/>
  <c r="V43" i="1"/>
  <c r="N43" i="1"/>
  <c r="X43" i="1"/>
  <c r="AE43" i="1"/>
  <c r="Y43" i="1"/>
  <c r="AJ43" i="1"/>
  <c r="AD43" i="1"/>
  <c r="W19" i="7"/>
  <c r="M43" i="1"/>
  <c r="AM43" i="1"/>
  <c r="W43" i="1"/>
  <c r="AC43" i="1"/>
  <c r="AB43" i="1"/>
  <c r="AG43" i="1"/>
  <c r="AA43" i="1"/>
  <c r="AF43" i="1"/>
  <c r="AH43" i="1"/>
  <c r="Q43" i="1"/>
  <c r="O43" i="1"/>
  <c r="H43" i="1"/>
  <c r="G43" i="1"/>
  <c r="P43" i="1"/>
  <c r="K43" i="1"/>
  <c r="AK43" i="1"/>
  <c r="AI43" i="1"/>
  <c r="I43" i="1"/>
  <c r="S43" i="1"/>
  <c r="Z43" i="1"/>
  <c r="L43" i="1"/>
  <c r="AL43" i="1"/>
  <c r="R43" i="1"/>
  <c r="J43" i="1"/>
  <c r="U43" i="1"/>
  <c r="U66" i="1" l="1"/>
  <c r="U85" i="1" s="1"/>
  <c r="U67" i="1"/>
  <c r="U86" i="1" s="1"/>
  <c r="AM67" i="1"/>
  <c r="AM86" i="1" s="1"/>
  <c r="AM66" i="1"/>
  <c r="AM85" i="1" s="1"/>
  <c r="AE68" i="1"/>
  <c r="AE87" i="1" s="1"/>
  <c r="J67" i="1"/>
  <c r="J86" i="1" s="1"/>
  <c r="J66" i="1"/>
  <c r="J85" i="1" s="1"/>
  <c r="AK66" i="1"/>
  <c r="AK85" i="1" s="1"/>
  <c r="AK67" i="1"/>
  <c r="AK86" i="1" s="1"/>
  <c r="AH67" i="1"/>
  <c r="AH86" i="1" s="1"/>
  <c r="AH66" i="1"/>
  <c r="AH85" i="1" s="1"/>
  <c r="M66" i="1"/>
  <c r="M85" i="1" s="1"/>
  <c r="M67" i="1"/>
  <c r="M86" i="1" s="1"/>
  <c r="V66" i="1"/>
  <c r="V85" i="1" s="1"/>
  <c r="V67" i="1"/>
  <c r="V86" i="1" s="1"/>
  <c r="AC27" i="7"/>
  <c r="AB68" i="1"/>
  <c r="AB87" i="1" s="1"/>
  <c r="Y68" i="1"/>
  <c r="Y87" i="1" s="1"/>
  <c r="AC32" i="7"/>
  <c r="AG68" i="1"/>
  <c r="AG87" i="1" s="1"/>
  <c r="AI67" i="1"/>
  <c r="AI86" i="1" s="1"/>
  <c r="AI66" i="1"/>
  <c r="AI85" i="1" s="1"/>
  <c r="N66" i="1"/>
  <c r="N85" i="1" s="1"/>
  <c r="N67" i="1"/>
  <c r="N86" i="1" s="1"/>
  <c r="R67" i="1"/>
  <c r="R86" i="1" s="1"/>
  <c r="R66" i="1"/>
  <c r="R85" i="1" s="1"/>
  <c r="AF66" i="1"/>
  <c r="AF85" i="1" s="1"/>
  <c r="AF67" i="1"/>
  <c r="AF86" i="1" s="1"/>
  <c r="AC35" i="7"/>
  <c r="AJ68" i="1"/>
  <c r="AJ87" i="1" s="1"/>
  <c r="AD66" i="1"/>
  <c r="AD85" i="1" s="1"/>
  <c r="AD67" i="1"/>
  <c r="AD86" i="1" s="1"/>
  <c r="L67" i="1"/>
  <c r="L66" i="1"/>
  <c r="L85" i="1" s="1"/>
  <c r="G66" i="1"/>
  <c r="G67" i="1"/>
  <c r="AG67" i="1"/>
  <c r="AG86" i="1" s="1"/>
  <c r="AG66" i="1"/>
  <c r="AG85" i="1" s="1"/>
  <c r="AJ67" i="1"/>
  <c r="AJ86" i="1" s="1"/>
  <c r="AJ66" i="1"/>
  <c r="AJ85" i="1" s="1"/>
  <c r="AD68" i="1"/>
  <c r="AD87" i="1" s="1"/>
  <c r="AM68" i="1"/>
  <c r="AM87" i="1" s="1"/>
  <c r="AL68" i="1"/>
  <c r="AL87" i="1" s="1"/>
  <c r="AL66" i="1"/>
  <c r="AL85" i="1" s="1"/>
  <c r="AL67" i="1"/>
  <c r="AL86" i="1" s="1"/>
  <c r="AF68" i="1"/>
  <c r="AF87" i="1" s="1"/>
  <c r="H66" i="1"/>
  <c r="H85" i="1" s="1"/>
  <c r="H67" i="1"/>
  <c r="AB67" i="1"/>
  <c r="AB86" i="1" s="1"/>
  <c r="AB66" i="1"/>
  <c r="AB85" i="1" s="1"/>
  <c r="Y66" i="1"/>
  <c r="Y85" i="1" s="1"/>
  <c r="Y67" i="1"/>
  <c r="Y86" i="1" s="1"/>
  <c r="AH68" i="1"/>
  <c r="AH87" i="1" s="1"/>
  <c r="AC68" i="1"/>
  <c r="AC87" i="1" s="1"/>
  <c r="V68" i="1"/>
  <c r="V87" i="1" s="1"/>
  <c r="P66" i="1"/>
  <c r="P85" i="1" s="1"/>
  <c r="P67" i="1"/>
  <c r="P86" i="1" s="1"/>
  <c r="Z67" i="1"/>
  <c r="Z86" i="1" s="1"/>
  <c r="Z66" i="1"/>
  <c r="Z85" i="1" s="1"/>
  <c r="S67" i="1"/>
  <c r="S86" i="1" s="1"/>
  <c r="S66" i="1"/>
  <c r="S85" i="1" s="1"/>
  <c r="O67" i="1"/>
  <c r="O86" i="1" s="1"/>
  <c r="O66" i="1"/>
  <c r="O85" i="1" s="1"/>
  <c r="AC66" i="1"/>
  <c r="AC85" i="1" s="1"/>
  <c r="AC67" i="1"/>
  <c r="AC86" i="1" s="1"/>
  <c r="AE67" i="1"/>
  <c r="AE66" i="1"/>
  <c r="AE85" i="1" s="1"/>
  <c r="AI68" i="1"/>
  <c r="AI87" i="1" s="1"/>
  <c r="U68" i="1"/>
  <c r="U87" i="1" s="1"/>
  <c r="X68" i="1"/>
  <c r="X87" i="1" s="1"/>
  <c r="Z68" i="1"/>
  <c r="Z87" i="1" s="1"/>
  <c r="K66" i="1"/>
  <c r="K85" i="1" s="1"/>
  <c r="K67" i="1"/>
  <c r="K86" i="1" s="1"/>
  <c r="W68" i="1"/>
  <c r="W87" i="1" s="1"/>
  <c r="AA66" i="1"/>
  <c r="AA85" i="1" s="1"/>
  <c r="AA67" i="1"/>
  <c r="I67" i="1"/>
  <c r="I66" i="1"/>
  <c r="I85" i="1" s="1"/>
  <c r="Q66" i="1"/>
  <c r="Q85" i="1" s="1"/>
  <c r="Q67" i="1"/>
  <c r="Q86" i="1" s="1"/>
  <c r="W67" i="1"/>
  <c r="W66" i="1"/>
  <c r="W85" i="1" s="1"/>
  <c r="X66" i="1"/>
  <c r="X85" i="1" s="1"/>
  <c r="X67" i="1"/>
  <c r="X86" i="1" s="1"/>
  <c r="AK68" i="1"/>
  <c r="AK87" i="1" s="1"/>
  <c r="AA68" i="1"/>
  <c r="AA87" i="1" s="1"/>
  <c r="W14" i="7"/>
  <c r="W12" i="7"/>
  <c r="W37" i="7"/>
  <c r="W31" i="7"/>
  <c r="W38" i="7"/>
  <c r="W13" i="7"/>
  <c r="W17" i="7"/>
  <c r="W18" i="7"/>
  <c r="W21" i="7"/>
  <c r="W35" i="7"/>
  <c r="W23" i="7"/>
  <c r="W20" i="7"/>
  <c r="W15" i="7"/>
  <c r="J21" i="23" l="1"/>
  <c r="C21" i="23" s="1"/>
  <c r="J21" i="24"/>
  <c r="C21" i="24" s="1"/>
  <c r="J21" i="22"/>
  <c r="J10" i="23"/>
  <c r="C10" i="23" s="1"/>
  <c r="J10" i="24"/>
  <c r="C10" i="24" s="1"/>
  <c r="J10" i="22"/>
  <c r="J24" i="23"/>
  <c r="C24" i="23" s="1"/>
  <c r="J24" i="24"/>
  <c r="C24" i="24" s="1"/>
  <c r="G85" i="1"/>
  <c r="G86" i="1"/>
  <c r="J24" i="22"/>
  <c r="J24" i="18"/>
  <c r="AC31" i="7"/>
  <c r="W25" i="7"/>
  <c r="W10" i="7"/>
  <c r="W16" i="7"/>
  <c r="AC24" i="7"/>
  <c r="AC22" i="7"/>
  <c r="W8" i="7"/>
  <c r="I86" i="1"/>
  <c r="W26" i="7"/>
  <c r="AA86" i="1"/>
  <c r="W7" i="7"/>
  <c r="H86" i="1"/>
  <c r="W11" i="7"/>
  <c r="L86" i="1"/>
  <c r="W22" i="7"/>
  <c r="W86" i="1"/>
  <c r="W30" i="7"/>
  <c r="AE86" i="1"/>
  <c r="AC34" i="7"/>
  <c r="AC33" i="7"/>
  <c r="AC37" i="7"/>
  <c r="AC30" i="7"/>
  <c r="AC26" i="7"/>
  <c r="AC25" i="7"/>
  <c r="AC38" i="7"/>
  <c r="W29" i="7"/>
  <c r="AC36" i="7"/>
  <c r="AC23" i="7"/>
  <c r="AC21" i="7"/>
  <c r="AC29" i="7"/>
  <c r="W32" i="7"/>
  <c r="AC20" i="7"/>
  <c r="AC28" i="7"/>
  <c r="W27" i="7"/>
  <c r="W33" i="7"/>
  <c r="W36" i="7"/>
  <c r="W24" i="7"/>
  <c r="W6" i="7"/>
  <c r="W9" i="7"/>
  <c r="W28" i="7"/>
  <c r="W34" i="7"/>
  <c r="J96" i="18" l="1"/>
  <c r="J96" i="23"/>
  <c r="C96" i="23" s="1"/>
  <c r="J82" i="23"/>
  <c r="C82" i="23" s="1"/>
  <c r="H21" i="23"/>
  <c r="J93" i="23"/>
  <c r="C93" i="23" s="1"/>
  <c r="J96" i="24"/>
  <c r="C96" i="24" s="1"/>
  <c r="J82" i="24"/>
  <c r="C82" i="24" s="1"/>
  <c r="H21" i="24"/>
  <c r="J93" i="24"/>
  <c r="C93" i="24" s="1"/>
  <c r="J96" i="22"/>
  <c r="J82" i="22"/>
  <c r="H21" i="22"/>
  <c r="J93" i="22"/>
  <c r="E10" i="17"/>
  <c r="J10" i="18" s="1"/>
  <c r="E21" i="17"/>
  <c r="J21" i="18" s="1"/>
  <c r="E49" i="17"/>
  <c r="H24" i="24"/>
  <c r="H24" i="23"/>
  <c r="J11" i="22"/>
  <c r="J22" i="23"/>
  <c r="C22" i="23" s="1"/>
  <c r="E22" i="17"/>
  <c r="J22" i="18" s="1"/>
  <c r="J22" i="22"/>
  <c r="J11" i="23"/>
  <c r="C11" i="23" s="1"/>
  <c r="J54" i="18"/>
  <c r="E11" i="17"/>
  <c r="J11" i="18" s="1"/>
  <c r="J38" i="23"/>
  <c r="C38" i="23" s="1"/>
  <c r="H24" i="18"/>
  <c r="J38" i="22"/>
  <c r="J54" i="23"/>
  <c r="C54" i="23" s="1"/>
  <c r="H49" i="24"/>
  <c r="E37" i="17"/>
  <c r="J38" i="18" s="1"/>
  <c r="H24" i="22"/>
  <c r="J54" i="22"/>
  <c r="H96" i="18" l="1"/>
  <c r="H93" i="23"/>
  <c r="J126" i="23"/>
  <c r="C126" i="23" s="1"/>
  <c r="J110" i="23"/>
  <c r="C110" i="23" s="1"/>
  <c r="H96" i="23"/>
  <c r="J83" i="23"/>
  <c r="C83" i="23" s="1"/>
  <c r="J94" i="23"/>
  <c r="C94" i="23" s="1"/>
  <c r="H93" i="24"/>
  <c r="H96" i="24"/>
  <c r="J126" i="22"/>
  <c r="J110" i="22"/>
  <c r="J83" i="22"/>
  <c r="H96" i="22"/>
  <c r="J94" i="22"/>
  <c r="H93" i="22"/>
  <c r="J55" i="18"/>
  <c r="H55" i="18" s="1"/>
  <c r="J126" i="18"/>
  <c r="J39" i="18"/>
  <c r="J110" i="18"/>
  <c r="J94" i="18"/>
  <c r="H21" i="18"/>
  <c r="J93" i="18"/>
  <c r="J83" i="18"/>
  <c r="J82" i="18"/>
  <c r="J22" i="24"/>
  <c r="C22" i="24" s="1"/>
  <c r="J55" i="22"/>
  <c r="H54" i="22"/>
  <c r="J39" i="23"/>
  <c r="C39" i="23" s="1"/>
  <c r="H38" i="23"/>
  <c r="H57" i="24"/>
  <c r="J54" i="24"/>
  <c r="C54" i="24" s="1"/>
  <c r="J40" i="18"/>
  <c r="H39" i="18"/>
  <c r="J11" i="24"/>
  <c r="C11" i="24" s="1"/>
  <c r="J56" i="18"/>
  <c r="J39" i="22"/>
  <c r="H38" i="22"/>
  <c r="J55" i="23"/>
  <c r="C55" i="23" s="1"/>
  <c r="H54" i="23"/>
  <c r="H37" i="24"/>
  <c r="J38" i="24"/>
  <c r="C38" i="24" s="1"/>
  <c r="H57" i="23"/>
  <c r="H37" i="23"/>
  <c r="H49" i="22"/>
  <c r="H11" i="23"/>
  <c r="H37" i="22"/>
  <c r="H22" i="23"/>
  <c r="H22" i="22"/>
  <c r="H49" i="23"/>
  <c r="H57" i="22"/>
  <c r="H11" i="22"/>
  <c r="H11" i="18"/>
  <c r="H38" i="18"/>
  <c r="H22" i="18"/>
  <c r="H54" i="18"/>
  <c r="H110" i="23" l="1"/>
  <c r="J111" i="23"/>
  <c r="C111" i="23" s="1"/>
  <c r="H94" i="23"/>
  <c r="H126" i="23"/>
  <c r="J127" i="23"/>
  <c r="C127" i="23" s="1"/>
  <c r="H83" i="23"/>
  <c r="H22" i="24"/>
  <c r="J94" i="24"/>
  <c r="C94" i="24" s="1"/>
  <c r="J126" i="24"/>
  <c r="C126" i="24" s="1"/>
  <c r="J110" i="24"/>
  <c r="C110" i="24" s="1"/>
  <c r="H11" i="24"/>
  <c r="J83" i="24"/>
  <c r="C83" i="24" s="1"/>
  <c r="H83" i="22"/>
  <c r="H110" i="22"/>
  <c r="J111" i="22"/>
  <c r="J127" i="22"/>
  <c r="H94" i="22"/>
  <c r="H126" i="22"/>
  <c r="H126" i="18"/>
  <c r="H56" i="18"/>
  <c r="J128" i="18"/>
  <c r="J127" i="18"/>
  <c r="J112" i="18"/>
  <c r="H110" i="18"/>
  <c r="J111" i="18"/>
  <c r="H93" i="18"/>
  <c r="H94" i="18"/>
  <c r="H83" i="18"/>
  <c r="J55" i="24"/>
  <c r="C55" i="24" s="1"/>
  <c r="H54" i="24"/>
  <c r="J40" i="22"/>
  <c r="H39" i="22"/>
  <c r="J40" i="23"/>
  <c r="C40" i="23" s="1"/>
  <c r="H39" i="23"/>
  <c r="J39" i="24"/>
  <c r="C39" i="24" s="1"/>
  <c r="H38" i="24"/>
  <c r="J56" i="22"/>
  <c r="H55" i="22"/>
  <c r="J56" i="23"/>
  <c r="C56" i="23" s="1"/>
  <c r="H55" i="23"/>
  <c r="J41" i="18"/>
  <c r="H40" i="18"/>
  <c r="H56" i="23" l="1"/>
  <c r="J128" i="23"/>
  <c r="C128" i="23" s="1"/>
  <c r="H111" i="23"/>
  <c r="J112" i="23"/>
  <c r="C112" i="23" s="1"/>
  <c r="H127" i="23"/>
  <c r="H126" i="24"/>
  <c r="J111" i="24"/>
  <c r="C111" i="24" s="1"/>
  <c r="H94" i="24"/>
  <c r="H110" i="24"/>
  <c r="H83" i="24"/>
  <c r="J127" i="24"/>
  <c r="C127" i="24" s="1"/>
  <c r="H127" i="22"/>
  <c r="H111" i="22"/>
  <c r="J112" i="22"/>
  <c r="H56" i="22"/>
  <c r="J128" i="22"/>
  <c r="H127" i="18"/>
  <c r="H128" i="18"/>
  <c r="H112" i="18"/>
  <c r="H111" i="18"/>
  <c r="J113" i="18"/>
  <c r="J40" i="24"/>
  <c r="C40" i="24" s="1"/>
  <c r="H39" i="24"/>
  <c r="J41" i="22"/>
  <c r="H40" i="22"/>
  <c r="J42" i="18"/>
  <c r="H41" i="18"/>
  <c r="J41" i="23"/>
  <c r="C41" i="23" s="1"/>
  <c r="H40" i="23"/>
  <c r="J56" i="24"/>
  <c r="C56" i="24" s="1"/>
  <c r="H55" i="24"/>
  <c r="H112" i="23" l="1"/>
  <c r="J113" i="23"/>
  <c r="C113" i="23" s="1"/>
  <c r="H128" i="23"/>
  <c r="J112" i="24"/>
  <c r="C112" i="24" s="1"/>
  <c r="H111" i="24"/>
  <c r="H127" i="24"/>
  <c r="H56" i="24"/>
  <c r="J128" i="24"/>
  <c r="C128" i="24" s="1"/>
  <c r="H112" i="22"/>
  <c r="J113" i="22"/>
  <c r="H128" i="22"/>
  <c r="H113" i="18"/>
  <c r="J114" i="18"/>
  <c r="J43" i="18"/>
  <c r="H42" i="18"/>
  <c r="J42" i="22"/>
  <c r="H41" i="22"/>
  <c r="J42" i="23"/>
  <c r="C42" i="23" s="1"/>
  <c r="H41" i="23"/>
  <c r="J41" i="24"/>
  <c r="C41" i="24" s="1"/>
  <c r="H40" i="24"/>
  <c r="J114" i="23" l="1"/>
  <c r="C114" i="23" s="1"/>
  <c r="H113" i="23"/>
  <c r="J113" i="24"/>
  <c r="C113" i="24" s="1"/>
  <c r="H112" i="24"/>
  <c r="H128" i="24"/>
  <c r="J114" i="22"/>
  <c r="H113" i="22"/>
  <c r="H43" i="18"/>
  <c r="J115" i="18"/>
  <c r="H114" i="18"/>
  <c r="J43" i="23"/>
  <c r="C43" i="23" s="1"/>
  <c r="H42" i="23"/>
  <c r="J43" i="22"/>
  <c r="H42" i="22"/>
  <c r="J42" i="24"/>
  <c r="C42" i="24" s="1"/>
  <c r="H41" i="24"/>
  <c r="H43" i="23" l="1"/>
  <c r="J115" i="23"/>
  <c r="C115" i="23" s="1"/>
  <c r="H114" i="23"/>
  <c r="H113" i="24"/>
  <c r="J114" i="24"/>
  <c r="C114" i="24" s="1"/>
  <c r="H43" i="22"/>
  <c r="J115" i="22"/>
  <c r="H114" i="22"/>
  <c r="H115" i="18"/>
  <c r="J43" i="24"/>
  <c r="C43" i="24" s="1"/>
  <c r="H42" i="24"/>
  <c r="H115" i="23" l="1"/>
  <c r="H114" i="24"/>
  <c r="H43" i="24"/>
  <c r="J115" i="24"/>
  <c r="C115" i="24" s="1"/>
  <c r="H115" i="22"/>
  <c r="H115" i="24" l="1"/>
</calcChain>
</file>

<file path=xl/sharedStrings.xml><?xml version="1.0" encoding="utf-8"?>
<sst xmlns="http://schemas.openxmlformats.org/spreadsheetml/2006/main" count="2036" uniqueCount="402">
  <si>
    <t>Conversion factors</t>
  </si>
  <si>
    <t xml:space="preserve">1 year = </t>
  </si>
  <si>
    <t>hours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</si>
  <si>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</si>
  <si>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</si>
  <si>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</si>
  <si>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</si>
  <si>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</si>
  <si>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</si>
  <si>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</si>
  <si>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</si>
  <si>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</si>
  <si>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</si>
  <si>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</si>
  <si>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</si>
  <si>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</si>
  <si>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</si>
  <si>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</si>
  <si>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</si>
  <si>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</si>
  <si>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</si>
  <si>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</si>
  <si>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</si>
  <si>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</si>
  <si>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</si>
  <si>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</si>
  <si>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</si>
  <si>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</si>
  <si>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</si>
  <si>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</si>
  <si>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Exchange Rates</t>
  </si>
  <si>
    <t>Coal to coke</t>
  </si>
  <si>
    <t>Crude to Heavy Fuel</t>
  </si>
  <si>
    <t>Crude to LPG</t>
  </si>
  <si>
    <t>Crude to Gasoline</t>
  </si>
  <si>
    <t>LPG</t>
  </si>
  <si>
    <t>Coal</t>
  </si>
  <si>
    <t>Naphta</t>
  </si>
  <si>
    <t>Kerosene</t>
  </si>
  <si>
    <t>COST</t>
  </si>
  <si>
    <t>Attribute</t>
  </si>
  <si>
    <t>Year</t>
  </si>
  <si>
    <t>Pset_PN</t>
  </si>
  <si>
    <t>Cset_CN</t>
  </si>
  <si>
    <t>Crude Oil</t>
  </si>
  <si>
    <t>Hard Coal</t>
  </si>
  <si>
    <t>1Bbl</t>
  </si>
  <si>
    <t>~TFM_INS</t>
  </si>
  <si>
    <t xml:space="preserve"> </t>
  </si>
  <si>
    <t>Other oil products</t>
  </si>
  <si>
    <t>Feedstocks</t>
  </si>
  <si>
    <t>$/GJ</t>
  </si>
  <si>
    <t>PJ/an</t>
  </si>
  <si>
    <t>$/bbl</t>
  </si>
  <si>
    <t>$/ton</t>
  </si>
  <si>
    <t>Crude oil</t>
  </si>
  <si>
    <t>NGL</t>
  </si>
  <si>
    <t>Refinery feed stocks</t>
  </si>
  <si>
    <t>Refinery gas</t>
  </si>
  <si>
    <t>LPG's</t>
  </si>
  <si>
    <t>Aviation gasoline</t>
  </si>
  <si>
    <t>Motor gasoline</t>
  </si>
  <si>
    <t>Jet fuel</t>
  </si>
  <si>
    <t>Naphtha</t>
  </si>
  <si>
    <t>Gas/Diesel</t>
  </si>
  <si>
    <t>Other products including heavy fuel oil</t>
  </si>
  <si>
    <t>IEA Conversion Factors</t>
  </si>
  <si>
    <t>Metric tons to toe</t>
  </si>
  <si>
    <t>$/toe</t>
  </si>
  <si>
    <t>Coef</t>
  </si>
  <si>
    <t>LPG ($/ton)</t>
  </si>
  <si>
    <t>HFO</t>
  </si>
  <si>
    <t>LPG ($/GJ)</t>
  </si>
  <si>
    <t>Kerosene ($/ton)</t>
  </si>
  <si>
    <t>Kerosene ($/GJ)</t>
  </si>
  <si>
    <t>Diesel ($/ton)</t>
  </si>
  <si>
    <t>Diesel ($/GJ)</t>
  </si>
  <si>
    <t>HFO ($/ton)</t>
  </si>
  <si>
    <t>HFO ($/GJ)</t>
  </si>
  <si>
    <t>Gasoline ($/ton)</t>
  </si>
  <si>
    <t>Gasoline ($/GJ)</t>
  </si>
  <si>
    <t>Crude to Gas/Diesel Oil</t>
  </si>
  <si>
    <t>Gas/Diesel Oil</t>
  </si>
  <si>
    <t>Crude to Kerosene</t>
  </si>
  <si>
    <t>Crude Oil ($/GJ)</t>
  </si>
  <si>
    <t>Crude Oil ($/bbl)</t>
  </si>
  <si>
    <t>Prices of Oil Products wrt Crude Oil prices</t>
  </si>
  <si>
    <t xml:space="preserve">Source: IEA </t>
  </si>
  <si>
    <t>Coke</t>
  </si>
  <si>
    <t>GJ/kg</t>
  </si>
  <si>
    <t>Bioethanol</t>
  </si>
  <si>
    <t>Biodiesel</t>
  </si>
  <si>
    <t>Default Units</t>
  </si>
  <si>
    <t>BASE_YEAR</t>
  </si>
  <si>
    <t>Energy</t>
  </si>
  <si>
    <t>END_YEAR</t>
  </si>
  <si>
    <t>Currency Unit</t>
  </si>
  <si>
    <t>Emissions</t>
  </si>
  <si>
    <t>Gg</t>
  </si>
  <si>
    <t>Capacity</t>
  </si>
  <si>
    <t>Materials</t>
  </si>
  <si>
    <t>kt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</si>
  <si>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</si>
  <si>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</si>
  <si>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</si>
  <si>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</si>
  <si>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</si>
  <si>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</si>
  <si>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</si>
  <si>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</si>
  <si>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kg/GJ</t>
  </si>
  <si>
    <t>Extraction cost/Import Cost/Export cost</t>
  </si>
  <si>
    <t>Mining</t>
  </si>
  <si>
    <t>ACT_BND</t>
  </si>
  <si>
    <t>Annual Bound</t>
  </si>
  <si>
    <t>FIXOM</t>
  </si>
  <si>
    <t>Fixed O&amp;M Cost</t>
  </si>
  <si>
    <t>VAROM</t>
  </si>
  <si>
    <t>Variable O&amp;M Cost</t>
  </si>
  <si>
    <t>PRC_CAPACT</t>
  </si>
  <si>
    <t>Capacity to Activity</t>
  </si>
  <si>
    <t>GJ/kW</t>
  </si>
  <si>
    <t>PRC_RESID</t>
  </si>
  <si>
    <t>Existing Capacity</t>
  </si>
  <si>
    <t>Transport</t>
  </si>
  <si>
    <t>000s Units</t>
  </si>
  <si>
    <t>Energy/Unit - delivered/year</t>
  </si>
  <si>
    <t>NCAP_TLIFE</t>
  </si>
  <si>
    <t>Technical Lifetime</t>
  </si>
  <si>
    <t>Years</t>
  </si>
  <si>
    <t>Generic processes</t>
  </si>
  <si>
    <t>International Prices in:</t>
  </si>
  <si>
    <t>Linking Crude Oil prices  to Oil Products Prices</t>
  </si>
  <si>
    <t>International fossil fuel prices</t>
  </si>
  <si>
    <t>EUR€/boe</t>
  </si>
  <si>
    <t>EUR€/GJ*</t>
  </si>
  <si>
    <t>EUR€/toe #</t>
  </si>
  <si>
    <t>Oil</t>
  </si>
  <si>
    <t>Gas (GCV)</t>
  </si>
  <si>
    <t xml:space="preserve">Source: </t>
  </si>
  <si>
    <t>Crude to Naphta, Feedstocks and Other Oil Products</t>
  </si>
  <si>
    <t xml:space="preserve"> Nuclear Fuel</t>
  </si>
  <si>
    <t>Woody Biomass</t>
  </si>
  <si>
    <t>Source</t>
  </si>
  <si>
    <t xml:space="preserve"> Import Prices for TIMES </t>
  </si>
  <si>
    <t>Coal to Lignite/Brown Coal</t>
  </si>
  <si>
    <t>Coal to BKB</t>
  </si>
  <si>
    <t>Lignite/Brown Coal</t>
  </si>
  <si>
    <t>BKB</t>
  </si>
  <si>
    <t>AllRegions</t>
  </si>
  <si>
    <t>Import Prices of Coal, Wood etc</t>
  </si>
  <si>
    <t>Column No</t>
  </si>
  <si>
    <t>Export Prices of Coal, Wood etc</t>
  </si>
  <si>
    <t>Import Prices of Oil and Gas products</t>
  </si>
  <si>
    <t>Export Prices of Oil and Gas products</t>
  </si>
  <si>
    <t>Process Name</t>
  </si>
  <si>
    <t>EU Reference Scenario 2016</t>
  </si>
  <si>
    <t>IMPBIODSL*</t>
  </si>
  <si>
    <t>IMPBIOETH*</t>
  </si>
  <si>
    <t>IMPOILDSL*</t>
  </si>
  <si>
    <t>IMPOILGSL*</t>
  </si>
  <si>
    <t>IMPOILLPG*</t>
  </si>
  <si>
    <t>IMPOILKER*</t>
  </si>
  <si>
    <t>IMPOILPCK*</t>
  </si>
  <si>
    <t>IMPOILBIT*</t>
  </si>
  <si>
    <t>IMPOILLUB*</t>
  </si>
  <si>
    <t>EXPOILDSL*</t>
  </si>
  <si>
    <t>EXPOILGSL*</t>
  </si>
  <si>
    <t>EXPOILLPG*</t>
  </si>
  <si>
    <t>EXPOILKER*</t>
  </si>
  <si>
    <t>EXPOILBIT*</t>
  </si>
  <si>
    <t>EXPOILLUB*</t>
  </si>
  <si>
    <t>*COABIC</t>
  </si>
  <si>
    <t>*COABKB</t>
  </si>
  <si>
    <t>*BIOLOG</t>
  </si>
  <si>
    <t>*BIOCHR</t>
  </si>
  <si>
    <t>*BIODSL</t>
  </si>
  <si>
    <t>*BIOETH</t>
  </si>
  <si>
    <t>*OILCRD</t>
  </si>
  <si>
    <t>*OILDSL</t>
  </si>
  <si>
    <t>*OILGSL</t>
  </si>
  <si>
    <t>*OILLPG</t>
  </si>
  <si>
    <t>*OILKER</t>
  </si>
  <si>
    <t>*OILPCK</t>
  </si>
  <si>
    <t>*OILBIT</t>
  </si>
  <si>
    <t>*OILLUB</t>
  </si>
  <si>
    <t>Constant EUR of 2016 per boe</t>
  </si>
  <si>
    <t>Constant EUR of 2016 per GJ</t>
  </si>
  <si>
    <t>Constant EUR of 2016 per toe</t>
  </si>
  <si>
    <t xml:space="preserve">*1 barrel oil equivalent is equivalent to 5.815 GJ </t>
  </si>
  <si>
    <t xml:space="preserve"># 1 barrel of oil equivalent is equivalent to 0.138889 ton of oil equivalent </t>
  </si>
  <si>
    <t>Fuel</t>
  </si>
  <si>
    <t>End User Price</t>
  </si>
  <si>
    <t>Euro/GJ</t>
  </si>
  <si>
    <t>Residential</t>
  </si>
  <si>
    <t>Commercial</t>
  </si>
  <si>
    <t>Electricity&amp;Heat</t>
  </si>
  <si>
    <t>Fuel Oil</t>
  </si>
  <si>
    <t>Natural Gas</t>
  </si>
  <si>
    <t>Lignite</t>
  </si>
  <si>
    <t>Solid Biomass</t>
  </si>
  <si>
    <t>RSD</t>
  </si>
  <si>
    <t>OILDSL</t>
  </si>
  <si>
    <t>OILLPG</t>
  </si>
  <si>
    <t>BIOLOG</t>
  </si>
  <si>
    <t>GASNAT</t>
  </si>
  <si>
    <t>IND</t>
  </si>
  <si>
    <t>ELE</t>
  </si>
  <si>
    <t>OILGSL</t>
  </si>
  <si>
    <t>OILKER</t>
  </si>
  <si>
    <t>TRA</t>
  </si>
  <si>
    <t>Diesel Cars</t>
  </si>
  <si>
    <t>Diesel Rail</t>
  </si>
  <si>
    <t>Diesel Navigation</t>
  </si>
  <si>
    <t>Gasoline Cars</t>
  </si>
  <si>
    <t>LPG Cars</t>
  </si>
  <si>
    <t>CNG Cars</t>
  </si>
  <si>
    <t>Electricity</t>
  </si>
  <si>
    <t>Industry-Energy Intensive</t>
  </si>
  <si>
    <t>Commodity Name in the model</t>
  </si>
  <si>
    <t>TimeSlice</t>
  </si>
  <si>
    <t>Pset_CI</t>
  </si>
  <si>
    <t>Tax or Subisidy</t>
  </si>
  <si>
    <t>COABKB</t>
  </si>
  <si>
    <t>LTH</t>
  </si>
  <si>
    <t>ELC</t>
  </si>
  <si>
    <t>BIOCHR</t>
  </si>
  <si>
    <t>COABIC</t>
  </si>
  <si>
    <t>HTH</t>
  </si>
  <si>
    <t>Heat</t>
  </si>
  <si>
    <t>Electricity-Private</t>
  </si>
  <si>
    <t>Electricity-Rail</t>
  </si>
  <si>
    <t>TRARAIL*</t>
  </si>
  <si>
    <t>TRANAV*</t>
  </si>
  <si>
    <t>-TRARAIL*</t>
  </si>
  <si>
    <t>Pellets</t>
  </si>
  <si>
    <t>BIOPLT</t>
  </si>
  <si>
    <t>Agriculture</t>
  </si>
  <si>
    <t>AGR</t>
  </si>
  <si>
    <t>BIOE*</t>
  </si>
  <si>
    <t>BIODSL*</t>
  </si>
  <si>
    <t>INDOILDSL</t>
  </si>
  <si>
    <t>INDOILOTH</t>
  </si>
  <si>
    <t>ELEOILDSL</t>
  </si>
  <si>
    <t>HETOILDSL</t>
  </si>
  <si>
    <t>ELEGASNAT</t>
  </si>
  <si>
    <t>HETGASNAT</t>
  </si>
  <si>
    <t>ELEBIOLOG</t>
  </si>
  <si>
    <t>TRAGASNAT</t>
  </si>
  <si>
    <t>TRABIOBGS</t>
  </si>
  <si>
    <t>TRABIODSL*</t>
  </si>
  <si>
    <t>TRABIOB20</t>
  </si>
  <si>
    <t>TRAOILKER</t>
  </si>
  <si>
    <t>TRABIOKER</t>
  </si>
  <si>
    <t>TRAOILGSA</t>
  </si>
  <si>
    <t>HETBIOLOG</t>
  </si>
  <si>
    <t>HETBIOPLT</t>
  </si>
  <si>
    <t>INDBIOCHR</t>
  </si>
  <si>
    <t>INDBIOPLT</t>
  </si>
  <si>
    <t>IMPOILCRD*</t>
  </si>
  <si>
    <t>TFM_INS</t>
  </si>
  <si>
    <t>IMPOILHFO*</t>
  </si>
  <si>
    <t>*OILHFO</t>
  </si>
  <si>
    <t>EXPOILHFO*</t>
  </si>
  <si>
    <t>Delivery Costs per sector</t>
  </si>
  <si>
    <t>ELCHIGG</t>
  </si>
  <si>
    <t>Annual Increase:</t>
  </si>
  <si>
    <t>OILHFO</t>
  </si>
  <si>
    <t>INDOILHFO</t>
  </si>
  <si>
    <t>ELEOILHFO</t>
  </si>
  <si>
    <t>HETOILHFO</t>
  </si>
  <si>
    <t>$/kWh</t>
  </si>
  <si>
    <t>PITGASNAT</t>
  </si>
  <si>
    <t>TRAH2G</t>
  </si>
  <si>
    <t>173USD/1000m3</t>
  </si>
  <si>
    <t>Gas Imports from UA</t>
  </si>
  <si>
    <t>kj/m3</t>
  </si>
  <si>
    <t>USD/kJ</t>
  </si>
  <si>
    <t>N. Gas Import Prices</t>
  </si>
  <si>
    <t>Local Prices for 2017</t>
  </si>
  <si>
    <t>IMPCOABIC0*</t>
  </si>
  <si>
    <t>IMPCOASUB0*</t>
  </si>
  <si>
    <t>IMPCOABCO0*</t>
  </si>
  <si>
    <t>IMPCOABKB0*</t>
  </si>
  <si>
    <t>IMPCOACOK0*</t>
  </si>
  <si>
    <t>IMPBIOLOG0*</t>
  </si>
  <si>
    <t>IMPBIOCHR0*</t>
  </si>
  <si>
    <t>EXPCOABIC0*</t>
  </si>
  <si>
    <t>EXPCOASUB0*</t>
  </si>
  <si>
    <t>EXPCOABCO0*</t>
  </si>
  <si>
    <t>EXPCOABKB0*</t>
  </si>
  <si>
    <t>EXPCOACOK0*</t>
  </si>
  <si>
    <t>EXPBIOLOG0*</t>
  </si>
  <si>
    <t>EXPBIOCHR0*</t>
  </si>
  <si>
    <t>EXPBIODSL*</t>
  </si>
  <si>
    <t>EXPBIOETH*</t>
  </si>
  <si>
    <t>IMPGASNAT_**</t>
  </si>
  <si>
    <t>EXPOILCRD*</t>
  </si>
  <si>
    <t>*COASUB</t>
  </si>
  <si>
    <t>*COABCO</t>
  </si>
  <si>
    <t>*COACOK</t>
  </si>
  <si>
    <t>Import of N. Gas from R1</t>
  </si>
  <si>
    <t>EXPELC*</t>
  </si>
  <si>
    <t>COABCO</t>
  </si>
  <si>
    <t>COASUB</t>
  </si>
  <si>
    <t>COACOK</t>
  </si>
  <si>
    <t>KZK</t>
  </si>
  <si>
    <t>AZJ</t>
  </si>
  <si>
    <t>TKM</t>
  </si>
  <si>
    <t>UZB</t>
  </si>
  <si>
    <t>$/Kj</t>
  </si>
  <si>
    <t>M$</t>
  </si>
  <si>
    <t>$/GJ/a</t>
  </si>
  <si>
    <t xml:space="preserve"> $/GJ</t>
  </si>
  <si>
    <t>Reference (Local or Import) Price</t>
  </si>
  <si>
    <t>TER</t>
  </si>
  <si>
    <t>ELECOASUB</t>
  </si>
  <si>
    <t>HETCOASUB</t>
  </si>
  <si>
    <t>Assumption</t>
  </si>
  <si>
    <t>CHR</t>
  </si>
  <si>
    <t>*COACOC</t>
  </si>
  <si>
    <t>IMPCOACOC0*</t>
  </si>
  <si>
    <t>Other bituminous</t>
  </si>
  <si>
    <t xml:space="preserve"> N. Gas from/to R1</t>
  </si>
  <si>
    <t xml:space="preserve"> N. Gas from/to R2</t>
  </si>
  <si>
    <t xml:space="preserve"> N. Gas from/to R3</t>
  </si>
  <si>
    <t>Supply - Other</t>
  </si>
  <si>
    <t>SUP</t>
  </si>
  <si>
    <t>Source: IEA, WEO</t>
  </si>
  <si>
    <t>To China</t>
  </si>
  <si>
    <t>To EU/Russia</t>
  </si>
  <si>
    <t>To ROW</t>
  </si>
  <si>
    <t>EXPGASNAT_**E01</t>
  </si>
  <si>
    <t>EXPGASNAT_**E02</t>
  </si>
  <si>
    <t>RDM: to simulate the correlation between GAS and Coal attractiveness (eg to China).</t>
  </si>
  <si>
    <t>Import of Electricity from Rx</t>
  </si>
  <si>
    <t>IMPELC*, -IMPELC_Flex*</t>
  </si>
  <si>
    <t>Assuming the same prices of NDC--EU</t>
  </si>
  <si>
    <t>Assuming decreasing value after 2030</t>
  </si>
  <si>
    <t>Source: Historical Data until 2019. Data from the WEO2019 (in red) - Adjusted afterwards</t>
  </si>
  <si>
    <t>EXPOILNGL*</t>
  </si>
  <si>
    <t>EXPOILNG*</t>
  </si>
  <si>
    <t>*OILNGL</t>
  </si>
  <si>
    <t>lower than GDPP</t>
  </si>
  <si>
    <t>END</t>
  </si>
  <si>
    <t>START</t>
  </si>
  <si>
    <t>RDM: to convert from 2018 to 2015 (and make the exp &lt; imp)</t>
  </si>
  <si>
    <t>Paris Reinforce - Low Prices</t>
  </si>
  <si>
    <t>Assuming non-increasing value after 2030, decreasing after 2040</t>
  </si>
  <si>
    <t>AGROILGSL</t>
  </si>
  <si>
    <t>SUBS</t>
  </si>
  <si>
    <t>DELIV</t>
  </si>
  <si>
    <t>RDM: TS-specific prices</t>
  </si>
  <si>
    <t>RDM: adjusted</t>
  </si>
  <si>
    <t>Mark-up</t>
  </si>
  <si>
    <t>*</t>
  </si>
  <si>
    <t>FLO_SUB</t>
  </si>
  <si>
    <t>Table Name: T_280421_131132</t>
  </si>
  <si>
    <t xml:space="preserve">Active Unit:  </t>
  </si>
  <si>
    <t>Region</t>
  </si>
  <si>
    <t>Period</t>
  </si>
  <si>
    <t>Commodity\TimeSlice</t>
  </si>
  <si>
    <t>ANNUAL</t>
  </si>
  <si>
    <t>F</t>
  </si>
  <si>
    <t>FA</t>
  </si>
  <si>
    <t>FD</t>
  </si>
  <si>
    <t>FE</t>
  </si>
  <si>
    <t>FL</t>
  </si>
  <si>
    <t>FM</t>
  </si>
  <si>
    <t>FN</t>
  </si>
  <si>
    <t>R</t>
  </si>
  <si>
    <t>RA</t>
  </si>
  <si>
    <t>RD</t>
  </si>
  <si>
    <t>RE</t>
  </si>
  <si>
    <t>RL</t>
  </si>
  <si>
    <t>RM</t>
  </si>
  <si>
    <t>RN</t>
  </si>
  <si>
    <t>S</t>
  </si>
  <si>
    <t>SA</t>
  </si>
  <si>
    <t>SD</t>
  </si>
  <si>
    <t>SE</t>
  </si>
  <si>
    <t>SL</t>
  </si>
  <si>
    <t>SM</t>
  </si>
  <si>
    <t>SN</t>
  </si>
  <si>
    <t>W</t>
  </si>
  <si>
    <t>WA</t>
  </si>
  <si>
    <t>WD</t>
  </si>
  <si>
    <t>WE</t>
  </si>
  <si>
    <t>WL</t>
  </si>
  <si>
    <t>WM</t>
  </si>
  <si>
    <t>WN</t>
  </si>
  <si>
    <t>'2017</t>
  </si>
  <si>
    <t>RSDCOABCO</t>
  </si>
  <si>
    <t>RSDELC</t>
  </si>
  <si>
    <t>RSDGASNAT</t>
  </si>
  <si>
    <t>RSDLTH</t>
  </si>
  <si>
    <t>RSDOILDSL</t>
  </si>
  <si>
    <t>'2020</t>
  </si>
  <si>
    <t>RSDOILHFO</t>
  </si>
  <si>
    <t>TRAOILDSL</t>
  </si>
  <si>
    <t>TRAOILGSL</t>
  </si>
  <si>
    <t>FLO_TAX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</si>
</sst>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"/>
    <numFmt numFmtId="167" formatCode="0.0000"/>
    <numFmt numFmtId="168" formatCode="0.00.E+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Arial"/>
      <family val="2"/>
      <charset val="161"/>
    </font>
    <font>
      <sz val="10"/>
      <name val="Arial"/>
      <family val="2"/>
      <charset val="161"/>
    </font>
    <font>
      <u/>
      <sz val="10"/>
      <color theme="10"/>
      <name val="Arial"/>
      <family val="2"/>
      <charset val="161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  <charset val="161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  <charset val="161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CC99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9" fontId="20" fillId="0" borderId="0" applyFont="0" applyFill="0" applyBorder="0" applyAlignment="0" applyProtection="0"/>
    <xf numFmtId="0" fontId="21" fillId="6" borderId="41" applyNumberFormat="0" applyAlignment="0" applyProtection="0"/>
    <xf numFmtId="0" fontId="2" fillId="0" borderId="0"/>
  </cellStyleXfs>
  <cellXfs count="20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65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Border="1"/>
    <xf numFmtId="166" fontId="0" fillId="0" borderId="0" xfId="0" applyNumberFormat="1" applyBorder="1"/>
    <xf numFmtId="167" fontId="0" fillId="0" borderId="0" xfId="0" applyNumberFormat="1"/>
    <xf numFmtId="166" fontId="3" fillId="0" borderId="0" xfId="0" applyNumberFormat="1" applyFont="1" applyBorder="1" applyAlignment="1">
      <alignment horizontal="center"/>
    </xf>
    <xf numFmtId="164" fontId="0" fillId="0" borderId="0" xfId="0" applyNumberFormat="1" applyFill="1" applyBorder="1"/>
    <xf numFmtId="0" fontId="5" fillId="0" borderId="0" xfId="0" applyFont="1" applyFill="1"/>
    <xf numFmtId="0" fontId="0" fillId="0" borderId="0" xfId="0" applyAlignment="1">
      <alignment horizontal="left"/>
    </xf>
    <xf numFmtId="0" fontId="3" fillId="0" borderId="0" xfId="0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0" fillId="0" borderId="0" xfId="0" applyBorder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center" wrapText="1"/>
    </xf>
    <xf numFmtId="164" fontId="4" fillId="0" borderId="0" xfId="0" quotePrefix="1" applyNumberFormat="1" applyFont="1" applyAlignment="1">
      <alignment horizontal="right" vertical="center" wrapText="1"/>
    </xf>
    <xf numFmtId="168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1"/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9" fillId="0" borderId="8" xfId="0" applyFont="1" applyBorder="1"/>
    <xf numFmtId="167" fontId="0" fillId="0" borderId="9" xfId="0" applyNumberFormat="1" applyBorder="1"/>
    <xf numFmtId="0" fontId="9" fillId="0" borderId="11" xfId="0" applyFont="1" applyBorder="1"/>
    <xf numFmtId="167" fontId="0" fillId="0" borderId="12" xfId="0" applyNumberFormat="1" applyBorder="1"/>
    <xf numFmtId="164" fontId="0" fillId="0" borderId="12" xfId="0" applyNumberFormat="1" applyBorder="1"/>
    <xf numFmtId="2" fontId="0" fillId="0" borderId="9" xfId="0" applyNumberFormat="1" applyBorder="1"/>
    <xf numFmtId="2" fontId="0" fillId="0" borderId="12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0" fontId="9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9" fillId="0" borderId="1" xfId="0" applyFont="1" applyBorder="1"/>
    <xf numFmtId="164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1" xfId="0" applyBorder="1"/>
    <xf numFmtId="0" fontId="0" fillId="0" borderId="13" xfId="0" applyBorder="1"/>
    <xf numFmtId="0" fontId="8" fillId="0" borderId="8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 applyAlignment="1">
      <alignment horizontal="right"/>
    </xf>
    <xf numFmtId="0" fontId="4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" xfId="0" applyFont="1" applyBorder="1"/>
    <xf numFmtId="164" fontId="0" fillId="0" borderId="0" xfId="0" applyNumberFormat="1" applyBorder="1"/>
    <xf numFmtId="167" fontId="0" fillId="0" borderId="0" xfId="0" applyNumberFormat="1" applyBorder="1"/>
    <xf numFmtId="165" fontId="0" fillId="0" borderId="0" xfId="0" applyNumberFormat="1" applyBorder="1"/>
    <xf numFmtId="0" fontId="3" fillId="0" borderId="0" xfId="0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0" fontId="3" fillId="0" borderId="1" xfId="0" applyFont="1" applyFill="1" applyBorder="1"/>
    <xf numFmtId="2" fontId="0" fillId="0" borderId="14" xfId="0" applyNumberFormat="1" applyBorder="1"/>
    <xf numFmtId="0" fontId="3" fillId="0" borderId="11" xfId="0" applyFont="1" applyBorder="1"/>
    <xf numFmtId="166" fontId="0" fillId="0" borderId="12" xfId="0" applyNumberFormat="1" applyBorder="1"/>
    <xf numFmtId="165" fontId="0" fillId="0" borderId="12" xfId="0" applyNumberFormat="1" applyBorder="1"/>
    <xf numFmtId="0" fontId="8" fillId="0" borderId="0" xfId="0" applyFont="1" applyBorder="1" applyAlignment="1">
      <alignment horizontal="center" vertical="center" wrapText="1"/>
    </xf>
    <xf numFmtId="165" fontId="0" fillId="0" borderId="16" xfId="0" applyNumberFormat="1" applyBorder="1"/>
    <xf numFmtId="0" fontId="0" fillId="0" borderId="16" xfId="0" applyBorder="1"/>
    <xf numFmtId="49" fontId="9" fillId="0" borderId="0" xfId="0" applyNumberFormat="1" applyFont="1" applyFill="1" applyBorder="1" applyAlignment="1"/>
    <xf numFmtId="0" fontId="0" fillId="0" borderId="10" xfId="0" applyBorder="1" applyAlignment="1">
      <alignment horizontal="center"/>
    </xf>
    <xf numFmtId="0" fontId="13" fillId="3" borderId="0" xfId="3" applyFont="1" applyFill="1" applyAlignment="1">
      <alignment wrapText="1"/>
    </xf>
    <xf numFmtId="0" fontId="12" fillId="3" borderId="0" xfId="3" applyFill="1" applyAlignment="1">
      <alignment wrapText="1"/>
    </xf>
    <xf numFmtId="0" fontId="14" fillId="2" borderId="0" xfId="3" applyFont="1" applyFill="1" applyAlignment="1"/>
    <xf numFmtId="0" fontId="14" fillId="2" borderId="0" xfId="3" applyFont="1" applyFill="1" applyAlignment="1">
      <alignment horizontal="right" wrapText="1"/>
    </xf>
    <xf numFmtId="0" fontId="14" fillId="2" borderId="0" xfId="3" applyFont="1" applyFill="1" applyAlignment="1">
      <alignment wrapText="1"/>
    </xf>
    <xf numFmtId="0" fontId="15" fillId="2" borderId="0" xfId="2" applyFont="1" applyFill="1" applyAlignment="1">
      <alignment horizontal="center"/>
    </xf>
    <xf numFmtId="0" fontId="16" fillId="2" borderId="0" xfId="2" applyFont="1" applyFill="1" applyAlignment="1">
      <alignment horizontal="center"/>
    </xf>
    <xf numFmtId="0" fontId="17" fillId="2" borderId="0" xfId="3" applyFont="1" applyFill="1" applyAlignment="1">
      <alignment wrapText="1"/>
    </xf>
    <xf numFmtId="0" fontId="14" fillId="2" borderId="0" xfId="3" applyFont="1" applyFill="1" applyAlignment="1">
      <alignment horizontal="center"/>
    </xf>
    <xf numFmtId="0" fontId="14" fillId="2" borderId="0" xfId="3" applyFont="1" applyFill="1" applyAlignment="1">
      <alignment horizontal="center" wrapText="1"/>
    </xf>
    <xf numFmtId="0" fontId="0" fillId="0" borderId="0" xfId="0"/>
    <xf numFmtId="0" fontId="19" fillId="3" borderId="0" xfId="0" applyFont="1" applyFill="1"/>
    <xf numFmtId="167" fontId="0" fillId="0" borderId="12" xfId="0" applyNumberFormat="1" applyFill="1" applyBorder="1"/>
    <xf numFmtId="167" fontId="0" fillId="0" borderId="9" xfId="0" applyNumberFormat="1" applyFill="1" applyBorder="1"/>
    <xf numFmtId="0" fontId="2" fillId="0" borderId="1" xfId="0" applyFont="1" applyBorder="1"/>
    <xf numFmtId="0" fontId="0" fillId="0" borderId="12" xfId="0" applyBorder="1"/>
    <xf numFmtId="0" fontId="3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2" fontId="0" fillId="0" borderId="0" xfId="0" applyNumberFormat="1" applyBorder="1"/>
    <xf numFmtId="0" fontId="22" fillId="0" borderId="0" xfId="0" applyFont="1" applyFill="1" applyAlignment="1">
      <alignment horizontal="center"/>
    </xf>
    <xf numFmtId="0" fontId="22" fillId="0" borderId="0" xfId="0" applyFont="1" applyFill="1"/>
    <xf numFmtId="0" fontId="17" fillId="2" borderId="0" xfId="3" applyFont="1" applyFill="1" applyAlignment="1">
      <alignment horizontal="left" wrapText="1"/>
    </xf>
    <xf numFmtId="0" fontId="23" fillId="0" borderId="0" xfId="0" applyFont="1" applyFill="1"/>
    <xf numFmtId="0" fontId="22" fillId="0" borderId="1" xfId="0" applyFont="1" applyFill="1" applyBorder="1"/>
    <xf numFmtId="9" fontId="22" fillId="0" borderId="0" xfId="0" applyNumberFormat="1" applyFont="1" applyFill="1"/>
    <xf numFmtId="0" fontId="22" fillId="0" borderId="46" xfId="0" applyFont="1" applyFill="1" applyBorder="1"/>
    <xf numFmtId="0" fontId="24" fillId="0" borderId="0" xfId="0" applyFont="1" applyFill="1" applyAlignment="1">
      <alignment horizontal="left"/>
    </xf>
    <xf numFmtId="0" fontId="25" fillId="0" borderId="0" xfId="0" applyFont="1" applyFill="1"/>
    <xf numFmtId="0" fontId="22" fillId="0" borderId="0" xfId="0" applyFont="1" applyFill="1" applyBorder="1"/>
    <xf numFmtId="0" fontId="25" fillId="0" borderId="3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0" borderId="42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2" fillId="0" borderId="0" xfId="0" applyNumberFormat="1" applyFont="1" applyFill="1"/>
    <xf numFmtId="2" fontId="22" fillId="0" borderId="1" xfId="0" applyNumberFormat="1" applyFont="1" applyFill="1" applyBorder="1"/>
    <xf numFmtId="2" fontId="26" fillId="0" borderId="0" xfId="0" applyNumberFormat="1" applyFont="1" applyFill="1" applyAlignment="1">
      <alignment horizontal="center"/>
    </xf>
    <xf numFmtId="164" fontId="22" fillId="0" borderId="0" xfId="0" applyNumberFormat="1" applyFont="1" applyFill="1"/>
    <xf numFmtId="0" fontId="1" fillId="0" borderId="45" xfId="5" applyFont="1" applyFill="1" applyBorder="1" applyAlignment="1">
      <alignment horizontal="center"/>
    </xf>
    <xf numFmtId="0" fontId="25" fillId="0" borderId="3" xfId="0" applyFont="1" applyFill="1" applyBorder="1" applyAlignment="1">
      <alignment horizontal="left"/>
    </xf>
    <xf numFmtId="165" fontId="22" fillId="0" borderId="0" xfId="0" applyNumberFormat="1" applyFont="1" applyFill="1"/>
    <xf numFmtId="0" fontId="25" fillId="0" borderId="0" xfId="0" applyFont="1" applyFill="1" applyBorder="1" applyAlignment="1">
      <alignment horizontal="left"/>
    </xf>
    <xf numFmtId="49" fontId="27" fillId="0" borderId="0" xfId="0" applyNumberFormat="1" applyFont="1" applyFill="1" applyBorder="1" applyAlignment="1"/>
    <xf numFmtId="164" fontId="22" fillId="0" borderId="0" xfId="0" applyNumberFormat="1" applyFont="1" applyFill="1" applyAlignment="1">
      <alignment horizontal="right"/>
    </xf>
    <xf numFmtId="165" fontId="22" fillId="0" borderId="1" xfId="0" applyNumberFormat="1" applyFont="1" applyFill="1" applyBorder="1"/>
    <xf numFmtId="0" fontId="25" fillId="0" borderId="0" xfId="0" quotePrefix="1" applyFont="1" applyFill="1" applyAlignment="1">
      <alignment horizontal="left"/>
    </xf>
    <xf numFmtId="0" fontId="25" fillId="0" borderId="19" xfId="0" applyFont="1" applyFill="1" applyBorder="1" applyAlignment="1">
      <alignment horizontal="right"/>
    </xf>
    <xf numFmtId="0" fontId="25" fillId="0" borderId="43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right"/>
    </xf>
    <xf numFmtId="2" fontId="22" fillId="0" borderId="0" xfId="0" applyNumberFormat="1" applyFont="1" applyFill="1" applyBorder="1"/>
    <xf numFmtId="0" fontId="25" fillId="0" borderId="31" xfId="0" applyFont="1" applyFill="1" applyBorder="1" applyAlignment="1">
      <alignment horizontal="left"/>
    </xf>
    <xf numFmtId="0" fontId="25" fillId="0" borderId="31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44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5" fillId="0" borderId="0" xfId="0" applyFont="1" applyFill="1" applyAlignment="1">
      <alignment horizontal="left"/>
    </xf>
    <xf numFmtId="0" fontId="28" fillId="0" borderId="0" xfId="0" applyFont="1" applyFill="1"/>
    <xf numFmtId="9" fontId="25" fillId="0" borderId="0" xfId="4" applyFont="1" applyFill="1"/>
    <xf numFmtId="0" fontId="28" fillId="0" borderId="5" xfId="0" applyFont="1" applyFill="1" applyBorder="1" applyAlignment="1">
      <alignment horizontal="center" vertical="center"/>
    </xf>
    <xf numFmtId="0" fontId="28" fillId="0" borderId="3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2" fontId="22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0" fontId="25" fillId="0" borderId="4" xfId="0" applyFont="1" applyFill="1" applyBorder="1" applyAlignment="1">
      <alignment horizontal="left"/>
    </xf>
    <xf numFmtId="164" fontId="22" fillId="0" borderId="0" xfId="0" applyNumberFormat="1" applyFont="1" applyFill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0" xfId="0" applyNumberFormat="1" applyFont="1" applyFill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0" fontId="22" fillId="0" borderId="4" xfId="0" applyFont="1" applyFill="1" applyBorder="1"/>
    <xf numFmtId="2" fontId="25" fillId="0" borderId="4" xfId="0" applyNumberFormat="1" applyFont="1" applyFill="1" applyBorder="1" applyAlignment="1">
      <alignment horizontal="center"/>
    </xf>
    <xf numFmtId="2" fontId="29" fillId="0" borderId="4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0" fontId="25" fillId="0" borderId="0" xfId="0" applyFont="1" applyFill="1" applyBorder="1"/>
    <xf numFmtId="0" fontId="22" fillId="0" borderId="0" xfId="0" quotePrefix="1" applyFont="1" applyFill="1"/>
    <xf numFmtId="164" fontId="22" fillId="0" borderId="4" xfId="0" applyNumberFormat="1" applyFont="1" applyFill="1" applyBorder="1"/>
    <xf numFmtId="167" fontId="22" fillId="0" borderId="0" xfId="0" applyNumberFormat="1" applyFont="1" applyFill="1"/>
    <xf numFmtId="167" fontId="22" fillId="0" borderId="4" xfId="0" applyNumberFormat="1" applyFont="1" applyFill="1" applyBorder="1"/>
    <xf numFmtId="164" fontId="22" fillId="0" borderId="0" xfId="0" applyNumberFormat="1" applyFont="1" applyFill="1" applyBorder="1"/>
    <xf numFmtId="0" fontId="18" fillId="0" borderId="12" xfId="0" applyFont="1" applyFill="1" applyBorder="1" applyAlignment="1">
      <alignment horizontal="center"/>
    </xf>
    <xf numFmtId="0" fontId="22" fillId="0" borderId="22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center"/>
    </xf>
    <xf numFmtId="0" fontId="25" fillId="0" borderId="36" xfId="0" applyFont="1" applyFill="1" applyBorder="1" applyAlignment="1">
      <alignment horizontal="center"/>
    </xf>
    <xf numFmtId="0" fontId="25" fillId="0" borderId="38" xfId="0" applyFont="1" applyFill="1" applyBorder="1" applyAlignment="1">
      <alignment horizontal="center"/>
    </xf>
    <xf numFmtId="0" fontId="22" fillId="0" borderId="32" xfId="0" applyFont="1" applyFill="1" applyBorder="1" applyAlignment="1">
      <alignment horizontal="center"/>
    </xf>
    <xf numFmtId="0" fontId="25" fillId="0" borderId="37" xfId="0" applyFont="1" applyFill="1" applyBorder="1" applyAlignment="1">
      <alignment horizontal="center"/>
    </xf>
    <xf numFmtId="0" fontId="25" fillId="0" borderId="39" xfId="0" applyFont="1" applyFill="1" applyBorder="1" applyAlignment="1">
      <alignment horizontal="center"/>
    </xf>
    <xf numFmtId="0" fontId="22" fillId="0" borderId="33" xfId="0" applyFont="1" applyFill="1" applyBorder="1"/>
    <xf numFmtId="2" fontId="22" fillId="0" borderId="34" xfId="0" applyNumberFormat="1" applyFont="1" applyFill="1" applyBorder="1" applyAlignment="1">
      <alignment horizontal="center"/>
    </xf>
    <xf numFmtId="2" fontId="22" fillId="0" borderId="40" xfId="0" applyNumberFormat="1" applyFont="1" applyFill="1" applyBorder="1" applyAlignment="1">
      <alignment horizontal="center"/>
    </xf>
    <xf numFmtId="2" fontId="22" fillId="0" borderId="33" xfId="0" applyNumberFormat="1" applyFont="1" applyFill="1" applyBorder="1" applyAlignment="1">
      <alignment horizontal="center"/>
    </xf>
    <xf numFmtId="2" fontId="22" fillId="0" borderId="35" xfId="0" applyNumberFormat="1" applyFont="1" applyFill="1" applyBorder="1" applyAlignment="1">
      <alignment horizontal="center"/>
    </xf>
    <xf numFmtId="2" fontId="22" fillId="0" borderId="28" xfId="0" applyNumberFormat="1" applyFont="1" applyFill="1" applyBorder="1" applyAlignment="1">
      <alignment horizontal="center"/>
    </xf>
    <xf numFmtId="0" fontId="22" fillId="0" borderId="36" xfId="0" applyFont="1" applyFill="1" applyBorder="1"/>
    <xf numFmtId="0" fontId="22" fillId="0" borderId="37" xfId="0" applyFont="1" applyFill="1" applyBorder="1"/>
    <xf numFmtId="2" fontId="22" fillId="0" borderId="20" xfId="0" applyNumberFormat="1" applyFont="1" applyFill="1" applyBorder="1" applyAlignment="1">
      <alignment horizontal="center"/>
    </xf>
    <xf numFmtId="2" fontId="22" fillId="0" borderId="37" xfId="0" applyNumberFormat="1" applyFont="1" applyFill="1" applyBorder="1" applyAlignment="1">
      <alignment horizontal="center"/>
    </xf>
    <xf numFmtId="2" fontId="22" fillId="0" borderId="39" xfId="0" applyNumberFormat="1" applyFont="1" applyFill="1" applyBorder="1" applyAlignment="1">
      <alignment horizontal="center"/>
    </xf>
    <xf numFmtId="0" fontId="30" fillId="0" borderId="0" xfId="0" applyFont="1" applyFill="1"/>
  </cellXfs>
  <cellStyles count="7">
    <cellStyle name="Accent2" xfId="3" builtinId="33"/>
    <cellStyle name="Good" xfId="2" builtinId="26"/>
    <cellStyle name="Hyperlink" xfId="1" builtinId="8"/>
    <cellStyle name="Input" xfId="5" builtinId="20"/>
    <cellStyle name="Normal" xfId="0" builtinId="0"/>
    <cellStyle name="Normal 2" xfId="6" xr:uid="{1ED47233-BEA5-4FCD-B3D0-7AE76ECF992F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R92"/>
  <sheetViews>
    <sheetView zoomScale="80" zoomScaleNormal="80" workbookViewId="0">
      <pane xSplit="2" ySplit="4" topLeftCell="W5" activePane="bottomRight" state="frozen"/>
      <selection activeCell="AL7" sqref="AL7"/>
      <selection pane="topRight" activeCell="AL7" sqref="AL7"/>
      <selection pane="bottomLeft" activeCell="AL7" sqref="AL7"/>
      <selection pane="bottomRight" sqref="A1:XFD1048576"/>
    </sheetView>
  </sheetViews>
  <sheetFormatPr defaultRowHeight="13.2" x14ac:dyDescent="0.25"/>
  <cols>
    <col min="1" max="1" width="49.88671875" style="109" customWidth="1"/>
    <col min="2" max="2" width="25" style="109" customWidth="1"/>
    <col min="3" max="3" width="12" style="109" customWidth="1"/>
    <col min="4" max="6" width="12.5546875" style="109" customWidth="1"/>
    <col min="7" max="7" width="8.44140625" style="109" customWidth="1"/>
    <col min="8" max="8" width="7.109375" style="112" bestFit="1" customWidth="1"/>
    <col min="9" max="30" width="7.109375" style="109" bestFit="1" customWidth="1"/>
    <col min="31" max="40" width="8.109375" style="109" bestFit="1" customWidth="1"/>
    <col min="41" max="41" width="14.88671875" style="109" customWidth="1"/>
    <col min="42" max="16384" width="8.88671875" style="109"/>
  </cols>
  <sheetData>
    <row r="1" spans="1:44" ht="17.399999999999999" x14ac:dyDescent="0.3">
      <c r="A1" s="111" t="s">
        <v>347</v>
      </c>
      <c r="B1" s="111"/>
      <c r="Q1" s="113"/>
    </row>
    <row r="2" spans="1:44" x14ac:dyDescent="0.25">
      <c r="AC2" s="114"/>
    </row>
    <row r="3" spans="1:44" x14ac:dyDescent="0.25">
      <c r="A3" s="115"/>
      <c r="B3" s="116" t="s">
        <v>313</v>
      </c>
      <c r="AC3" s="114"/>
      <c r="AD3" s="117"/>
      <c r="AM3" s="114"/>
    </row>
    <row r="4" spans="1:44" ht="13.8" thickBot="1" x14ac:dyDescent="0.3">
      <c r="A4" s="118" t="s">
        <v>131</v>
      </c>
      <c r="B4" s="118"/>
      <c r="C4" s="118">
        <v>2010</v>
      </c>
      <c r="D4" s="118">
        <v>2013</v>
      </c>
      <c r="E4" s="118">
        <v>2015</v>
      </c>
      <c r="F4" s="118">
        <f>G4-1</f>
        <v>2017</v>
      </c>
      <c r="G4" s="119">
        <f>BASE_YEAR+1</f>
        <v>2018</v>
      </c>
      <c r="H4" s="120">
        <f>G4+1</f>
        <v>2019</v>
      </c>
      <c r="I4" s="118">
        <f t="shared" ref="I4:AD4" si="0">H4+1</f>
        <v>2020</v>
      </c>
      <c r="J4" s="118">
        <f t="shared" si="0"/>
        <v>2021</v>
      </c>
      <c r="K4" s="118">
        <f t="shared" si="0"/>
        <v>2022</v>
      </c>
      <c r="L4" s="118">
        <f t="shared" si="0"/>
        <v>2023</v>
      </c>
      <c r="M4" s="118">
        <f t="shared" si="0"/>
        <v>2024</v>
      </c>
      <c r="N4" s="118">
        <f t="shared" si="0"/>
        <v>2025</v>
      </c>
      <c r="O4" s="118">
        <f t="shared" si="0"/>
        <v>2026</v>
      </c>
      <c r="P4" s="118">
        <f t="shared" si="0"/>
        <v>2027</v>
      </c>
      <c r="Q4" s="118">
        <f t="shared" si="0"/>
        <v>2028</v>
      </c>
      <c r="R4" s="118">
        <f t="shared" si="0"/>
        <v>2029</v>
      </c>
      <c r="S4" s="118">
        <f t="shared" si="0"/>
        <v>2030</v>
      </c>
      <c r="T4" s="118">
        <f t="shared" si="0"/>
        <v>2031</v>
      </c>
      <c r="U4" s="118">
        <f t="shared" si="0"/>
        <v>2032</v>
      </c>
      <c r="V4" s="118">
        <f t="shared" si="0"/>
        <v>2033</v>
      </c>
      <c r="W4" s="118">
        <f t="shared" si="0"/>
        <v>2034</v>
      </c>
      <c r="X4" s="118">
        <f t="shared" si="0"/>
        <v>2035</v>
      </c>
      <c r="Y4" s="118">
        <f t="shared" si="0"/>
        <v>2036</v>
      </c>
      <c r="Z4" s="118">
        <f t="shared" si="0"/>
        <v>2037</v>
      </c>
      <c r="AA4" s="118">
        <f t="shared" si="0"/>
        <v>2038</v>
      </c>
      <c r="AB4" s="118">
        <f t="shared" si="0"/>
        <v>2039</v>
      </c>
      <c r="AC4" s="121">
        <f t="shared" si="0"/>
        <v>2040</v>
      </c>
      <c r="AD4" s="119">
        <f t="shared" si="0"/>
        <v>2041</v>
      </c>
      <c r="AE4" s="122">
        <f>AD4+1</f>
        <v>2042</v>
      </c>
      <c r="AF4" s="122">
        <f t="shared" ref="AF4:AN4" si="1">AE4+1</f>
        <v>2043</v>
      </c>
      <c r="AG4" s="122">
        <f t="shared" si="1"/>
        <v>2044</v>
      </c>
      <c r="AH4" s="122">
        <f t="shared" si="1"/>
        <v>2045</v>
      </c>
      <c r="AI4" s="122">
        <f t="shared" si="1"/>
        <v>2046</v>
      </c>
      <c r="AJ4" s="122">
        <f t="shared" si="1"/>
        <v>2047</v>
      </c>
      <c r="AK4" s="122">
        <f t="shared" si="1"/>
        <v>2048</v>
      </c>
      <c r="AL4" s="122">
        <f t="shared" si="1"/>
        <v>2049</v>
      </c>
      <c r="AM4" s="123">
        <f>AL4+1</f>
        <v>2050</v>
      </c>
      <c r="AN4" s="124">
        <f t="shared" si="1"/>
        <v>2051</v>
      </c>
      <c r="AP4" s="109" t="s">
        <v>339</v>
      </c>
    </row>
    <row r="5" spans="1:44" x14ac:dyDescent="0.25">
      <c r="A5" s="125" t="s">
        <v>51</v>
      </c>
      <c r="B5" s="126" t="s">
        <v>44</v>
      </c>
      <c r="C5" s="127"/>
      <c r="D5" s="127"/>
      <c r="E5" s="127">
        <f>(VLOOKUP(E4,Data!$A$5:$J$30,5,FALSE))*1.11111111111111</f>
        <v>8.9133320191568934</v>
      </c>
      <c r="F5" s="127">
        <v>8.7037233085960022</v>
      </c>
      <c r="G5" s="127">
        <v>11.111111111111111</v>
      </c>
      <c r="H5" s="128">
        <v>11.696623093681916</v>
      </c>
      <c r="I5" s="129">
        <v>7.7977487291212775</v>
      </c>
      <c r="J5" s="129">
        <v>8.5477487291212775</v>
      </c>
      <c r="K5" s="129">
        <v>9.2977487291212775</v>
      </c>
      <c r="L5" s="129">
        <v>10.047748729121277</v>
      </c>
      <c r="M5" s="129">
        <v>10.797748729121277</v>
      </c>
      <c r="N5" s="129">
        <v>11.547748729121277</v>
      </c>
      <c r="O5" s="127">
        <v>12.867647058823527</v>
      </c>
      <c r="P5" s="127">
        <v>13.453159041394333</v>
      </c>
      <c r="Q5" s="127">
        <v>14.038671023965138</v>
      </c>
      <c r="R5" s="127">
        <v>14.624183006535944</v>
      </c>
      <c r="S5" s="127">
        <v>15.209694989106749</v>
      </c>
      <c r="T5" s="127">
        <f>+S5*(1-0.05)</f>
        <v>14.449210239651411</v>
      </c>
      <c r="U5" s="127">
        <f t="shared" ref="U5:AM5" si="2">+T5*(1-0.05)</f>
        <v>13.726749727668839</v>
      </c>
      <c r="V5" s="127">
        <f t="shared" si="2"/>
        <v>13.040412241285397</v>
      </c>
      <c r="W5" s="127">
        <f t="shared" si="2"/>
        <v>12.388391629221127</v>
      </c>
      <c r="X5" s="127">
        <f t="shared" si="2"/>
        <v>11.768972047760069</v>
      </c>
      <c r="Y5" s="127">
        <f t="shared" si="2"/>
        <v>11.180523445372065</v>
      </c>
      <c r="Z5" s="127">
        <f t="shared" si="2"/>
        <v>10.621497273103461</v>
      </c>
      <c r="AA5" s="127">
        <f t="shared" si="2"/>
        <v>10.090422409448287</v>
      </c>
      <c r="AB5" s="127">
        <f t="shared" si="2"/>
        <v>9.5859012889758723</v>
      </c>
      <c r="AC5" s="127">
        <f t="shared" si="2"/>
        <v>9.1066062245270789</v>
      </c>
      <c r="AD5" s="127">
        <f t="shared" si="2"/>
        <v>8.651275913300724</v>
      </c>
      <c r="AE5" s="127">
        <f t="shared" si="2"/>
        <v>8.2187121176356879</v>
      </c>
      <c r="AF5" s="127">
        <f t="shared" si="2"/>
        <v>7.8077765117539029</v>
      </c>
      <c r="AG5" s="127">
        <f t="shared" si="2"/>
        <v>7.4173876861662071</v>
      </c>
      <c r="AH5" s="127">
        <f t="shared" si="2"/>
        <v>7.0465183018578967</v>
      </c>
      <c r="AI5" s="127">
        <f t="shared" si="2"/>
        <v>6.6941923867650015</v>
      </c>
      <c r="AJ5" s="127">
        <f t="shared" si="2"/>
        <v>6.3594827674267513</v>
      </c>
      <c r="AK5" s="127">
        <f t="shared" si="2"/>
        <v>6.0415086290554134</v>
      </c>
      <c r="AL5" s="127">
        <f t="shared" si="2"/>
        <v>5.7394331976026427</v>
      </c>
      <c r="AM5" s="127">
        <f t="shared" si="2"/>
        <v>5.4524615377225105</v>
      </c>
      <c r="AN5" s="127">
        <f>AM5</f>
        <v>5.4524615377225105</v>
      </c>
      <c r="AR5" s="109" t="s">
        <v>338</v>
      </c>
    </row>
    <row r="6" spans="1:44" ht="14.4" x14ac:dyDescent="0.3">
      <c r="A6" s="125" t="s">
        <v>51</v>
      </c>
      <c r="B6" s="126" t="s">
        <v>323</v>
      </c>
      <c r="C6" s="127"/>
      <c r="D6" s="127"/>
      <c r="E6" s="130">
        <v>9.9111111111111114</v>
      </c>
      <c r="F6" s="130">
        <v>5.631260814256823</v>
      </c>
      <c r="G6" s="127">
        <v>7.2034091999999994</v>
      </c>
      <c r="H6" s="128">
        <v>7.306089375</v>
      </c>
      <c r="I6" s="129">
        <v>4.8707262499999997</v>
      </c>
      <c r="J6" s="129">
        <v>5.3707262499999997</v>
      </c>
      <c r="K6" s="129">
        <v>5.8707262499999997</v>
      </c>
      <c r="L6" s="129">
        <v>6.3707262499999997</v>
      </c>
      <c r="M6" s="129">
        <v>6.8707262499999997</v>
      </c>
      <c r="N6" s="129">
        <v>7.3707262499999997</v>
      </c>
      <c r="O6" s="127">
        <v>7.5114497250000003</v>
      </c>
      <c r="P6" s="127">
        <v>7.6141299</v>
      </c>
      <c r="Q6" s="127">
        <v>7.7168100749999997</v>
      </c>
      <c r="R6" s="127">
        <v>7.8194902500000003</v>
      </c>
      <c r="S6" s="127">
        <v>7.9221704250000009</v>
      </c>
      <c r="T6" s="127">
        <f>S6</f>
        <v>7.9221704250000009</v>
      </c>
      <c r="U6" s="127">
        <f t="shared" ref="U6:AN8" si="3">T6</f>
        <v>7.9221704250000009</v>
      </c>
      <c r="V6" s="127">
        <f t="shared" si="3"/>
        <v>7.9221704250000009</v>
      </c>
      <c r="W6" s="127">
        <f t="shared" si="3"/>
        <v>7.9221704250000009</v>
      </c>
      <c r="X6" s="127">
        <f t="shared" si="3"/>
        <v>7.9221704250000009</v>
      </c>
      <c r="Y6" s="127">
        <f t="shared" si="3"/>
        <v>7.9221704250000009</v>
      </c>
      <c r="Z6" s="127">
        <f t="shared" si="3"/>
        <v>7.9221704250000009</v>
      </c>
      <c r="AA6" s="127">
        <f t="shared" si="3"/>
        <v>7.9221704250000009</v>
      </c>
      <c r="AB6" s="127">
        <f t="shared" si="3"/>
        <v>7.9221704250000009</v>
      </c>
      <c r="AC6" s="127">
        <f t="shared" si="3"/>
        <v>7.9221704250000009</v>
      </c>
      <c r="AD6" s="127">
        <f>+AC6*(1-0.03)</f>
        <v>7.6845053122500007</v>
      </c>
      <c r="AE6" s="127">
        <f t="shared" ref="AE6:AM6" si="4">+AD6*(1-0.03)</f>
        <v>7.4539701528825004</v>
      </c>
      <c r="AF6" s="127">
        <f t="shared" si="4"/>
        <v>7.2303510482960256</v>
      </c>
      <c r="AG6" s="127">
        <f t="shared" si="4"/>
        <v>7.0134405168471448</v>
      </c>
      <c r="AH6" s="127">
        <f t="shared" si="4"/>
        <v>6.80303730134173</v>
      </c>
      <c r="AI6" s="127">
        <f t="shared" si="4"/>
        <v>6.5989461823014777</v>
      </c>
      <c r="AJ6" s="127">
        <f t="shared" si="4"/>
        <v>6.4009777968324331</v>
      </c>
      <c r="AK6" s="127">
        <f t="shared" si="4"/>
        <v>6.2089484629274603</v>
      </c>
      <c r="AL6" s="127">
        <f t="shared" si="4"/>
        <v>6.022680009039636</v>
      </c>
      <c r="AM6" s="127">
        <f t="shared" si="4"/>
        <v>5.8419996087684467</v>
      </c>
      <c r="AN6" s="127">
        <f t="shared" si="3"/>
        <v>5.8419996087684467</v>
      </c>
      <c r="AO6" s="131"/>
      <c r="AP6" s="109" t="s">
        <v>330</v>
      </c>
      <c r="AR6" s="109" t="s">
        <v>348</v>
      </c>
    </row>
    <row r="7" spans="1:44" ht="14.4" x14ac:dyDescent="0.3">
      <c r="A7" s="125" t="s">
        <v>51</v>
      </c>
      <c r="B7" s="126" t="s">
        <v>324</v>
      </c>
      <c r="C7" s="127"/>
      <c r="D7" s="127"/>
      <c r="E7" s="130">
        <f t="shared" ref="E7:E8" si="5">(E6)*1.11111111111111</f>
        <v>11.012345679012336</v>
      </c>
      <c r="F7" s="130">
        <v>6.8580986897128513</v>
      </c>
      <c r="G7" s="127">
        <v>6.8580986897128513</v>
      </c>
      <c r="H7" s="128">
        <v>6.8580986897128513</v>
      </c>
      <c r="I7" s="129">
        <v>5.4641761918037357</v>
      </c>
      <c r="J7" s="129">
        <v>5.5734597156398102</v>
      </c>
      <c r="K7" s="129">
        <v>5.6849289099526068</v>
      </c>
      <c r="L7" s="129">
        <v>5.7986274881516593</v>
      </c>
      <c r="M7" s="129">
        <v>5.9146000379146928</v>
      </c>
      <c r="N7" s="129">
        <v>6.032892038672987</v>
      </c>
      <c r="O7" s="127">
        <v>6.1837143396398107</v>
      </c>
      <c r="P7" s="127">
        <v>6.3383071981308055</v>
      </c>
      <c r="Q7" s="127">
        <v>6.4967648780840754</v>
      </c>
      <c r="R7" s="127">
        <v>6.6591840000361771</v>
      </c>
      <c r="S7" s="127">
        <v>6.8005869750000025</v>
      </c>
      <c r="T7" s="127">
        <f>+S7*(1+0.0075)</f>
        <v>6.851591377312503</v>
      </c>
      <c r="U7" s="127">
        <f t="shared" ref="U7:AL7" si="6">+T7*(1+0.0075)</f>
        <v>6.9029783126423476</v>
      </c>
      <c r="V7" s="127">
        <f t="shared" si="6"/>
        <v>6.9547506499871661</v>
      </c>
      <c r="W7" s="127">
        <f t="shared" si="6"/>
        <v>7.0069112798620701</v>
      </c>
      <c r="X7" s="127">
        <f t="shared" si="6"/>
        <v>7.0594631144610362</v>
      </c>
      <c r="Y7" s="127">
        <f t="shared" si="6"/>
        <v>7.1124090878194943</v>
      </c>
      <c r="Z7" s="127">
        <f t="shared" si="6"/>
        <v>7.165752155978141</v>
      </c>
      <c r="AA7" s="127">
        <f t="shared" si="6"/>
        <v>7.2194952971479776</v>
      </c>
      <c r="AB7" s="127">
        <f t="shared" si="6"/>
        <v>7.2736415118765878</v>
      </c>
      <c r="AC7" s="127">
        <f t="shared" si="6"/>
        <v>7.3281938232156625</v>
      </c>
      <c r="AD7" s="127">
        <f t="shared" si="6"/>
        <v>7.3831552768897808</v>
      </c>
      <c r="AE7" s="127">
        <f t="shared" si="6"/>
        <v>7.4385289414664548</v>
      </c>
      <c r="AF7" s="127">
        <f t="shared" si="6"/>
        <v>7.4943179085274538</v>
      </c>
      <c r="AG7" s="127">
        <f t="shared" si="6"/>
        <v>7.5505252928414102</v>
      </c>
      <c r="AH7" s="127">
        <f t="shared" si="6"/>
        <v>7.6071542325377211</v>
      </c>
      <c r="AI7" s="127">
        <f t="shared" si="6"/>
        <v>7.6642078892817542</v>
      </c>
      <c r="AJ7" s="127">
        <f t="shared" si="6"/>
        <v>7.7216894484513681</v>
      </c>
      <c r="AK7" s="127">
        <f t="shared" si="6"/>
        <v>7.7796021193147542</v>
      </c>
      <c r="AL7" s="127">
        <f t="shared" si="6"/>
        <v>7.8379491352096151</v>
      </c>
      <c r="AM7" s="127">
        <f>AC6</f>
        <v>7.9221704250000009</v>
      </c>
      <c r="AN7" s="127">
        <f t="shared" si="3"/>
        <v>7.9221704250000009</v>
      </c>
      <c r="AO7" s="131"/>
      <c r="AP7" s="109" t="s">
        <v>329</v>
      </c>
      <c r="AR7" s="109" t="s">
        <v>337</v>
      </c>
    </row>
    <row r="8" spans="1:44" ht="14.4" x14ac:dyDescent="0.3">
      <c r="A8" s="125" t="s">
        <v>51</v>
      </c>
      <c r="B8" s="126" t="s">
        <v>325</v>
      </c>
      <c r="C8" s="127"/>
      <c r="D8" s="127"/>
      <c r="E8" s="130">
        <f t="shared" si="5"/>
        <v>12.235939643347029</v>
      </c>
      <c r="F8" s="130">
        <v>6.8580986897128513</v>
      </c>
      <c r="G8" s="127">
        <v>6.8580986897128513</v>
      </c>
      <c r="H8" s="128">
        <v>6.8580986897128513</v>
      </c>
      <c r="I8" s="129">
        <v>5.4641761918037357</v>
      </c>
      <c r="J8" s="129">
        <v>5.3707262499999997</v>
      </c>
      <c r="K8" s="129">
        <v>5.8707262499999997</v>
      </c>
      <c r="L8" s="129">
        <v>6.3707262499999997</v>
      </c>
      <c r="M8" s="129">
        <v>6.8707262499999997</v>
      </c>
      <c r="N8" s="129">
        <v>7.3707262499999997</v>
      </c>
      <c r="O8" s="127">
        <v>7.5114497250000003</v>
      </c>
      <c r="P8" s="127">
        <v>7.6141299</v>
      </c>
      <c r="Q8" s="127">
        <v>7.7168100749999997</v>
      </c>
      <c r="R8" s="127">
        <v>7.8194902500000003</v>
      </c>
      <c r="S8" s="127">
        <v>7.9221704250000009</v>
      </c>
      <c r="T8" s="127">
        <f>T6*$AO$8</f>
        <v>9.5066045100000007</v>
      </c>
      <c r="U8" s="127">
        <f t="shared" ref="U8:AM8" si="7">U6*$AO$8</f>
        <v>9.5066045100000007</v>
      </c>
      <c r="V8" s="127">
        <f t="shared" si="7"/>
        <v>9.5066045100000007</v>
      </c>
      <c r="W8" s="127">
        <f t="shared" si="7"/>
        <v>9.5066045100000007</v>
      </c>
      <c r="X8" s="127">
        <f t="shared" si="7"/>
        <v>9.5066045100000007</v>
      </c>
      <c r="Y8" s="127">
        <f t="shared" si="7"/>
        <v>9.5066045100000007</v>
      </c>
      <c r="Z8" s="127">
        <f t="shared" si="7"/>
        <v>9.5066045100000007</v>
      </c>
      <c r="AA8" s="127">
        <f t="shared" si="7"/>
        <v>9.5066045100000007</v>
      </c>
      <c r="AB8" s="127">
        <f t="shared" si="7"/>
        <v>9.5066045100000007</v>
      </c>
      <c r="AC8" s="127">
        <f t="shared" si="7"/>
        <v>9.5066045100000007</v>
      </c>
      <c r="AD8" s="127">
        <f t="shared" si="7"/>
        <v>9.2214063747000008</v>
      </c>
      <c r="AE8" s="127">
        <f t="shared" si="7"/>
        <v>8.9447641834590002</v>
      </c>
      <c r="AF8" s="127">
        <f t="shared" si="7"/>
        <v>8.67642125795523</v>
      </c>
      <c r="AG8" s="127">
        <f t="shared" si="7"/>
        <v>8.4161286202165737</v>
      </c>
      <c r="AH8" s="127">
        <f t="shared" si="7"/>
        <v>8.163644761610076</v>
      </c>
      <c r="AI8" s="127">
        <f t="shared" si="7"/>
        <v>7.9187354187617727</v>
      </c>
      <c r="AJ8" s="127">
        <f t="shared" si="7"/>
        <v>7.6811733561989195</v>
      </c>
      <c r="AK8" s="127">
        <f t="shared" si="7"/>
        <v>7.4507381555129522</v>
      </c>
      <c r="AL8" s="127">
        <f t="shared" si="7"/>
        <v>7.2272160108475632</v>
      </c>
      <c r="AM8" s="127">
        <f t="shared" si="7"/>
        <v>7.010399530522136</v>
      </c>
      <c r="AN8" s="127">
        <f t="shared" si="3"/>
        <v>7.010399530522136</v>
      </c>
      <c r="AO8" s="131">
        <v>1.2</v>
      </c>
      <c r="AP8" s="117" t="s">
        <v>331</v>
      </c>
    </row>
    <row r="9" spans="1:44" x14ac:dyDescent="0.25">
      <c r="A9" s="125" t="s">
        <v>51</v>
      </c>
      <c r="B9" s="126" t="s">
        <v>45</v>
      </c>
      <c r="C9" s="127"/>
      <c r="D9" s="127"/>
      <c r="E9" s="127">
        <f>(VLOOKUP(E4,Data!$A$5:$J$30,7,FALSE))*1.11111111111111</f>
        <v>2.2365561589711773</v>
      </c>
      <c r="F9" s="127">
        <f t="shared" ref="F9:S9" si="8">F11*1.7</f>
        <v>2.0796481547921881</v>
      </c>
      <c r="G9" s="127">
        <f t="shared" si="8"/>
        <v>1.9721846892956114</v>
      </c>
      <c r="H9" s="127">
        <f t="shared" si="8"/>
        <v>2.2815469934988446</v>
      </c>
      <c r="I9" s="127">
        <f t="shared" si="8"/>
        <v>1.5210313289992297</v>
      </c>
      <c r="J9" s="127">
        <f t="shared" si="8"/>
        <v>1.7760313289992296</v>
      </c>
      <c r="K9" s="127">
        <f t="shared" si="8"/>
        <v>2.0310313289992292</v>
      </c>
      <c r="L9" s="127">
        <f t="shared" si="8"/>
        <v>2.2860313289992291</v>
      </c>
      <c r="M9" s="127">
        <f t="shared" si="8"/>
        <v>2.541031328999229</v>
      </c>
      <c r="N9" s="127">
        <f t="shared" si="8"/>
        <v>2.7960313289992289</v>
      </c>
      <c r="O9" s="127">
        <f t="shared" si="8"/>
        <v>2.04</v>
      </c>
      <c r="P9" s="127">
        <f t="shared" si="8"/>
        <v>2.125</v>
      </c>
      <c r="Q9" s="127">
        <f t="shared" si="8"/>
        <v>2.21</v>
      </c>
      <c r="R9" s="127">
        <f t="shared" si="8"/>
        <v>2.2949999999999999</v>
      </c>
      <c r="S9" s="127">
        <f t="shared" si="8"/>
        <v>2.38</v>
      </c>
      <c r="T9" s="127">
        <f t="shared" ref="T9:AM9" si="9">+S9*(1-0.015)</f>
        <v>2.3443000000000001</v>
      </c>
      <c r="U9" s="127">
        <f t="shared" si="9"/>
        <v>2.3091355</v>
      </c>
      <c r="V9" s="127">
        <f t="shared" si="9"/>
        <v>2.2744984675</v>
      </c>
      <c r="W9" s="127">
        <f t="shared" si="9"/>
        <v>2.2403809904875001</v>
      </c>
      <c r="X9" s="127">
        <f t="shared" si="9"/>
        <v>2.2067752756301875</v>
      </c>
      <c r="Y9" s="127">
        <f t="shared" si="9"/>
        <v>2.1736736464957347</v>
      </c>
      <c r="Z9" s="127">
        <f t="shared" si="9"/>
        <v>2.1410685417982984</v>
      </c>
      <c r="AA9" s="127">
        <f t="shared" si="9"/>
        <v>2.1089525136713241</v>
      </c>
      <c r="AB9" s="127">
        <f t="shared" si="9"/>
        <v>2.0773182259662542</v>
      </c>
      <c r="AC9" s="127">
        <f t="shared" si="9"/>
        <v>2.0461584525767602</v>
      </c>
      <c r="AD9" s="127">
        <f t="shared" si="9"/>
        <v>2.0154660757881087</v>
      </c>
      <c r="AE9" s="127">
        <f t="shared" si="9"/>
        <v>1.985234084651287</v>
      </c>
      <c r="AF9" s="127">
        <f t="shared" si="9"/>
        <v>1.9554555733815178</v>
      </c>
      <c r="AG9" s="127">
        <f t="shared" si="9"/>
        <v>1.9261237397807949</v>
      </c>
      <c r="AH9" s="127">
        <f t="shared" si="9"/>
        <v>1.8972318836840829</v>
      </c>
      <c r="AI9" s="127">
        <f t="shared" si="9"/>
        <v>1.8687734054288216</v>
      </c>
      <c r="AJ9" s="127">
        <f t="shared" si="9"/>
        <v>1.8407418043473893</v>
      </c>
      <c r="AK9" s="127">
        <f t="shared" si="9"/>
        <v>1.8131306772821785</v>
      </c>
      <c r="AL9" s="127">
        <f t="shared" si="9"/>
        <v>1.7859337171229457</v>
      </c>
      <c r="AM9" s="127">
        <f t="shared" si="9"/>
        <v>1.7591447113661014</v>
      </c>
      <c r="AN9" s="127">
        <f>AM9</f>
        <v>1.7591447113661014</v>
      </c>
      <c r="AP9" s="117" t="s">
        <v>334</v>
      </c>
    </row>
    <row r="10" spans="1:44" x14ac:dyDescent="0.25">
      <c r="AC10" s="114"/>
      <c r="AD10" s="117"/>
      <c r="AM10" s="114"/>
    </row>
    <row r="11" spans="1:44" x14ac:dyDescent="0.25">
      <c r="F11" s="127">
        <v>1.2233224439954047</v>
      </c>
      <c r="G11" s="127">
        <v>1.1601086407621244</v>
      </c>
      <c r="H11" s="128">
        <v>1.3420864667640262</v>
      </c>
      <c r="I11" s="129">
        <v>0.89472431117601747</v>
      </c>
      <c r="J11" s="129">
        <v>1.0447243111760174</v>
      </c>
      <c r="K11" s="129">
        <v>1.1947243111760173</v>
      </c>
      <c r="L11" s="129">
        <v>1.3447243111760172</v>
      </c>
      <c r="M11" s="129">
        <v>1.4947243111760171</v>
      </c>
      <c r="N11" s="129">
        <v>1.644724311176017</v>
      </c>
      <c r="O11" s="127">
        <v>1.2</v>
      </c>
      <c r="P11" s="127">
        <v>1.25</v>
      </c>
      <c r="Q11" s="127">
        <v>1.3</v>
      </c>
      <c r="R11" s="127">
        <v>1.35</v>
      </c>
      <c r="S11" s="127">
        <v>1.4</v>
      </c>
      <c r="T11" s="109" t="s">
        <v>353</v>
      </c>
      <c r="AC11" s="114"/>
    </row>
    <row r="12" spans="1:44" ht="13.8" thickBot="1" x14ac:dyDescent="0.3">
      <c r="A12" s="132" t="s">
        <v>132</v>
      </c>
      <c r="B12" s="132"/>
      <c r="J12" s="133"/>
    </row>
    <row r="13" spans="1:44" x14ac:dyDescent="0.25">
      <c r="A13" s="134" t="s">
        <v>31</v>
      </c>
      <c r="B13" s="130">
        <v>1.27</v>
      </c>
      <c r="C13" s="135" t="s">
        <v>328</v>
      </c>
      <c r="J13" s="133"/>
    </row>
    <row r="14" spans="1:44" x14ac:dyDescent="0.25">
      <c r="A14" s="134" t="s">
        <v>145</v>
      </c>
      <c r="B14" s="130">
        <v>0.95</v>
      </c>
      <c r="C14" s="135"/>
      <c r="J14" s="133"/>
    </row>
    <row r="15" spans="1:44" x14ac:dyDescent="0.25">
      <c r="A15" s="134" t="s">
        <v>146</v>
      </c>
      <c r="B15" s="130">
        <v>0.95</v>
      </c>
      <c r="C15" s="135"/>
      <c r="J15" s="133"/>
    </row>
    <row r="16" spans="1:44" x14ac:dyDescent="0.25">
      <c r="A16" s="134" t="s">
        <v>32</v>
      </c>
      <c r="B16" s="136">
        <v>0.70630000000000004</v>
      </c>
      <c r="C16" s="135"/>
      <c r="G16" s="133"/>
      <c r="H16" s="137"/>
      <c r="I16" s="133"/>
      <c r="J16" s="133"/>
      <c r="K16" s="133"/>
      <c r="L16" s="133"/>
      <c r="M16" s="133"/>
      <c r="N16" s="133"/>
    </row>
    <row r="17" spans="1:41" x14ac:dyDescent="0.25">
      <c r="A17" s="134" t="s">
        <v>81</v>
      </c>
      <c r="B17" s="130">
        <v>1.2686690952794359</v>
      </c>
      <c r="G17" s="133"/>
      <c r="H17" s="137"/>
      <c r="I17" s="133"/>
    </row>
    <row r="18" spans="1:41" x14ac:dyDescent="0.25">
      <c r="A18" s="134" t="s">
        <v>33</v>
      </c>
      <c r="B18" s="130">
        <v>1.135</v>
      </c>
      <c r="G18" s="133"/>
      <c r="H18" s="137"/>
      <c r="I18" s="133"/>
    </row>
    <row r="19" spans="1:41" x14ac:dyDescent="0.25">
      <c r="A19" s="134" t="s">
        <v>34</v>
      </c>
      <c r="B19" s="130">
        <v>1.4106095793722861</v>
      </c>
      <c r="G19" s="133"/>
      <c r="H19" s="137"/>
      <c r="I19" s="133"/>
    </row>
    <row r="20" spans="1:41" x14ac:dyDescent="0.25">
      <c r="A20" s="134" t="s">
        <v>140</v>
      </c>
      <c r="B20" s="130">
        <v>0.7063359845227859</v>
      </c>
      <c r="G20" s="133"/>
      <c r="H20" s="137"/>
      <c r="I20" s="133"/>
    </row>
    <row r="21" spans="1:41" x14ac:dyDescent="0.25">
      <c r="A21" s="134" t="s">
        <v>83</v>
      </c>
      <c r="B21" s="130">
        <v>1.3719920844869935</v>
      </c>
    </row>
    <row r="23" spans="1:41" x14ac:dyDescent="0.25">
      <c r="A23" s="138" t="s">
        <v>144</v>
      </c>
    </row>
    <row r="24" spans="1:41" x14ac:dyDescent="0.25">
      <c r="A24" s="122" t="s">
        <v>51</v>
      </c>
      <c r="B24" s="122"/>
    </row>
    <row r="25" spans="1:41" x14ac:dyDescent="0.25">
      <c r="A25" s="139"/>
      <c r="B25" s="139"/>
      <c r="C25" s="122">
        <f>C4</f>
        <v>2010</v>
      </c>
      <c r="D25" s="122">
        <f t="shared" ref="D25:AN25" si="10">D4</f>
        <v>2013</v>
      </c>
      <c r="E25" s="122">
        <v>2015</v>
      </c>
      <c r="F25" s="122">
        <f t="shared" si="10"/>
        <v>2017</v>
      </c>
      <c r="G25" s="124">
        <f t="shared" si="10"/>
        <v>2018</v>
      </c>
      <c r="H25" s="140">
        <f t="shared" si="10"/>
        <v>2019</v>
      </c>
      <c r="I25" s="122">
        <f t="shared" si="10"/>
        <v>2020</v>
      </c>
      <c r="J25" s="122">
        <f t="shared" si="10"/>
        <v>2021</v>
      </c>
      <c r="K25" s="122">
        <f t="shared" si="10"/>
        <v>2022</v>
      </c>
      <c r="L25" s="122">
        <f t="shared" si="10"/>
        <v>2023</v>
      </c>
      <c r="M25" s="122">
        <f t="shared" si="10"/>
        <v>2024</v>
      </c>
      <c r="N25" s="122">
        <f t="shared" si="10"/>
        <v>2025</v>
      </c>
      <c r="O25" s="122">
        <f t="shared" si="10"/>
        <v>2026</v>
      </c>
      <c r="P25" s="122">
        <f t="shared" si="10"/>
        <v>2027</v>
      </c>
      <c r="Q25" s="122">
        <f t="shared" si="10"/>
        <v>2028</v>
      </c>
      <c r="R25" s="122">
        <f t="shared" si="10"/>
        <v>2029</v>
      </c>
      <c r="S25" s="122">
        <f t="shared" si="10"/>
        <v>2030</v>
      </c>
      <c r="T25" s="122">
        <f t="shared" si="10"/>
        <v>2031</v>
      </c>
      <c r="U25" s="122">
        <f t="shared" si="10"/>
        <v>2032</v>
      </c>
      <c r="V25" s="122">
        <f t="shared" si="10"/>
        <v>2033</v>
      </c>
      <c r="W25" s="122">
        <f t="shared" si="10"/>
        <v>2034</v>
      </c>
      <c r="X25" s="122">
        <f t="shared" si="10"/>
        <v>2035</v>
      </c>
      <c r="Y25" s="122">
        <f t="shared" si="10"/>
        <v>2036</v>
      </c>
      <c r="Z25" s="122">
        <f t="shared" si="10"/>
        <v>2037</v>
      </c>
      <c r="AA25" s="122">
        <f t="shared" si="10"/>
        <v>2038</v>
      </c>
      <c r="AB25" s="122">
        <f t="shared" si="10"/>
        <v>2039</v>
      </c>
      <c r="AC25" s="122">
        <f t="shared" si="10"/>
        <v>2040</v>
      </c>
      <c r="AD25" s="122">
        <f t="shared" si="10"/>
        <v>2041</v>
      </c>
      <c r="AE25" s="122">
        <f t="shared" si="10"/>
        <v>2042</v>
      </c>
      <c r="AF25" s="122">
        <f t="shared" si="10"/>
        <v>2043</v>
      </c>
      <c r="AG25" s="122">
        <f t="shared" si="10"/>
        <v>2044</v>
      </c>
      <c r="AH25" s="122">
        <f t="shared" si="10"/>
        <v>2045</v>
      </c>
      <c r="AI25" s="122">
        <f t="shared" si="10"/>
        <v>2046</v>
      </c>
      <c r="AJ25" s="122">
        <f t="shared" si="10"/>
        <v>2047</v>
      </c>
      <c r="AK25" s="122">
        <f t="shared" si="10"/>
        <v>2048</v>
      </c>
      <c r="AL25" s="122">
        <f t="shared" si="10"/>
        <v>2049</v>
      </c>
      <c r="AM25" s="122">
        <f t="shared" si="10"/>
        <v>2050</v>
      </c>
      <c r="AN25" s="122">
        <f t="shared" si="10"/>
        <v>2051</v>
      </c>
      <c r="AO25" s="122" t="s">
        <v>143</v>
      </c>
    </row>
    <row r="26" spans="1:41" x14ac:dyDescent="0.25">
      <c r="A26" s="141"/>
      <c r="B26" s="141" t="s">
        <v>36</v>
      </c>
      <c r="C26" s="142"/>
      <c r="D26" s="142"/>
      <c r="E26" s="142">
        <f>E9</f>
        <v>2.2365561589711773</v>
      </c>
      <c r="F26" s="142">
        <f>F9</f>
        <v>2.0796481547921881</v>
      </c>
      <c r="G26" s="142">
        <f>G9</f>
        <v>1.9721846892956114</v>
      </c>
      <c r="H26" s="128">
        <f t="shared" ref="H26:AN26" si="11">H9</f>
        <v>2.2815469934988446</v>
      </c>
      <c r="I26" s="142">
        <f t="shared" si="11"/>
        <v>1.5210313289992297</v>
      </c>
      <c r="J26" s="142">
        <f t="shared" si="11"/>
        <v>1.7760313289992296</v>
      </c>
      <c r="K26" s="142">
        <f t="shared" si="11"/>
        <v>2.0310313289992292</v>
      </c>
      <c r="L26" s="142">
        <f t="shared" si="11"/>
        <v>2.2860313289992291</v>
      </c>
      <c r="M26" s="142">
        <f t="shared" si="11"/>
        <v>2.541031328999229</v>
      </c>
      <c r="N26" s="142">
        <f t="shared" si="11"/>
        <v>2.7960313289992289</v>
      </c>
      <c r="O26" s="142">
        <f t="shared" si="11"/>
        <v>2.04</v>
      </c>
      <c r="P26" s="142">
        <f t="shared" si="11"/>
        <v>2.125</v>
      </c>
      <c r="Q26" s="142">
        <f t="shared" si="11"/>
        <v>2.21</v>
      </c>
      <c r="R26" s="142">
        <f t="shared" si="11"/>
        <v>2.2949999999999999</v>
      </c>
      <c r="S26" s="142">
        <f t="shared" si="11"/>
        <v>2.38</v>
      </c>
      <c r="T26" s="142">
        <f t="shared" si="11"/>
        <v>2.3443000000000001</v>
      </c>
      <c r="U26" s="142">
        <f t="shared" si="11"/>
        <v>2.3091355</v>
      </c>
      <c r="V26" s="142">
        <f t="shared" si="11"/>
        <v>2.2744984675</v>
      </c>
      <c r="W26" s="142">
        <f t="shared" si="11"/>
        <v>2.2403809904875001</v>
      </c>
      <c r="X26" s="142">
        <f t="shared" si="11"/>
        <v>2.2067752756301875</v>
      </c>
      <c r="Y26" s="142">
        <f t="shared" si="11"/>
        <v>2.1736736464957347</v>
      </c>
      <c r="Z26" s="142">
        <f t="shared" si="11"/>
        <v>2.1410685417982984</v>
      </c>
      <c r="AA26" s="142">
        <f t="shared" si="11"/>
        <v>2.1089525136713241</v>
      </c>
      <c r="AB26" s="142">
        <f t="shared" si="11"/>
        <v>2.0773182259662542</v>
      </c>
      <c r="AC26" s="142">
        <f t="shared" si="11"/>
        <v>2.0461584525767602</v>
      </c>
      <c r="AD26" s="142">
        <f t="shared" si="11"/>
        <v>2.0154660757881087</v>
      </c>
      <c r="AE26" s="142">
        <f t="shared" si="11"/>
        <v>1.985234084651287</v>
      </c>
      <c r="AF26" s="142">
        <f t="shared" si="11"/>
        <v>1.9554555733815178</v>
      </c>
      <c r="AG26" s="142">
        <f t="shared" si="11"/>
        <v>1.9261237397807949</v>
      </c>
      <c r="AH26" s="142">
        <f t="shared" si="11"/>
        <v>1.8972318836840829</v>
      </c>
      <c r="AI26" s="142">
        <f t="shared" si="11"/>
        <v>1.8687734054288216</v>
      </c>
      <c r="AJ26" s="142">
        <f t="shared" si="11"/>
        <v>1.8407418043473893</v>
      </c>
      <c r="AK26" s="142">
        <f t="shared" si="11"/>
        <v>1.8131306772821785</v>
      </c>
      <c r="AL26" s="142">
        <f t="shared" si="11"/>
        <v>1.7859337171229457</v>
      </c>
      <c r="AM26" s="142">
        <f t="shared" si="11"/>
        <v>1.7591447113661014</v>
      </c>
      <c r="AN26" s="142">
        <f t="shared" si="11"/>
        <v>1.7591447113661014</v>
      </c>
    </row>
    <row r="27" spans="1:41" x14ac:dyDescent="0.25">
      <c r="A27" s="141"/>
      <c r="B27" s="141" t="s">
        <v>88</v>
      </c>
      <c r="C27" s="142"/>
      <c r="D27" s="142"/>
      <c r="E27" s="142">
        <f>E26*$B$13</f>
        <v>2.8404263218933954</v>
      </c>
      <c r="F27" s="142">
        <f>F26*$B$13</f>
        <v>2.6411531565860789</v>
      </c>
      <c r="G27" s="142">
        <f>G26*$B$13</f>
        <v>2.5046745554054266</v>
      </c>
      <c r="H27" s="128">
        <f t="shared" ref="H27:AN27" si="12">H26*$B$13</f>
        <v>2.8975646817435328</v>
      </c>
      <c r="I27" s="142">
        <f t="shared" si="12"/>
        <v>1.9317097878290217</v>
      </c>
      <c r="J27" s="142">
        <f t="shared" si="12"/>
        <v>2.2555597878290214</v>
      </c>
      <c r="K27" s="142">
        <f t="shared" si="12"/>
        <v>2.5794097878290212</v>
      </c>
      <c r="L27" s="142">
        <f t="shared" si="12"/>
        <v>2.9032597878290209</v>
      </c>
      <c r="M27" s="142">
        <f t="shared" si="12"/>
        <v>3.2271097878290207</v>
      </c>
      <c r="N27" s="142">
        <f t="shared" si="12"/>
        <v>3.5509597878290209</v>
      </c>
      <c r="O27" s="142">
        <f t="shared" si="12"/>
        <v>2.5908000000000002</v>
      </c>
      <c r="P27" s="142">
        <f t="shared" si="12"/>
        <v>2.69875</v>
      </c>
      <c r="Q27" s="142">
        <f t="shared" si="12"/>
        <v>2.8067000000000002</v>
      </c>
      <c r="R27" s="142">
        <f t="shared" si="12"/>
        <v>2.91465</v>
      </c>
      <c r="S27" s="142">
        <f t="shared" si="12"/>
        <v>3.0225999999999997</v>
      </c>
      <c r="T27" s="142">
        <f t="shared" si="12"/>
        <v>2.9772609999999999</v>
      </c>
      <c r="U27" s="142">
        <f t="shared" si="12"/>
        <v>2.9326020850000001</v>
      </c>
      <c r="V27" s="142">
        <f t="shared" si="12"/>
        <v>2.8886130537249999</v>
      </c>
      <c r="W27" s="142">
        <f t="shared" si="12"/>
        <v>2.8452838579191253</v>
      </c>
      <c r="X27" s="142">
        <f t="shared" si="12"/>
        <v>2.802604600050338</v>
      </c>
      <c r="Y27" s="142">
        <f t="shared" si="12"/>
        <v>2.7605655310495831</v>
      </c>
      <c r="Z27" s="142">
        <f t="shared" si="12"/>
        <v>2.7191570480838392</v>
      </c>
      <c r="AA27" s="142">
        <f t="shared" si="12"/>
        <v>2.6783696923625815</v>
      </c>
      <c r="AB27" s="142">
        <f t="shared" si="12"/>
        <v>2.6381941469771428</v>
      </c>
      <c r="AC27" s="142">
        <f t="shared" si="12"/>
        <v>2.5986212347724855</v>
      </c>
      <c r="AD27" s="142">
        <f t="shared" si="12"/>
        <v>2.5596419162508979</v>
      </c>
      <c r="AE27" s="142">
        <f t="shared" si="12"/>
        <v>2.5212472875071348</v>
      </c>
      <c r="AF27" s="142">
        <f t="shared" si="12"/>
        <v>2.4834285781945278</v>
      </c>
      <c r="AG27" s="142">
        <f t="shared" si="12"/>
        <v>2.4461771495216094</v>
      </c>
      <c r="AH27" s="142">
        <f t="shared" si="12"/>
        <v>2.4094844922787853</v>
      </c>
      <c r="AI27" s="142">
        <f t="shared" si="12"/>
        <v>2.3733422248946034</v>
      </c>
      <c r="AJ27" s="142">
        <f t="shared" si="12"/>
        <v>2.3377420915211844</v>
      </c>
      <c r="AK27" s="142">
        <f t="shared" si="12"/>
        <v>2.3026759601483668</v>
      </c>
      <c r="AL27" s="142">
        <f t="shared" si="12"/>
        <v>2.2681358207461408</v>
      </c>
      <c r="AM27" s="142">
        <f t="shared" si="12"/>
        <v>2.2341137834349487</v>
      </c>
      <c r="AN27" s="142">
        <f t="shared" si="12"/>
        <v>2.2341137834349487</v>
      </c>
    </row>
    <row r="28" spans="1:41" x14ac:dyDescent="0.25">
      <c r="A28" s="141"/>
      <c r="B28" s="141" t="s">
        <v>147</v>
      </c>
      <c r="C28" s="142"/>
      <c r="D28" s="142"/>
      <c r="E28" s="142">
        <f>E26*$B$14</f>
        <v>2.1247283510226183</v>
      </c>
      <c r="F28" s="142">
        <f>F26*$B$14</f>
        <v>1.9756657470525787</v>
      </c>
      <c r="G28" s="142">
        <f t="shared" ref="G28:AN28" si="13">G26*$B$14</f>
        <v>1.8735754548308308</v>
      </c>
      <c r="H28" s="128">
        <f t="shared" si="13"/>
        <v>2.1674696438239023</v>
      </c>
      <c r="I28" s="142">
        <f t="shared" si="13"/>
        <v>1.4449797625492682</v>
      </c>
      <c r="J28" s="142">
        <f t="shared" si="13"/>
        <v>1.687229762549268</v>
      </c>
      <c r="K28" s="142">
        <f t="shared" si="13"/>
        <v>1.9294797625492677</v>
      </c>
      <c r="L28" s="142">
        <f t="shared" si="13"/>
        <v>2.1717297625492678</v>
      </c>
      <c r="M28" s="142">
        <f t="shared" si="13"/>
        <v>2.4139797625492676</v>
      </c>
      <c r="N28" s="142">
        <f t="shared" si="13"/>
        <v>2.6562297625492675</v>
      </c>
      <c r="O28" s="142">
        <f t="shared" si="13"/>
        <v>1.9379999999999999</v>
      </c>
      <c r="P28" s="142">
        <f t="shared" si="13"/>
        <v>2.0187499999999998</v>
      </c>
      <c r="Q28" s="142">
        <f t="shared" si="13"/>
        <v>2.0994999999999999</v>
      </c>
      <c r="R28" s="142">
        <f t="shared" si="13"/>
        <v>2.18025</v>
      </c>
      <c r="S28" s="142">
        <f t="shared" si="13"/>
        <v>2.2609999999999997</v>
      </c>
      <c r="T28" s="142">
        <f t="shared" si="13"/>
        <v>2.2270849999999998</v>
      </c>
      <c r="U28" s="142">
        <f t="shared" si="13"/>
        <v>2.1936787249999998</v>
      </c>
      <c r="V28" s="142">
        <f t="shared" si="13"/>
        <v>2.160773544125</v>
      </c>
      <c r="W28" s="142">
        <f t="shared" si="13"/>
        <v>2.1283619409631251</v>
      </c>
      <c r="X28" s="142">
        <f t="shared" si="13"/>
        <v>2.0964365118486779</v>
      </c>
      <c r="Y28" s="142">
        <f t="shared" si="13"/>
        <v>2.0649899641709477</v>
      </c>
      <c r="Z28" s="142">
        <f t="shared" si="13"/>
        <v>2.0340151147083834</v>
      </c>
      <c r="AA28" s="142">
        <f t="shared" si="13"/>
        <v>2.0035048879877579</v>
      </c>
      <c r="AB28" s="142">
        <f t="shared" si="13"/>
        <v>1.9734523146679412</v>
      </c>
      <c r="AC28" s="142">
        <f t="shared" si="13"/>
        <v>1.9438505299479221</v>
      </c>
      <c r="AD28" s="142">
        <f t="shared" si="13"/>
        <v>1.914692771998703</v>
      </c>
      <c r="AE28" s="142">
        <f t="shared" si="13"/>
        <v>1.8859723804187225</v>
      </c>
      <c r="AF28" s="142">
        <f t="shared" si="13"/>
        <v>1.8576827947124417</v>
      </c>
      <c r="AG28" s="142">
        <f t="shared" si="13"/>
        <v>1.8298175527917551</v>
      </c>
      <c r="AH28" s="142">
        <f t="shared" si="13"/>
        <v>1.8023702894998788</v>
      </c>
      <c r="AI28" s="142">
        <f t="shared" si="13"/>
        <v>1.7753347351573805</v>
      </c>
      <c r="AJ28" s="142">
        <f t="shared" si="13"/>
        <v>1.7487047141300198</v>
      </c>
      <c r="AK28" s="142">
        <f t="shared" si="13"/>
        <v>1.7224741434180695</v>
      </c>
      <c r="AL28" s="142">
        <f t="shared" si="13"/>
        <v>1.6966370312667982</v>
      </c>
      <c r="AM28" s="142">
        <f t="shared" si="13"/>
        <v>1.6711874757977963</v>
      </c>
      <c r="AN28" s="142">
        <f t="shared" si="13"/>
        <v>1.6711874757977963</v>
      </c>
    </row>
    <row r="29" spans="1:41" x14ac:dyDescent="0.25">
      <c r="A29" s="141"/>
      <c r="B29" s="141" t="s">
        <v>148</v>
      </c>
      <c r="C29" s="142"/>
      <c r="D29" s="142"/>
      <c r="E29" s="142">
        <f>E26*$B$15</f>
        <v>2.1247283510226183</v>
      </c>
      <c r="F29" s="142">
        <f>F26*$B$15</f>
        <v>1.9756657470525787</v>
      </c>
      <c r="G29" s="142">
        <f t="shared" ref="G29:AN29" si="14">G26*$B$15</f>
        <v>1.8735754548308308</v>
      </c>
      <c r="H29" s="128">
        <f t="shared" si="14"/>
        <v>2.1674696438239023</v>
      </c>
      <c r="I29" s="142">
        <f t="shared" si="14"/>
        <v>1.4449797625492682</v>
      </c>
      <c r="J29" s="142">
        <f t="shared" si="14"/>
        <v>1.687229762549268</v>
      </c>
      <c r="K29" s="142">
        <f t="shared" si="14"/>
        <v>1.9294797625492677</v>
      </c>
      <c r="L29" s="142">
        <f t="shared" si="14"/>
        <v>2.1717297625492678</v>
      </c>
      <c r="M29" s="142">
        <f t="shared" si="14"/>
        <v>2.4139797625492676</v>
      </c>
      <c r="N29" s="142">
        <f t="shared" si="14"/>
        <v>2.6562297625492675</v>
      </c>
      <c r="O29" s="142">
        <f t="shared" si="14"/>
        <v>1.9379999999999999</v>
      </c>
      <c r="P29" s="142">
        <f t="shared" si="14"/>
        <v>2.0187499999999998</v>
      </c>
      <c r="Q29" s="142">
        <f t="shared" si="14"/>
        <v>2.0994999999999999</v>
      </c>
      <c r="R29" s="142">
        <f t="shared" si="14"/>
        <v>2.18025</v>
      </c>
      <c r="S29" s="142">
        <f t="shared" si="14"/>
        <v>2.2609999999999997</v>
      </c>
      <c r="T29" s="142">
        <f t="shared" si="14"/>
        <v>2.2270849999999998</v>
      </c>
      <c r="U29" s="142">
        <f t="shared" si="14"/>
        <v>2.1936787249999998</v>
      </c>
      <c r="V29" s="142">
        <f t="shared" si="14"/>
        <v>2.160773544125</v>
      </c>
      <c r="W29" s="142">
        <f t="shared" si="14"/>
        <v>2.1283619409631251</v>
      </c>
      <c r="X29" s="142">
        <f t="shared" si="14"/>
        <v>2.0964365118486779</v>
      </c>
      <c r="Y29" s="142">
        <f t="shared" si="14"/>
        <v>2.0649899641709477</v>
      </c>
      <c r="Z29" s="142">
        <f t="shared" si="14"/>
        <v>2.0340151147083834</v>
      </c>
      <c r="AA29" s="142">
        <f t="shared" si="14"/>
        <v>2.0035048879877579</v>
      </c>
      <c r="AB29" s="142">
        <f t="shared" si="14"/>
        <v>1.9734523146679412</v>
      </c>
      <c r="AC29" s="142">
        <f t="shared" si="14"/>
        <v>1.9438505299479221</v>
      </c>
      <c r="AD29" s="142">
        <f t="shared" si="14"/>
        <v>1.914692771998703</v>
      </c>
      <c r="AE29" s="142">
        <f t="shared" si="14"/>
        <v>1.8859723804187225</v>
      </c>
      <c r="AF29" s="142">
        <f t="shared" si="14"/>
        <v>1.8576827947124417</v>
      </c>
      <c r="AG29" s="142">
        <f t="shared" si="14"/>
        <v>1.8298175527917551</v>
      </c>
      <c r="AH29" s="142">
        <f t="shared" si="14"/>
        <v>1.8023702894998788</v>
      </c>
      <c r="AI29" s="142">
        <f t="shared" si="14"/>
        <v>1.7753347351573805</v>
      </c>
      <c r="AJ29" s="142">
        <f t="shared" si="14"/>
        <v>1.7487047141300198</v>
      </c>
      <c r="AK29" s="142">
        <f t="shared" si="14"/>
        <v>1.7224741434180695</v>
      </c>
      <c r="AL29" s="142">
        <f t="shared" si="14"/>
        <v>1.6966370312667982</v>
      </c>
      <c r="AM29" s="142">
        <f t="shared" si="14"/>
        <v>1.6711874757977963</v>
      </c>
      <c r="AN29" s="142">
        <f t="shared" si="14"/>
        <v>1.6711874757977963</v>
      </c>
    </row>
    <row r="30" spans="1:41" x14ac:dyDescent="0.25">
      <c r="A30" s="141"/>
      <c r="B30" s="141" t="s">
        <v>44</v>
      </c>
      <c r="C30" s="142"/>
      <c r="D30" s="142"/>
      <c r="E30" s="142">
        <f>E5</f>
        <v>8.9133320191568934</v>
      </c>
      <c r="F30" s="142">
        <f>F5</f>
        <v>8.7037233085960022</v>
      </c>
      <c r="G30" s="142">
        <f>G5</f>
        <v>11.111111111111111</v>
      </c>
      <c r="H30" s="128">
        <f t="shared" ref="H30:AN30" si="15">H5</f>
        <v>11.696623093681916</v>
      </c>
      <c r="I30" s="142">
        <f t="shared" si="15"/>
        <v>7.7977487291212775</v>
      </c>
      <c r="J30" s="142">
        <f t="shared" si="15"/>
        <v>8.5477487291212775</v>
      </c>
      <c r="K30" s="142">
        <f t="shared" si="15"/>
        <v>9.2977487291212775</v>
      </c>
      <c r="L30" s="142">
        <f t="shared" si="15"/>
        <v>10.047748729121277</v>
      </c>
      <c r="M30" s="142">
        <f t="shared" si="15"/>
        <v>10.797748729121277</v>
      </c>
      <c r="N30" s="142">
        <f t="shared" si="15"/>
        <v>11.547748729121277</v>
      </c>
      <c r="O30" s="142">
        <f t="shared" si="15"/>
        <v>12.867647058823527</v>
      </c>
      <c r="P30" s="142">
        <f t="shared" si="15"/>
        <v>13.453159041394333</v>
      </c>
      <c r="Q30" s="142">
        <f t="shared" si="15"/>
        <v>14.038671023965138</v>
      </c>
      <c r="R30" s="142">
        <f t="shared" si="15"/>
        <v>14.624183006535944</v>
      </c>
      <c r="S30" s="142">
        <f t="shared" si="15"/>
        <v>15.209694989106749</v>
      </c>
      <c r="T30" s="142">
        <f t="shared" si="15"/>
        <v>14.449210239651411</v>
      </c>
      <c r="U30" s="142">
        <f t="shared" si="15"/>
        <v>13.726749727668839</v>
      </c>
      <c r="V30" s="142">
        <f t="shared" si="15"/>
        <v>13.040412241285397</v>
      </c>
      <c r="W30" s="142">
        <f t="shared" si="15"/>
        <v>12.388391629221127</v>
      </c>
      <c r="X30" s="142">
        <f t="shared" si="15"/>
        <v>11.768972047760069</v>
      </c>
      <c r="Y30" s="142">
        <f t="shared" si="15"/>
        <v>11.180523445372065</v>
      </c>
      <c r="Z30" s="142">
        <f t="shared" si="15"/>
        <v>10.621497273103461</v>
      </c>
      <c r="AA30" s="142">
        <f t="shared" si="15"/>
        <v>10.090422409448287</v>
      </c>
      <c r="AB30" s="142">
        <f t="shared" si="15"/>
        <v>9.5859012889758723</v>
      </c>
      <c r="AC30" s="142">
        <f t="shared" si="15"/>
        <v>9.1066062245270789</v>
      </c>
      <c r="AD30" s="142">
        <f t="shared" si="15"/>
        <v>8.651275913300724</v>
      </c>
      <c r="AE30" s="142">
        <f t="shared" si="15"/>
        <v>8.2187121176356879</v>
      </c>
      <c r="AF30" s="142">
        <f t="shared" si="15"/>
        <v>7.8077765117539029</v>
      </c>
      <c r="AG30" s="142">
        <f t="shared" si="15"/>
        <v>7.4173876861662071</v>
      </c>
      <c r="AH30" s="142">
        <f t="shared" si="15"/>
        <v>7.0465183018578967</v>
      </c>
      <c r="AI30" s="142">
        <f t="shared" si="15"/>
        <v>6.6941923867650015</v>
      </c>
      <c r="AJ30" s="142">
        <f t="shared" si="15"/>
        <v>6.3594827674267513</v>
      </c>
      <c r="AK30" s="142">
        <f t="shared" si="15"/>
        <v>6.0415086290554134</v>
      </c>
      <c r="AL30" s="142">
        <f t="shared" si="15"/>
        <v>5.7394331976026427</v>
      </c>
      <c r="AM30" s="142">
        <f t="shared" si="15"/>
        <v>5.4524615377225105</v>
      </c>
      <c r="AN30" s="142">
        <f t="shared" si="15"/>
        <v>5.4524615377225105</v>
      </c>
    </row>
    <row r="31" spans="1:41" x14ac:dyDescent="0.25">
      <c r="A31" s="141"/>
      <c r="B31" s="141" t="s">
        <v>71</v>
      </c>
      <c r="C31" s="142"/>
      <c r="D31" s="142"/>
      <c r="E31" s="142">
        <f>E30*$B$16</f>
        <v>6.2954864051305144</v>
      </c>
      <c r="F31" s="142">
        <f>F30*$B$16</f>
        <v>6.1474397728613566</v>
      </c>
      <c r="G31" s="142">
        <f>G30*$B$16</f>
        <v>7.847777777777778</v>
      </c>
      <c r="H31" s="128">
        <f t="shared" ref="H31:AN31" si="16">H30*$B$16</f>
        <v>8.2613248910675381</v>
      </c>
      <c r="I31" s="142">
        <f t="shared" si="16"/>
        <v>5.507549927378359</v>
      </c>
      <c r="J31" s="142">
        <f t="shared" si="16"/>
        <v>6.037274927378359</v>
      </c>
      <c r="K31" s="142">
        <f t="shared" si="16"/>
        <v>6.566999927378359</v>
      </c>
      <c r="L31" s="142">
        <f t="shared" si="16"/>
        <v>7.096724927378359</v>
      </c>
      <c r="M31" s="142">
        <f t="shared" si="16"/>
        <v>7.626449927378359</v>
      </c>
      <c r="N31" s="142">
        <f t="shared" si="16"/>
        <v>8.156174927378359</v>
      </c>
      <c r="O31" s="142">
        <f t="shared" si="16"/>
        <v>9.0884191176470583</v>
      </c>
      <c r="P31" s="142">
        <f t="shared" si="16"/>
        <v>9.5019662309368176</v>
      </c>
      <c r="Q31" s="142">
        <f t="shared" si="16"/>
        <v>9.9155133442265768</v>
      </c>
      <c r="R31" s="142">
        <f t="shared" si="16"/>
        <v>10.329060457516338</v>
      </c>
      <c r="S31" s="142">
        <f t="shared" si="16"/>
        <v>10.742607570806097</v>
      </c>
      <c r="T31" s="142">
        <f t="shared" si="16"/>
        <v>10.205477192265793</v>
      </c>
      <c r="U31" s="142">
        <f t="shared" si="16"/>
        <v>9.6952033326525022</v>
      </c>
      <c r="V31" s="142">
        <f t="shared" si="16"/>
        <v>9.2104431660198767</v>
      </c>
      <c r="W31" s="142">
        <f t="shared" si="16"/>
        <v>8.749921007718882</v>
      </c>
      <c r="X31" s="142">
        <f t="shared" si="16"/>
        <v>8.3124249573329383</v>
      </c>
      <c r="Y31" s="142">
        <f t="shared" si="16"/>
        <v>7.8968037094662904</v>
      </c>
      <c r="Z31" s="142">
        <f t="shared" si="16"/>
        <v>7.5019635239929752</v>
      </c>
      <c r="AA31" s="142">
        <f t="shared" si="16"/>
        <v>7.1268653477933253</v>
      </c>
      <c r="AB31" s="142">
        <f t="shared" si="16"/>
        <v>6.7705220804036594</v>
      </c>
      <c r="AC31" s="142">
        <f t="shared" si="16"/>
        <v>6.431995976383476</v>
      </c>
      <c r="AD31" s="142">
        <f t="shared" si="16"/>
        <v>6.1103961775643016</v>
      </c>
      <c r="AE31" s="142">
        <f t="shared" si="16"/>
        <v>5.8048763686860863</v>
      </c>
      <c r="AF31" s="142">
        <f t="shared" si="16"/>
        <v>5.5146325502517817</v>
      </c>
      <c r="AG31" s="142">
        <f t="shared" si="16"/>
        <v>5.2389009227391927</v>
      </c>
      <c r="AH31" s="142">
        <f t="shared" si="16"/>
        <v>4.9769558766022328</v>
      </c>
      <c r="AI31" s="142">
        <f t="shared" si="16"/>
        <v>4.7281080827721205</v>
      </c>
      <c r="AJ31" s="142">
        <f t="shared" si="16"/>
        <v>4.4917026786335148</v>
      </c>
      <c r="AK31" s="142">
        <f t="shared" si="16"/>
        <v>4.267117544701839</v>
      </c>
      <c r="AL31" s="142">
        <f t="shared" si="16"/>
        <v>4.0537616674667465</v>
      </c>
      <c r="AM31" s="142">
        <f t="shared" si="16"/>
        <v>3.8510735840934096</v>
      </c>
      <c r="AN31" s="142">
        <f t="shared" si="16"/>
        <v>3.8510735840934096</v>
      </c>
    </row>
    <row r="32" spans="1:41" x14ac:dyDescent="0.25">
      <c r="A32" s="141"/>
      <c r="B32" s="141" t="s">
        <v>82</v>
      </c>
      <c r="C32" s="142"/>
      <c r="D32" s="142"/>
      <c r="E32" s="142">
        <f>E30*$B$17</f>
        <v>11.308068868669004</v>
      </c>
      <c r="F32" s="142">
        <f>F30*$B$17</f>
        <v>11.042144775479029</v>
      </c>
      <c r="G32" s="142">
        <f>G30*$B$17</f>
        <v>14.09632328088262</v>
      </c>
      <c r="H32" s="128">
        <f t="shared" ref="H32:AN32" si="17">H30*$B$17</f>
        <v>14.839144238085995</v>
      </c>
      <c r="I32" s="142">
        <f t="shared" si="17"/>
        <v>9.8927628253906619</v>
      </c>
      <c r="J32" s="142">
        <f t="shared" si="17"/>
        <v>10.84426464685024</v>
      </c>
      <c r="K32" s="142">
        <f t="shared" si="17"/>
        <v>11.795766468309816</v>
      </c>
      <c r="L32" s="142">
        <f t="shared" si="17"/>
        <v>12.747268289769393</v>
      </c>
      <c r="M32" s="142">
        <f t="shared" si="17"/>
        <v>13.698770111228971</v>
      </c>
      <c r="N32" s="142">
        <f t="shared" si="17"/>
        <v>14.650271932688547</v>
      </c>
      <c r="O32" s="142">
        <f t="shared" si="17"/>
        <v>16.324786152492738</v>
      </c>
      <c r="P32" s="142">
        <f t="shared" si="17"/>
        <v>17.067607109696112</v>
      </c>
      <c r="Q32" s="142">
        <f t="shared" si="17"/>
        <v>17.810428066899483</v>
      </c>
      <c r="R32" s="142">
        <f t="shared" si="17"/>
        <v>18.553249024102858</v>
      </c>
      <c r="S32" s="142">
        <f t="shared" si="17"/>
        <v>19.296069981306228</v>
      </c>
      <c r="T32" s="142">
        <f t="shared" si="17"/>
        <v>18.331266482240917</v>
      </c>
      <c r="U32" s="142">
        <f t="shared" si="17"/>
        <v>17.414703158128869</v>
      </c>
      <c r="V32" s="142">
        <f t="shared" si="17"/>
        <v>16.543968000222424</v>
      </c>
      <c r="W32" s="142">
        <f t="shared" si="17"/>
        <v>15.716769600211304</v>
      </c>
      <c r="X32" s="142">
        <f t="shared" si="17"/>
        <v>14.930931120200738</v>
      </c>
      <c r="Y32" s="142">
        <f t="shared" si="17"/>
        <v>14.184384564190701</v>
      </c>
      <c r="Z32" s="142">
        <f t="shared" si="17"/>
        <v>13.475165335981165</v>
      </c>
      <c r="AA32" s="142">
        <f t="shared" si="17"/>
        <v>12.801407069182105</v>
      </c>
      <c r="AB32" s="142">
        <f t="shared" si="17"/>
        <v>12.161336715722999</v>
      </c>
      <c r="AC32" s="142">
        <f t="shared" si="17"/>
        <v>11.553269879936849</v>
      </c>
      <c r="AD32" s="142">
        <f t="shared" si="17"/>
        <v>10.975606385940006</v>
      </c>
      <c r="AE32" s="142">
        <f t="shared" si="17"/>
        <v>10.426826066643006</v>
      </c>
      <c r="AF32" s="142">
        <f t="shared" si="17"/>
        <v>9.905484763310854</v>
      </c>
      <c r="AG32" s="142">
        <f t="shared" si="17"/>
        <v>9.4102105251453114</v>
      </c>
      <c r="AH32" s="142">
        <f t="shared" si="17"/>
        <v>8.9396999988880452</v>
      </c>
      <c r="AI32" s="142">
        <f t="shared" si="17"/>
        <v>8.4927149989436419</v>
      </c>
      <c r="AJ32" s="142">
        <f t="shared" si="17"/>
        <v>8.0680792489964599</v>
      </c>
      <c r="AK32" s="142">
        <f t="shared" si="17"/>
        <v>7.664675286546637</v>
      </c>
      <c r="AL32" s="142">
        <f t="shared" si="17"/>
        <v>7.2814415222193052</v>
      </c>
      <c r="AM32" s="142">
        <f t="shared" si="17"/>
        <v>6.9173694461083395</v>
      </c>
      <c r="AN32" s="142">
        <f t="shared" si="17"/>
        <v>6.9173694461083395</v>
      </c>
    </row>
    <row r="33" spans="1:40" x14ac:dyDescent="0.25">
      <c r="A33" s="141"/>
      <c r="B33" s="141" t="s">
        <v>35</v>
      </c>
      <c r="C33" s="142"/>
      <c r="D33" s="142"/>
      <c r="E33" s="142">
        <f>E30*$B$18</f>
        <v>10.116631841743073</v>
      </c>
      <c r="F33" s="142">
        <f>F30*$B$18</f>
        <v>9.8787259552564617</v>
      </c>
      <c r="G33" s="142">
        <f>G30*$B$18</f>
        <v>12.611111111111111</v>
      </c>
      <c r="H33" s="128">
        <f t="shared" ref="H33:AN33" si="18">H30*$B$18</f>
        <v>13.275667211328974</v>
      </c>
      <c r="I33" s="142">
        <f t="shared" si="18"/>
        <v>8.8504448075526501</v>
      </c>
      <c r="J33" s="142">
        <f t="shared" si="18"/>
        <v>9.7016948075526503</v>
      </c>
      <c r="K33" s="142">
        <f t="shared" si="18"/>
        <v>10.552944807552651</v>
      </c>
      <c r="L33" s="142">
        <f t="shared" si="18"/>
        <v>11.404194807552649</v>
      </c>
      <c r="M33" s="142">
        <f t="shared" si="18"/>
        <v>12.255444807552649</v>
      </c>
      <c r="N33" s="142">
        <f t="shared" si="18"/>
        <v>13.10669480755265</v>
      </c>
      <c r="O33" s="142">
        <f t="shared" si="18"/>
        <v>14.604779411764703</v>
      </c>
      <c r="P33" s="142">
        <f t="shared" si="18"/>
        <v>15.269335511982568</v>
      </c>
      <c r="Q33" s="142">
        <f t="shared" si="18"/>
        <v>15.933891612200432</v>
      </c>
      <c r="R33" s="142">
        <f t="shared" si="18"/>
        <v>16.598447712418295</v>
      </c>
      <c r="S33" s="142">
        <f t="shared" si="18"/>
        <v>17.26300381263616</v>
      </c>
      <c r="T33" s="142">
        <f t="shared" si="18"/>
        <v>16.39985362200435</v>
      </c>
      <c r="U33" s="142">
        <f t="shared" si="18"/>
        <v>15.579860940904132</v>
      </c>
      <c r="V33" s="142">
        <f t="shared" si="18"/>
        <v>14.800867893858925</v>
      </c>
      <c r="W33" s="142">
        <f t="shared" si="18"/>
        <v>14.06082449916598</v>
      </c>
      <c r="X33" s="142">
        <f t="shared" si="18"/>
        <v>13.357783274207678</v>
      </c>
      <c r="Y33" s="142">
        <f t="shared" si="18"/>
        <v>12.689894110497294</v>
      </c>
      <c r="Z33" s="142">
        <f t="shared" si="18"/>
        <v>12.055399404972428</v>
      </c>
      <c r="AA33" s="142">
        <f t="shared" si="18"/>
        <v>11.452629434723805</v>
      </c>
      <c r="AB33" s="142">
        <f t="shared" si="18"/>
        <v>10.879997962987614</v>
      </c>
      <c r="AC33" s="142">
        <f t="shared" si="18"/>
        <v>10.335998064838234</v>
      </c>
      <c r="AD33" s="142">
        <f t="shared" si="18"/>
        <v>9.8191981615963222</v>
      </c>
      <c r="AE33" s="142">
        <f t="shared" si="18"/>
        <v>9.3282382535165063</v>
      </c>
      <c r="AF33" s="142">
        <f t="shared" si="18"/>
        <v>8.861826340840679</v>
      </c>
      <c r="AG33" s="142">
        <f t="shared" si="18"/>
        <v>8.4187350237986447</v>
      </c>
      <c r="AH33" s="142">
        <f t="shared" si="18"/>
        <v>7.9977982726087129</v>
      </c>
      <c r="AI33" s="142">
        <f t="shared" si="18"/>
        <v>7.5979083589782768</v>
      </c>
      <c r="AJ33" s="142">
        <f t="shared" si="18"/>
        <v>7.2180129410293628</v>
      </c>
      <c r="AK33" s="142">
        <f t="shared" si="18"/>
        <v>6.8571122939778943</v>
      </c>
      <c r="AL33" s="142">
        <f t="shared" si="18"/>
        <v>6.5142566792789998</v>
      </c>
      <c r="AM33" s="142">
        <f t="shared" si="18"/>
        <v>6.1885438453150492</v>
      </c>
      <c r="AN33" s="142">
        <f t="shared" si="18"/>
        <v>6.1885438453150492</v>
      </c>
    </row>
    <row r="34" spans="1:40" x14ac:dyDescent="0.25">
      <c r="A34" s="141"/>
      <c r="B34" s="141" t="s">
        <v>24</v>
      </c>
      <c r="C34" s="142"/>
      <c r="D34" s="142"/>
      <c r="E34" s="142">
        <f>E30*$B$19</f>
        <v>12.573231530348435</v>
      </c>
      <c r="F34" s="142">
        <f>F30*$B$19</f>
        <v>12.277555475311368</v>
      </c>
      <c r="G34" s="142">
        <f>G30*$B$19</f>
        <v>15.67343977080318</v>
      </c>
      <c r="H34" s="128">
        <f t="shared" ref="H34:AN34" si="19">H30*$B$19</f>
        <v>16.499368582254817</v>
      </c>
      <c r="I34" s="142">
        <f t="shared" si="19"/>
        <v>10.999579054836545</v>
      </c>
      <c r="J34" s="142">
        <f t="shared" si="19"/>
        <v>12.057536239365758</v>
      </c>
      <c r="K34" s="142">
        <f t="shared" si="19"/>
        <v>13.115493423894973</v>
      </c>
      <c r="L34" s="142">
        <f t="shared" si="19"/>
        <v>14.173450608424188</v>
      </c>
      <c r="M34" s="142">
        <f t="shared" si="19"/>
        <v>15.231407792953403</v>
      </c>
      <c r="N34" s="142">
        <f t="shared" si="19"/>
        <v>16.289364977482617</v>
      </c>
      <c r="O34" s="142">
        <f t="shared" si="19"/>
        <v>18.151226205158089</v>
      </c>
      <c r="P34" s="142">
        <f t="shared" si="19"/>
        <v>18.977155016609728</v>
      </c>
      <c r="Q34" s="142">
        <f t="shared" si="19"/>
        <v>19.803083828061364</v>
      </c>
      <c r="R34" s="142">
        <f t="shared" si="19"/>
        <v>20.629012639513004</v>
      </c>
      <c r="S34" s="142">
        <f t="shared" si="19"/>
        <v>21.45494145096464</v>
      </c>
      <c r="T34" s="142">
        <f t="shared" si="19"/>
        <v>20.382194378416408</v>
      </c>
      <c r="U34" s="142">
        <f t="shared" si="19"/>
        <v>19.363084659495584</v>
      </c>
      <c r="V34" s="142">
        <f t="shared" si="19"/>
        <v>18.394930426520805</v>
      </c>
      <c r="W34" s="142">
        <f t="shared" si="19"/>
        <v>17.475183905194765</v>
      </c>
      <c r="X34" s="142">
        <f t="shared" si="19"/>
        <v>16.601424709935024</v>
      </c>
      <c r="Y34" s="142">
        <f t="shared" si="19"/>
        <v>15.771353474438273</v>
      </c>
      <c r="Z34" s="142">
        <f t="shared" si="19"/>
        <v>14.982785800716359</v>
      </c>
      <c r="AA34" s="142">
        <f t="shared" si="19"/>
        <v>14.233646510680538</v>
      </c>
      <c r="AB34" s="142">
        <f t="shared" si="19"/>
        <v>13.52196418514651</v>
      </c>
      <c r="AC34" s="142">
        <f t="shared" si="19"/>
        <v>12.845865975889186</v>
      </c>
      <c r="AD34" s="142">
        <f t="shared" si="19"/>
        <v>12.203572677094725</v>
      </c>
      <c r="AE34" s="142">
        <f t="shared" si="19"/>
        <v>11.593394043239989</v>
      </c>
      <c r="AF34" s="142">
        <f t="shared" si="19"/>
        <v>11.013724341077989</v>
      </c>
      <c r="AG34" s="142">
        <f t="shared" si="19"/>
        <v>10.463038124024088</v>
      </c>
      <c r="AH34" s="142">
        <f t="shared" si="19"/>
        <v>9.9398862178228846</v>
      </c>
      <c r="AI34" s="142">
        <f t="shared" si="19"/>
        <v>9.4428919069317399</v>
      </c>
      <c r="AJ34" s="142">
        <f t="shared" si="19"/>
        <v>8.9707473115851517</v>
      </c>
      <c r="AK34" s="142">
        <f t="shared" si="19"/>
        <v>8.5222099460058942</v>
      </c>
      <c r="AL34" s="142">
        <f t="shared" si="19"/>
        <v>8.0960994487055995</v>
      </c>
      <c r="AM34" s="142">
        <f t="shared" si="19"/>
        <v>7.6912944762703193</v>
      </c>
      <c r="AN34" s="142">
        <f t="shared" si="19"/>
        <v>7.6912944762703193</v>
      </c>
    </row>
    <row r="35" spans="1:40" x14ac:dyDescent="0.25">
      <c r="A35" s="141"/>
      <c r="B35" s="141" t="s">
        <v>38</v>
      </c>
      <c r="C35" s="142"/>
      <c r="D35" s="142"/>
      <c r="E35" s="142">
        <f>E30*$B$21</f>
        <v>12.229020976687728</v>
      </c>
      <c r="F35" s="142">
        <f>F30*$B$21</f>
        <v>11.941439484958661</v>
      </c>
      <c r="G35" s="142">
        <f>G30*$B$21</f>
        <v>15.244356494299927</v>
      </c>
      <c r="H35" s="128">
        <f t="shared" ref="H35:AN35" si="20">H30*$B$21</f>
        <v>16.047674299759358</v>
      </c>
      <c r="I35" s="142">
        <f t="shared" si="20"/>
        <v>10.698449533172907</v>
      </c>
      <c r="J35" s="142">
        <f t="shared" si="20"/>
        <v>11.727443596538151</v>
      </c>
      <c r="K35" s="142">
        <f t="shared" si="20"/>
        <v>12.756437659903396</v>
      </c>
      <c r="L35" s="142">
        <f t="shared" si="20"/>
        <v>13.785431723268641</v>
      </c>
      <c r="M35" s="142">
        <f t="shared" si="20"/>
        <v>14.814425786633887</v>
      </c>
      <c r="N35" s="142">
        <f t="shared" si="20"/>
        <v>15.843419849999131</v>
      </c>
      <c r="O35" s="142">
        <f t="shared" si="20"/>
        <v>17.654309910678222</v>
      </c>
      <c r="P35" s="142">
        <f t="shared" si="20"/>
        <v>18.457627716137655</v>
      </c>
      <c r="Q35" s="142">
        <f t="shared" si="20"/>
        <v>19.260945521597087</v>
      </c>
      <c r="R35" s="142">
        <f t="shared" si="20"/>
        <v>20.064263327056516</v>
      </c>
      <c r="S35" s="142">
        <f t="shared" si="20"/>
        <v>20.867581132515948</v>
      </c>
      <c r="T35" s="142">
        <f t="shared" si="20"/>
        <v>19.824202075890149</v>
      </c>
      <c r="U35" s="142">
        <f t="shared" si="20"/>
        <v>18.832991972095641</v>
      </c>
      <c r="V35" s="142">
        <f t="shared" si="20"/>
        <v>17.891342373490858</v>
      </c>
      <c r="W35" s="142">
        <f t="shared" si="20"/>
        <v>16.996775254816317</v>
      </c>
      <c r="X35" s="142">
        <f t="shared" si="20"/>
        <v>16.146936492075497</v>
      </c>
      <c r="Y35" s="142">
        <f t="shared" si="20"/>
        <v>15.339589667471722</v>
      </c>
      <c r="Z35" s="142">
        <f t="shared" si="20"/>
        <v>14.572610184098135</v>
      </c>
      <c r="AA35" s="142">
        <f t="shared" si="20"/>
        <v>13.843979674893227</v>
      </c>
      <c r="AB35" s="142">
        <f t="shared" si="20"/>
        <v>13.151780691148565</v>
      </c>
      <c r="AC35" s="142">
        <f t="shared" si="20"/>
        <v>12.494191656591138</v>
      </c>
      <c r="AD35" s="142">
        <f t="shared" si="20"/>
        <v>11.86948207376158</v>
      </c>
      <c r="AE35" s="142">
        <f t="shared" si="20"/>
        <v>11.276007970073501</v>
      </c>
      <c r="AF35" s="142">
        <f t="shared" si="20"/>
        <v>10.712207571569824</v>
      </c>
      <c r="AG35" s="142">
        <f t="shared" si="20"/>
        <v>10.176597192991332</v>
      </c>
      <c r="AH35" s="142">
        <f t="shared" si="20"/>
        <v>9.6677673333417662</v>
      </c>
      <c r="AI35" s="142">
        <f t="shared" si="20"/>
        <v>9.1843789666746769</v>
      </c>
      <c r="AJ35" s="142">
        <f t="shared" si="20"/>
        <v>8.7251600183409419</v>
      </c>
      <c r="AK35" s="142">
        <f t="shared" si="20"/>
        <v>8.2889020174238954</v>
      </c>
      <c r="AL35" s="142">
        <f t="shared" si="20"/>
        <v>7.8744569165526999</v>
      </c>
      <c r="AM35" s="142">
        <f t="shared" si="20"/>
        <v>7.4807340707250649</v>
      </c>
      <c r="AN35" s="142">
        <f t="shared" si="20"/>
        <v>7.4807340707250649</v>
      </c>
    </row>
    <row r="36" spans="1:40" x14ac:dyDescent="0.25">
      <c r="A36" s="141"/>
      <c r="B36" s="141" t="s">
        <v>49</v>
      </c>
      <c r="C36" s="142"/>
      <c r="D36" s="142"/>
      <c r="E36" s="142">
        <f>E30*$B$20</f>
        <v>6.2958071471296551</v>
      </c>
      <c r="F36" s="142">
        <f>F30*$B$20</f>
        <v>6.1477529721910766</v>
      </c>
      <c r="G36" s="142">
        <f>G30*$B$20</f>
        <v>7.8481776058087318</v>
      </c>
      <c r="H36" s="128">
        <f t="shared" ref="H36:AN36" si="21">H30*$B$20</f>
        <v>8.2617457884677705</v>
      </c>
      <c r="I36" s="142">
        <f t="shared" si="21"/>
        <v>5.5078305256451801</v>
      </c>
      <c r="J36" s="142">
        <f t="shared" si="21"/>
        <v>6.0375825140372692</v>
      </c>
      <c r="K36" s="142">
        <f t="shared" si="21"/>
        <v>6.5673345024293592</v>
      </c>
      <c r="L36" s="142">
        <f t="shared" si="21"/>
        <v>7.0970864908214484</v>
      </c>
      <c r="M36" s="142">
        <f t="shared" si="21"/>
        <v>7.6268384792135375</v>
      </c>
      <c r="N36" s="142">
        <f t="shared" si="21"/>
        <v>8.1565904676056267</v>
      </c>
      <c r="O36" s="142">
        <f t="shared" si="21"/>
        <v>9.0888821537858462</v>
      </c>
      <c r="P36" s="142">
        <f t="shared" si="21"/>
        <v>9.502450336444884</v>
      </c>
      <c r="Q36" s="142">
        <f t="shared" si="21"/>
        <v>9.9160185191039218</v>
      </c>
      <c r="R36" s="142">
        <f t="shared" si="21"/>
        <v>10.329586701762961</v>
      </c>
      <c r="S36" s="142">
        <f t="shared" si="21"/>
        <v>10.743154884421999</v>
      </c>
      <c r="T36" s="142">
        <f t="shared" si="21"/>
        <v>10.205997140200898</v>
      </c>
      <c r="U36" s="142">
        <f t="shared" si="21"/>
        <v>9.695697283190853</v>
      </c>
      <c r="V36" s="142">
        <f t="shared" si="21"/>
        <v>9.2109124190313096</v>
      </c>
      <c r="W36" s="142">
        <f t="shared" si="21"/>
        <v>8.7503667980797442</v>
      </c>
      <c r="X36" s="142">
        <f t="shared" si="21"/>
        <v>8.3128484581757558</v>
      </c>
      <c r="Y36" s="142">
        <f t="shared" si="21"/>
        <v>7.8972060352669677</v>
      </c>
      <c r="Z36" s="142">
        <f t="shared" si="21"/>
        <v>7.5023457335036188</v>
      </c>
      <c r="AA36" s="142">
        <f t="shared" si="21"/>
        <v>7.127228446828437</v>
      </c>
      <c r="AB36" s="142">
        <f t="shared" si="21"/>
        <v>6.7708670244870151</v>
      </c>
      <c r="AC36" s="142">
        <f t="shared" si="21"/>
        <v>6.4323236732626645</v>
      </c>
      <c r="AD36" s="142">
        <f t="shared" si="21"/>
        <v>6.1107074895995304</v>
      </c>
      <c r="AE36" s="142">
        <f t="shared" si="21"/>
        <v>5.8051721151195546</v>
      </c>
      <c r="AF36" s="142">
        <f t="shared" si="21"/>
        <v>5.5149135093635762</v>
      </c>
      <c r="AG36" s="142">
        <f t="shared" si="21"/>
        <v>5.2391678338953964</v>
      </c>
      <c r="AH36" s="142">
        <f t="shared" si="21"/>
        <v>4.9772094422006266</v>
      </c>
      <c r="AI36" s="142">
        <f t="shared" si="21"/>
        <v>4.728348970090595</v>
      </c>
      <c r="AJ36" s="142">
        <f t="shared" si="21"/>
        <v>4.4919315215860651</v>
      </c>
      <c r="AK36" s="142">
        <f t="shared" si="21"/>
        <v>4.2673349455067617</v>
      </c>
      <c r="AL36" s="142">
        <f t="shared" si="21"/>
        <v>4.0539681982314235</v>
      </c>
      <c r="AM36" s="142">
        <f t="shared" si="21"/>
        <v>3.8512697883198528</v>
      </c>
      <c r="AN36" s="142">
        <f t="shared" si="21"/>
        <v>3.8512697883198528</v>
      </c>
    </row>
    <row r="37" spans="1:40" x14ac:dyDescent="0.25">
      <c r="A37" s="141"/>
      <c r="B37" s="141" t="s">
        <v>37</v>
      </c>
      <c r="C37" s="142"/>
      <c r="D37" s="142"/>
      <c r="E37" s="142">
        <f>E30*$B$20</f>
        <v>6.2958071471296551</v>
      </c>
      <c r="F37" s="142">
        <f>F30*$B$20</f>
        <v>6.1477529721910766</v>
      </c>
      <c r="G37" s="142">
        <f>G30*$B$20</f>
        <v>7.8481776058087318</v>
      </c>
      <c r="H37" s="128">
        <f t="shared" ref="H37:AN37" si="22">H30*$B$20</f>
        <v>8.2617457884677705</v>
      </c>
      <c r="I37" s="142">
        <f t="shared" si="22"/>
        <v>5.5078305256451801</v>
      </c>
      <c r="J37" s="142">
        <f t="shared" si="22"/>
        <v>6.0375825140372692</v>
      </c>
      <c r="K37" s="142">
        <f t="shared" si="22"/>
        <v>6.5673345024293592</v>
      </c>
      <c r="L37" s="142">
        <f t="shared" si="22"/>
        <v>7.0970864908214484</v>
      </c>
      <c r="M37" s="142">
        <f t="shared" si="22"/>
        <v>7.6268384792135375</v>
      </c>
      <c r="N37" s="142">
        <f t="shared" si="22"/>
        <v>8.1565904676056267</v>
      </c>
      <c r="O37" s="142">
        <f t="shared" si="22"/>
        <v>9.0888821537858462</v>
      </c>
      <c r="P37" s="142">
        <f t="shared" si="22"/>
        <v>9.502450336444884</v>
      </c>
      <c r="Q37" s="142">
        <f t="shared" si="22"/>
        <v>9.9160185191039218</v>
      </c>
      <c r="R37" s="142">
        <f t="shared" si="22"/>
        <v>10.329586701762961</v>
      </c>
      <c r="S37" s="142">
        <f t="shared" si="22"/>
        <v>10.743154884421999</v>
      </c>
      <c r="T37" s="142">
        <f t="shared" si="22"/>
        <v>10.205997140200898</v>
      </c>
      <c r="U37" s="142">
        <f t="shared" si="22"/>
        <v>9.695697283190853</v>
      </c>
      <c r="V37" s="142">
        <f t="shared" si="22"/>
        <v>9.2109124190313096</v>
      </c>
      <c r="W37" s="142">
        <f t="shared" si="22"/>
        <v>8.7503667980797442</v>
      </c>
      <c r="X37" s="142">
        <f t="shared" si="22"/>
        <v>8.3128484581757558</v>
      </c>
      <c r="Y37" s="142">
        <f t="shared" si="22"/>
        <v>7.8972060352669677</v>
      </c>
      <c r="Z37" s="142">
        <f t="shared" si="22"/>
        <v>7.5023457335036188</v>
      </c>
      <c r="AA37" s="142">
        <f t="shared" si="22"/>
        <v>7.127228446828437</v>
      </c>
      <c r="AB37" s="142">
        <f t="shared" si="22"/>
        <v>6.7708670244870151</v>
      </c>
      <c r="AC37" s="142">
        <f t="shared" si="22"/>
        <v>6.4323236732626645</v>
      </c>
      <c r="AD37" s="142">
        <f t="shared" si="22"/>
        <v>6.1107074895995304</v>
      </c>
      <c r="AE37" s="142">
        <f t="shared" si="22"/>
        <v>5.8051721151195546</v>
      </c>
      <c r="AF37" s="142">
        <f t="shared" si="22"/>
        <v>5.5149135093635762</v>
      </c>
      <c r="AG37" s="142">
        <f t="shared" si="22"/>
        <v>5.2391678338953964</v>
      </c>
      <c r="AH37" s="142">
        <f t="shared" si="22"/>
        <v>4.9772094422006266</v>
      </c>
      <c r="AI37" s="142">
        <f t="shared" si="22"/>
        <v>4.728348970090595</v>
      </c>
      <c r="AJ37" s="142">
        <f t="shared" si="22"/>
        <v>4.4919315215860651</v>
      </c>
      <c r="AK37" s="142">
        <f t="shared" si="22"/>
        <v>4.2673349455067617</v>
      </c>
      <c r="AL37" s="142">
        <f t="shared" si="22"/>
        <v>4.0539681982314235</v>
      </c>
      <c r="AM37" s="142">
        <f t="shared" si="22"/>
        <v>3.8512697883198528</v>
      </c>
      <c r="AN37" s="142">
        <f t="shared" si="22"/>
        <v>3.8512697883198528</v>
      </c>
    </row>
    <row r="38" spans="1:40" x14ac:dyDescent="0.25">
      <c r="A38" s="141"/>
      <c r="B38" s="141" t="s">
        <v>50</v>
      </c>
      <c r="C38" s="142"/>
      <c r="D38" s="142"/>
      <c r="E38" s="142">
        <f>E37</f>
        <v>6.2958071471296551</v>
      </c>
      <c r="F38" s="142">
        <f>F37</f>
        <v>6.1477529721910766</v>
      </c>
      <c r="G38" s="142">
        <f>G37</f>
        <v>7.8481776058087318</v>
      </c>
      <c r="H38" s="128">
        <f t="shared" ref="H38:AN38" si="23">H37</f>
        <v>8.2617457884677705</v>
      </c>
      <c r="I38" s="142">
        <f t="shared" si="23"/>
        <v>5.5078305256451801</v>
      </c>
      <c r="J38" s="142">
        <f t="shared" si="23"/>
        <v>6.0375825140372692</v>
      </c>
      <c r="K38" s="142">
        <f t="shared" si="23"/>
        <v>6.5673345024293592</v>
      </c>
      <c r="L38" s="142">
        <f t="shared" si="23"/>
        <v>7.0970864908214484</v>
      </c>
      <c r="M38" s="142">
        <f t="shared" si="23"/>
        <v>7.6268384792135375</v>
      </c>
      <c r="N38" s="142">
        <f t="shared" si="23"/>
        <v>8.1565904676056267</v>
      </c>
      <c r="O38" s="142">
        <f t="shared" si="23"/>
        <v>9.0888821537858462</v>
      </c>
      <c r="P38" s="142">
        <f t="shared" si="23"/>
        <v>9.502450336444884</v>
      </c>
      <c r="Q38" s="142">
        <f t="shared" si="23"/>
        <v>9.9160185191039218</v>
      </c>
      <c r="R38" s="142">
        <f t="shared" si="23"/>
        <v>10.329586701762961</v>
      </c>
      <c r="S38" s="142">
        <f t="shared" si="23"/>
        <v>10.743154884421999</v>
      </c>
      <c r="T38" s="142">
        <f t="shared" si="23"/>
        <v>10.205997140200898</v>
      </c>
      <c r="U38" s="142">
        <f t="shared" si="23"/>
        <v>9.695697283190853</v>
      </c>
      <c r="V38" s="142">
        <f t="shared" si="23"/>
        <v>9.2109124190313096</v>
      </c>
      <c r="W38" s="142">
        <f t="shared" si="23"/>
        <v>8.7503667980797442</v>
      </c>
      <c r="X38" s="142">
        <f t="shared" si="23"/>
        <v>8.3128484581757558</v>
      </c>
      <c r="Y38" s="142">
        <f t="shared" si="23"/>
        <v>7.8972060352669677</v>
      </c>
      <c r="Z38" s="142">
        <f t="shared" si="23"/>
        <v>7.5023457335036188</v>
      </c>
      <c r="AA38" s="142">
        <f t="shared" si="23"/>
        <v>7.127228446828437</v>
      </c>
      <c r="AB38" s="142">
        <f t="shared" si="23"/>
        <v>6.7708670244870151</v>
      </c>
      <c r="AC38" s="142">
        <f t="shared" si="23"/>
        <v>6.4323236732626645</v>
      </c>
      <c r="AD38" s="142">
        <f t="shared" si="23"/>
        <v>6.1107074895995304</v>
      </c>
      <c r="AE38" s="142">
        <f t="shared" si="23"/>
        <v>5.8051721151195546</v>
      </c>
      <c r="AF38" s="142">
        <f t="shared" si="23"/>
        <v>5.5149135093635762</v>
      </c>
      <c r="AG38" s="142">
        <f t="shared" si="23"/>
        <v>5.2391678338953964</v>
      </c>
      <c r="AH38" s="142">
        <f t="shared" si="23"/>
        <v>4.9772094422006266</v>
      </c>
      <c r="AI38" s="142">
        <f t="shared" si="23"/>
        <v>4.728348970090595</v>
      </c>
      <c r="AJ38" s="142">
        <f t="shared" si="23"/>
        <v>4.4919315215860651</v>
      </c>
      <c r="AK38" s="142">
        <f t="shared" si="23"/>
        <v>4.2673349455067617</v>
      </c>
      <c r="AL38" s="142">
        <f t="shared" si="23"/>
        <v>4.0539681982314235</v>
      </c>
      <c r="AM38" s="142">
        <f t="shared" si="23"/>
        <v>3.8512697883198528</v>
      </c>
      <c r="AN38" s="142">
        <f t="shared" si="23"/>
        <v>3.8512697883198528</v>
      </c>
    </row>
    <row r="39" spans="1:40" x14ac:dyDescent="0.25">
      <c r="A39" s="141"/>
      <c r="B39" s="141" t="str">
        <f>B6</f>
        <v xml:space="preserve"> N. Gas from/to R1</v>
      </c>
      <c r="C39" s="142"/>
      <c r="D39" s="142"/>
      <c r="E39" s="142">
        <f>E6</f>
        <v>9.9111111111111114</v>
      </c>
      <c r="F39" s="142">
        <f>F6</f>
        <v>5.631260814256823</v>
      </c>
      <c r="G39" s="142">
        <f>G6</f>
        <v>7.2034091999999994</v>
      </c>
      <c r="H39" s="128">
        <f t="shared" ref="H39:AN39" si="24">H6</f>
        <v>7.306089375</v>
      </c>
      <c r="I39" s="142">
        <f t="shared" si="24"/>
        <v>4.8707262499999997</v>
      </c>
      <c r="J39" s="142">
        <f t="shared" si="24"/>
        <v>5.3707262499999997</v>
      </c>
      <c r="K39" s="142">
        <f t="shared" si="24"/>
        <v>5.8707262499999997</v>
      </c>
      <c r="L39" s="142">
        <f t="shared" si="24"/>
        <v>6.3707262499999997</v>
      </c>
      <c r="M39" s="142">
        <f t="shared" si="24"/>
        <v>6.8707262499999997</v>
      </c>
      <c r="N39" s="142">
        <f t="shared" si="24"/>
        <v>7.3707262499999997</v>
      </c>
      <c r="O39" s="142">
        <f t="shared" si="24"/>
        <v>7.5114497250000003</v>
      </c>
      <c r="P39" s="142">
        <f t="shared" si="24"/>
        <v>7.6141299</v>
      </c>
      <c r="Q39" s="142">
        <f t="shared" si="24"/>
        <v>7.7168100749999997</v>
      </c>
      <c r="R39" s="142">
        <f t="shared" si="24"/>
        <v>7.8194902500000003</v>
      </c>
      <c r="S39" s="142">
        <f t="shared" si="24"/>
        <v>7.9221704250000009</v>
      </c>
      <c r="T39" s="142">
        <f t="shared" si="24"/>
        <v>7.9221704250000009</v>
      </c>
      <c r="U39" s="142">
        <f t="shared" si="24"/>
        <v>7.9221704250000009</v>
      </c>
      <c r="V39" s="142">
        <f t="shared" si="24"/>
        <v>7.9221704250000009</v>
      </c>
      <c r="W39" s="142">
        <f t="shared" si="24"/>
        <v>7.9221704250000009</v>
      </c>
      <c r="X39" s="142">
        <f t="shared" si="24"/>
        <v>7.9221704250000009</v>
      </c>
      <c r="Y39" s="142">
        <f t="shared" si="24"/>
        <v>7.9221704250000009</v>
      </c>
      <c r="Z39" s="142">
        <f t="shared" si="24"/>
        <v>7.9221704250000009</v>
      </c>
      <c r="AA39" s="142">
        <f t="shared" si="24"/>
        <v>7.9221704250000009</v>
      </c>
      <c r="AB39" s="142">
        <f t="shared" si="24"/>
        <v>7.9221704250000009</v>
      </c>
      <c r="AC39" s="142">
        <f t="shared" si="24"/>
        <v>7.9221704250000009</v>
      </c>
      <c r="AD39" s="142">
        <f t="shared" si="24"/>
        <v>7.6845053122500007</v>
      </c>
      <c r="AE39" s="142">
        <f t="shared" si="24"/>
        <v>7.4539701528825004</v>
      </c>
      <c r="AF39" s="142">
        <f t="shared" si="24"/>
        <v>7.2303510482960256</v>
      </c>
      <c r="AG39" s="142">
        <f t="shared" si="24"/>
        <v>7.0134405168471448</v>
      </c>
      <c r="AH39" s="142">
        <f t="shared" si="24"/>
        <v>6.80303730134173</v>
      </c>
      <c r="AI39" s="142">
        <f t="shared" si="24"/>
        <v>6.5989461823014777</v>
      </c>
      <c r="AJ39" s="142">
        <f t="shared" si="24"/>
        <v>6.4009777968324331</v>
      </c>
      <c r="AK39" s="142">
        <f t="shared" si="24"/>
        <v>6.2089484629274603</v>
      </c>
      <c r="AL39" s="142">
        <f t="shared" si="24"/>
        <v>6.022680009039636</v>
      </c>
      <c r="AM39" s="142">
        <f t="shared" si="24"/>
        <v>5.8419996087684467</v>
      </c>
      <c r="AN39" s="142">
        <f t="shared" si="24"/>
        <v>5.8419996087684467</v>
      </c>
    </row>
    <row r="40" spans="1:40" x14ac:dyDescent="0.25">
      <c r="A40" s="141"/>
      <c r="B40" s="141" t="str">
        <f t="shared" ref="B40:B41" si="25">B7</f>
        <v xml:space="preserve"> N. Gas from/to R2</v>
      </c>
      <c r="C40" s="142"/>
      <c r="D40" s="142"/>
      <c r="E40" s="142">
        <f>E7</f>
        <v>11.012345679012336</v>
      </c>
      <c r="F40" s="142">
        <f t="shared" ref="F40:AN41" si="26">F7</f>
        <v>6.8580986897128513</v>
      </c>
      <c r="G40" s="142">
        <f t="shared" si="26"/>
        <v>6.8580986897128513</v>
      </c>
      <c r="H40" s="128">
        <f t="shared" si="26"/>
        <v>6.8580986897128513</v>
      </c>
      <c r="I40" s="142">
        <f t="shared" si="26"/>
        <v>5.4641761918037357</v>
      </c>
      <c r="J40" s="142">
        <f t="shared" si="26"/>
        <v>5.5734597156398102</v>
      </c>
      <c r="K40" s="142">
        <f t="shared" si="26"/>
        <v>5.6849289099526068</v>
      </c>
      <c r="L40" s="142">
        <f t="shared" si="26"/>
        <v>5.7986274881516593</v>
      </c>
      <c r="M40" s="142">
        <f t="shared" si="26"/>
        <v>5.9146000379146928</v>
      </c>
      <c r="N40" s="142">
        <f t="shared" si="26"/>
        <v>6.032892038672987</v>
      </c>
      <c r="O40" s="142">
        <f t="shared" si="26"/>
        <v>6.1837143396398107</v>
      </c>
      <c r="P40" s="142">
        <f t="shared" si="26"/>
        <v>6.3383071981308055</v>
      </c>
      <c r="Q40" s="142">
        <f t="shared" si="26"/>
        <v>6.4967648780840754</v>
      </c>
      <c r="R40" s="142">
        <f t="shared" si="26"/>
        <v>6.6591840000361771</v>
      </c>
      <c r="S40" s="142">
        <f t="shared" si="26"/>
        <v>6.8005869750000025</v>
      </c>
      <c r="T40" s="142">
        <f t="shared" si="26"/>
        <v>6.851591377312503</v>
      </c>
      <c r="U40" s="142">
        <f t="shared" si="26"/>
        <v>6.9029783126423476</v>
      </c>
      <c r="V40" s="142">
        <f t="shared" si="26"/>
        <v>6.9547506499871661</v>
      </c>
      <c r="W40" s="142">
        <f t="shared" si="26"/>
        <v>7.0069112798620701</v>
      </c>
      <c r="X40" s="142">
        <f t="shared" si="26"/>
        <v>7.0594631144610362</v>
      </c>
      <c r="Y40" s="142">
        <f t="shared" si="26"/>
        <v>7.1124090878194943</v>
      </c>
      <c r="Z40" s="142">
        <f t="shared" si="26"/>
        <v>7.165752155978141</v>
      </c>
      <c r="AA40" s="142">
        <f t="shared" si="26"/>
        <v>7.2194952971479776</v>
      </c>
      <c r="AB40" s="142">
        <f t="shared" si="26"/>
        <v>7.2736415118765878</v>
      </c>
      <c r="AC40" s="142">
        <f t="shared" si="26"/>
        <v>7.3281938232156625</v>
      </c>
      <c r="AD40" s="142">
        <f t="shared" si="26"/>
        <v>7.3831552768897808</v>
      </c>
      <c r="AE40" s="142">
        <f t="shared" si="26"/>
        <v>7.4385289414664548</v>
      </c>
      <c r="AF40" s="142">
        <f t="shared" si="26"/>
        <v>7.4943179085274538</v>
      </c>
      <c r="AG40" s="142">
        <f t="shared" si="26"/>
        <v>7.5505252928414102</v>
      </c>
      <c r="AH40" s="142">
        <f t="shared" si="26"/>
        <v>7.6071542325377211</v>
      </c>
      <c r="AI40" s="142">
        <f t="shared" si="26"/>
        <v>7.6642078892817542</v>
      </c>
      <c r="AJ40" s="142">
        <f t="shared" si="26"/>
        <v>7.7216894484513681</v>
      </c>
      <c r="AK40" s="142">
        <f t="shared" si="26"/>
        <v>7.7796021193147542</v>
      </c>
      <c r="AL40" s="142">
        <f t="shared" si="26"/>
        <v>7.8379491352096151</v>
      </c>
      <c r="AM40" s="142">
        <f t="shared" si="26"/>
        <v>7.9221704250000009</v>
      </c>
      <c r="AN40" s="142">
        <f t="shared" si="26"/>
        <v>7.9221704250000009</v>
      </c>
    </row>
    <row r="41" spans="1:40" x14ac:dyDescent="0.25">
      <c r="A41" s="141"/>
      <c r="B41" s="141" t="str">
        <f t="shared" si="25"/>
        <v xml:space="preserve"> N. Gas from/to R3</v>
      </c>
      <c r="C41" s="142"/>
      <c r="D41" s="142"/>
      <c r="E41" s="142">
        <f t="shared" ref="E41:T41" si="27">E8</f>
        <v>12.235939643347029</v>
      </c>
      <c r="F41" s="142">
        <f t="shared" si="27"/>
        <v>6.8580986897128513</v>
      </c>
      <c r="G41" s="142">
        <f t="shared" si="27"/>
        <v>6.8580986897128513</v>
      </c>
      <c r="H41" s="128">
        <f t="shared" si="27"/>
        <v>6.8580986897128513</v>
      </c>
      <c r="I41" s="142">
        <f t="shared" si="27"/>
        <v>5.4641761918037357</v>
      </c>
      <c r="J41" s="142">
        <f t="shared" si="27"/>
        <v>5.3707262499999997</v>
      </c>
      <c r="K41" s="142">
        <f t="shared" si="27"/>
        <v>5.8707262499999997</v>
      </c>
      <c r="L41" s="142">
        <f t="shared" si="27"/>
        <v>6.3707262499999997</v>
      </c>
      <c r="M41" s="142">
        <f t="shared" si="27"/>
        <v>6.8707262499999997</v>
      </c>
      <c r="N41" s="142">
        <f t="shared" si="27"/>
        <v>7.3707262499999997</v>
      </c>
      <c r="O41" s="142">
        <f t="shared" si="27"/>
        <v>7.5114497250000003</v>
      </c>
      <c r="P41" s="142">
        <f t="shared" si="27"/>
        <v>7.6141299</v>
      </c>
      <c r="Q41" s="142">
        <f t="shared" si="27"/>
        <v>7.7168100749999997</v>
      </c>
      <c r="R41" s="142">
        <f t="shared" si="27"/>
        <v>7.8194902500000003</v>
      </c>
      <c r="S41" s="142">
        <f t="shared" si="27"/>
        <v>7.9221704250000009</v>
      </c>
      <c r="T41" s="142">
        <f t="shared" si="27"/>
        <v>9.5066045100000007</v>
      </c>
      <c r="U41" s="142">
        <f t="shared" si="26"/>
        <v>9.5066045100000007</v>
      </c>
      <c r="V41" s="142">
        <f t="shared" si="26"/>
        <v>9.5066045100000007</v>
      </c>
      <c r="W41" s="142">
        <f t="shared" si="26"/>
        <v>9.5066045100000007</v>
      </c>
      <c r="X41" s="142">
        <f t="shared" si="26"/>
        <v>9.5066045100000007</v>
      </c>
      <c r="Y41" s="142">
        <f t="shared" si="26"/>
        <v>9.5066045100000007</v>
      </c>
      <c r="Z41" s="142">
        <f t="shared" si="26"/>
        <v>9.5066045100000007</v>
      </c>
      <c r="AA41" s="142">
        <f t="shared" si="26"/>
        <v>9.5066045100000007</v>
      </c>
      <c r="AB41" s="142">
        <f t="shared" si="26"/>
        <v>9.5066045100000007</v>
      </c>
      <c r="AC41" s="142">
        <f t="shared" si="26"/>
        <v>9.5066045100000007</v>
      </c>
      <c r="AD41" s="142">
        <f t="shared" si="26"/>
        <v>9.2214063747000008</v>
      </c>
      <c r="AE41" s="142">
        <f t="shared" si="26"/>
        <v>8.9447641834590002</v>
      </c>
      <c r="AF41" s="142">
        <f t="shared" si="26"/>
        <v>8.67642125795523</v>
      </c>
      <c r="AG41" s="142">
        <f t="shared" si="26"/>
        <v>8.4161286202165737</v>
      </c>
      <c r="AH41" s="142">
        <f t="shared" si="26"/>
        <v>8.163644761610076</v>
      </c>
      <c r="AI41" s="142">
        <f t="shared" si="26"/>
        <v>7.9187354187617727</v>
      </c>
      <c r="AJ41" s="142">
        <f t="shared" si="26"/>
        <v>7.6811733561989195</v>
      </c>
      <c r="AK41" s="142">
        <f t="shared" si="26"/>
        <v>7.4507381555129522</v>
      </c>
      <c r="AL41" s="142">
        <f t="shared" si="26"/>
        <v>7.2272160108475632</v>
      </c>
      <c r="AM41" s="142">
        <f t="shared" si="26"/>
        <v>7.010399530522136</v>
      </c>
      <c r="AN41" s="142">
        <f t="shared" si="26"/>
        <v>7.010399530522136</v>
      </c>
    </row>
    <row r="42" spans="1:40" x14ac:dyDescent="0.25">
      <c r="A42" s="141"/>
      <c r="B42" s="141" t="s">
        <v>141</v>
      </c>
      <c r="C42" s="142"/>
      <c r="D42" s="142"/>
      <c r="E42" s="142">
        <v>6</v>
      </c>
      <c r="F42" s="142">
        <v>6</v>
      </c>
      <c r="G42" s="142">
        <v>6</v>
      </c>
      <c r="H42" s="128">
        <v>6</v>
      </c>
      <c r="I42" s="142">
        <v>6</v>
      </c>
      <c r="J42" s="142">
        <v>6</v>
      </c>
      <c r="K42" s="142">
        <v>6</v>
      </c>
      <c r="L42" s="142">
        <v>6</v>
      </c>
      <c r="M42" s="142">
        <v>6</v>
      </c>
      <c r="N42" s="142">
        <v>6</v>
      </c>
      <c r="O42" s="142">
        <v>6</v>
      </c>
      <c r="P42" s="142">
        <v>6</v>
      </c>
      <c r="Q42" s="142">
        <v>6</v>
      </c>
      <c r="R42" s="142">
        <v>6</v>
      </c>
      <c r="S42" s="142">
        <v>6</v>
      </c>
      <c r="T42" s="142">
        <v>6</v>
      </c>
      <c r="U42" s="142">
        <v>6</v>
      </c>
      <c r="V42" s="142">
        <v>6</v>
      </c>
      <c r="W42" s="142">
        <v>6</v>
      </c>
      <c r="X42" s="142">
        <v>6</v>
      </c>
      <c r="Y42" s="142">
        <v>6</v>
      </c>
      <c r="Z42" s="142">
        <v>6</v>
      </c>
      <c r="AA42" s="142">
        <v>6</v>
      </c>
      <c r="AB42" s="142">
        <v>6</v>
      </c>
      <c r="AC42" s="142">
        <v>6</v>
      </c>
      <c r="AD42" s="142">
        <v>6</v>
      </c>
      <c r="AE42" s="142">
        <v>6</v>
      </c>
      <c r="AF42" s="142">
        <v>6</v>
      </c>
      <c r="AG42" s="142">
        <v>6</v>
      </c>
      <c r="AH42" s="142">
        <v>6</v>
      </c>
      <c r="AI42" s="142">
        <v>6</v>
      </c>
      <c r="AJ42" s="142">
        <v>6</v>
      </c>
      <c r="AK42" s="142">
        <v>6</v>
      </c>
      <c r="AL42" s="142">
        <v>6</v>
      </c>
      <c r="AM42" s="142">
        <v>6</v>
      </c>
      <c r="AN42" s="142">
        <v>6</v>
      </c>
    </row>
    <row r="43" spans="1:40" x14ac:dyDescent="0.25">
      <c r="A43" s="141"/>
      <c r="B43" s="141" t="s">
        <v>142</v>
      </c>
      <c r="C43" s="142"/>
      <c r="D43" s="142"/>
      <c r="E43" s="142">
        <v>3.8</v>
      </c>
      <c r="F43" s="142">
        <v>3.8</v>
      </c>
      <c r="G43" s="142">
        <f>($T43-$F43)/(T$25-$F$25)*(G$25-$F$25)+$F43</f>
        <v>3.827142857142857</v>
      </c>
      <c r="H43" s="128">
        <f t="shared" ref="H43:S43" si="28">($T43-$F43)/(U$25-$F$25)*(H$25-$F$25)+$F43</f>
        <v>3.8506666666666667</v>
      </c>
      <c r="I43" s="142">
        <f t="shared" si="28"/>
        <v>3.8712499999999999</v>
      </c>
      <c r="J43" s="142">
        <f t="shared" si="28"/>
        <v>3.8894117647058821</v>
      </c>
      <c r="K43" s="142">
        <f t="shared" si="28"/>
        <v>3.9055555555555554</v>
      </c>
      <c r="L43" s="142">
        <f t="shared" si="28"/>
        <v>3.92</v>
      </c>
      <c r="M43" s="142">
        <f t="shared" si="28"/>
        <v>3.9329999999999998</v>
      </c>
      <c r="N43" s="142">
        <f t="shared" si="28"/>
        <v>3.9447619047619047</v>
      </c>
      <c r="O43" s="142">
        <f t="shared" si="28"/>
        <v>3.9554545454545451</v>
      </c>
      <c r="P43" s="142">
        <f t="shared" si="28"/>
        <v>3.9652173913043476</v>
      </c>
      <c r="Q43" s="142">
        <f t="shared" si="28"/>
        <v>3.9741666666666666</v>
      </c>
      <c r="R43" s="142">
        <f t="shared" si="28"/>
        <v>3.9823999999999997</v>
      </c>
      <c r="S43" s="142">
        <f t="shared" si="28"/>
        <v>3.9899999999999998</v>
      </c>
      <c r="T43" s="142">
        <f>F43*1.1</f>
        <v>4.18</v>
      </c>
      <c r="U43" s="142">
        <f>($AN43-$T43)/($AN$25-$T$25)*(U$25-$T$25)+$T43</f>
        <v>4.2008999999999999</v>
      </c>
      <c r="V43" s="142">
        <f t="shared" ref="V43:AM45" si="29">($AN43-$T43)/($AN$25-$T$25)*(V$25-$T$25)+$T43</f>
        <v>4.2218</v>
      </c>
      <c r="W43" s="142">
        <f t="shared" si="29"/>
        <v>4.2427000000000001</v>
      </c>
      <c r="X43" s="142">
        <f t="shared" si="29"/>
        <v>4.2635999999999994</v>
      </c>
      <c r="Y43" s="142">
        <f t="shared" si="29"/>
        <v>4.2844999999999995</v>
      </c>
      <c r="Z43" s="142">
        <f t="shared" si="29"/>
        <v>4.3053999999999997</v>
      </c>
      <c r="AA43" s="142">
        <f t="shared" si="29"/>
        <v>4.3262999999999998</v>
      </c>
      <c r="AB43" s="142">
        <f t="shared" si="29"/>
        <v>4.3472</v>
      </c>
      <c r="AC43" s="142">
        <f t="shared" si="29"/>
        <v>4.3681000000000001</v>
      </c>
      <c r="AD43" s="142">
        <f t="shared" si="29"/>
        <v>4.3889999999999993</v>
      </c>
      <c r="AE43" s="142">
        <f t="shared" si="29"/>
        <v>4.4098999999999995</v>
      </c>
      <c r="AF43" s="142">
        <f t="shared" si="29"/>
        <v>4.4307999999999996</v>
      </c>
      <c r="AG43" s="142">
        <f t="shared" si="29"/>
        <v>4.4516999999999998</v>
      </c>
      <c r="AH43" s="142">
        <f t="shared" si="29"/>
        <v>4.4725999999999999</v>
      </c>
      <c r="AI43" s="142">
        <f t="shared" si="29"/>
        <v>4.4935</v>
      </c>
      <c r="AJ43" s="142">
        <f t="shared" si="29"/>
        <v>4.5144000000000002</v>
      </c>
      <c r="AK43" s="142">
        <f t="shared" si="29"/>
        <v>4.5352999999999994</v>
      </c>
      <c r="AL43" s="142">
        <f t="shared" si="29"/>
        <v>4.5561999999999996</v>
      </c>
      <c r="AM43" s="142">
        <f t="shared" si="29"/>
        <v>4.5770999999999997</v>
      </c>
      <c r="AN43" s="142">
        <f>T43*1.1</f>
        <v>4.5979999999999999</v>
      </c>
    </row>
    <row r="44" spans="1:40" x14ac:dyDescent="0.25">
      <c r="A44" s="141"/>
      <c r="B44" s="141" t="s">
        <v>90</v>
      </c>
      <c r="C44" s="142"/>
      <c r="D44" s="142"/>
      <c r="E44" s="142">
        <f>I44</f>
        <v>33.070999999999998</v>
      </c>
      <c r="F44" s="142">
        <f>J44</f>
        <v>33.070999999999998</v>
      </c>
      <c r="G44" s="142">
        <f>($J44-$F44)/(J$25-$F$25)*(G$25-$F$25)+$F44</f>
        <v>33.070999999999998</v>
      </c>
      <c r="H44" s="128">
        <f t="shared" ref="H44:I45" si="30">($J44-$F44)/(K$25-$F$25)*(H$25-$F$25)+$F44</f>
        <v>33.070999999999998</v>
      </c>
      <c r="I44" s="142">
        <f t="shared" si="30"/>
        <v>33.070999999999998</v>
      </c>
      <c r="J44" s="142">
        <v>33.070999999999998</v>
      </c>
      <c r="K44" s="142">
        <f t="shared" ref="K44:S45" si="31">($T44-$J44)/($T$25-$J$25)*(K$25-$J$25)+$J44</f>
        <v>33.236354999999996</v>
      </c>
      <c r="L44" s="142">
        <f t="shared" si="31"/>
        <v>33.401710000000001</v>
      </c>
      <c r="M44" s="142">
        <f t="shared" si="31"/>
        <v>33.567064999999999</v>
      </c>
      <c r="N44" s="142">
        <f t="shared" si="31"/>
        <v>33.732419999999998</v>
      </c>
      <c r="O44" s="142">
        <f t="shared" si="31"/>
        <v>33.897774999999996</v>
      </c>
      <c r="P44" s="142">
        <f t="shared" si="31"/>
        <v>34.063130000000001</v>
      </c>
      <c r="Q44" s="142">
        <f t="shared" si="31"/>
        <v>34.228484999999999</v>
      </c>
      <c r="R44" s="142">
        <f t="shared" si="31"/>
        <v>34.393839999999997</v>
      </c>
      <c r="S44" s="142">
        <f t="shared" si="31"/>
        <v>34.559195000000003</v>
      </c>
      <c r="T44" s="142">
        <f>J44*1.05</f>
        <v>34.724550000000001</v>
      </c>
      <c r="U44" s="142">
        <f>($AN44-$T44)/($AN$25-$T$25)*(U$25-$T$25)+$T44</f>
        <v>34.898172750000001</v>
      </c>
      <c r="V44" s="142">
        <f t="shared" si="29"/>
        <v>35.0717955</v>
      </c>
      <c r="W44" s="142">
        <f t="shared" si="29"/>
        <v>35.24541825</v>
      </c>
      <c r="X44" s="142">
        <f t="shared" si="29"/>
        <v>35.419041</v>
      </c>
      <c r="Y44" s="142">
        <f t="shared" si="29"/>
        <v>35.59266375</v>
      </c>
      <c r="Z44" s="142">
        <f t="shared" si="29"/>
        <v>35.7662865</v>
      </c>
      <c r="AA44" s="142">
        <f t="shared" si="29"/>
        <v>35.939909249999999</v>
      </c>
      <c r="AB44" s="142">
        <f t="shared" si="29"/>
        <v>36.113531999999999</v>
      </c>
      <c r="AC44" s="142">
        <f t="shared" si="29"/>
        <v>36.287154749999999</v>
      </c>
      <c r="AD44" s="142">
        <f t="shared" si="29"/>
        <v>36.460777500000006</v>
      </c>
      <c r="AE44" s="142">
        <f t="shared" si="29"/>
        <v>36.634400250000006</v>
      </c>
      <c r="AF44" s="142">
        <f t="shared" si="29"/>
        <v>36.808023000000006</v>
      </c>
      <c r="AG44" s="142">
        <f t="shared" si="29"/>
        <v>36.981645750000006</v>
      </c>
      <c r="AH44" s="142">
        <f t="shared" si="29"/>
        <v>37.155268500000005</v>
      </c>
      <c r="AI44" s="142">
        <f t="shared" si="29"/>
        <v>37.328891250000005</v>
      </c>
      <c r="AJ44" s="142">
        <f t="shared" si="29"/>
        <v>37.502514000000005</v>
      </c>
      <c r="AK44" s="142">
        <f t="shared" si="29"/>
        <v>37.676136750000005</v>
      </c>
      <c r="AL44" s="142">
        <f t="shared" si="29"/>
        <v>37.849759500000005</v>
      </c>
      <c r="AM44" s="142">
        <f t="shared" si="29"/>
        <v>38.023382250000004</v>
      </c>
      <c r="AN44" s="142">
        <f>T44*1.1</f>
        <v>38.197005000000004</v>
      </c>
    </row>
    <row r="45" spans="1:40" x14ac:dyDescent="0.25">
      <c r="A45" s="141"/>
      <c r="B45" s="141" t="s">
        <v>91</v>
      </c>
      <c r="C45" s="142"/>
      <c r="D45" s="142"/>
      <c r="E45" s="142">
        <f>I45</f>
        <v>26.06</v>
      </c>
      <c r="F45" s="142">
        <f>J45</f>
        <v>26.06</v>
      </c>
      <c r="G45" s="142">
        <f>($J45-$F45)/(J$25-$F$25)*(G$25-$F$25)+$F45</f>
        <v>26.06</v>
      </c>
      <c r="H45" s="128">
        <f t="shared" si="30"/>
        <v>26.06</v>
      </c>
      <c r="I45" s="142">
        <f>($J45-$F45)/(L$25-$F$25)*(I$25-$F$25)+$F45</f>
        <v>26.06</v>
      </c>
      <c r="J45" s="142">
        <v>26.06</v>
      </c>
      <c r="K45" s="142">
        <f t="shared" si="31"/>
        <v>26.320599999999999</v>
      </c>
      <c r="L45" s="142">
        <f t="shared" si="31"/>
        <v>26.581199999999999</v>
      </c>
      <c r="M45" s="142">
        <f t="shared" si="31"/>
        <v>26.841799999999999</v>
      </c>
      <c r="N45" s="142">
        <f t="shared" si="31"/>
        <v>27.102399999999999</v>
      </c>
      <c r="O45" s="142">
        <f t="shared" si="31"/>
        <v>27.363</v>
      </c>
      <c r="P45" s="142">
        <f t="shared" si="31"/>
        <v>27.6236</v>
      </c>
      <c r="Q45" s="142">
        <f t="shared" si="31"/>
        <v>27.8842</v>
      </c>
      <c r="R45" s="142">
        <f t="shared" si="31"/>
        <v>28.1448</v>
      </c>
      <c r="S45" s="142">
        <f t="shared" si="31"/>
        <v>28.4054</v>
      </c>
      <c r="T45" s="142">
        <f>J45*1.1</f>
        <v>28.666</v>
      </c>
      <c r="U45" s="142">
        <f>($AN45-$T45)/($AN$25-$T$25)*(U$25-$T$25)+$T45</f>
        <v>28.809329999999999</v>
      </c>
      <c r="V45" s="142">
        <f t="shared" si="29"/>
        <v>28.952660000000002</v>
      </c>
      <c r="W45" s="142">
        <f t="shared" si="29"/>
        <v>29.09599</v>
      </c>
      <c r="X45" s="142">
        <f t="shared" si="29"/>
        <v>29.239319999999999</v>
      </c>
      <c r="Y45" s="142">
        <f t="shared" si="29"/>
        <v>29.382650000000002</v>
      </c>
      <c r="Z45" s="142">
        <f t="shared" si="29"/>
        <v>29.525980000000001</v>
      </c>
      <c r="AA45" s="142">
        <f t="shared" si="29"/>
        <v>29.669309999999999</v>
      </c>
      <c r="AB45" s="142">
        <f t="shared" si="29"/>
        <v>29.812640000000002</v>
      </c>
      <c r="AC45" s="142">
        <f t="shared" si="29"/>
        <v>29.955970000000001</v>
      </c>
      <c r="AD45" s="142">
        <f t="shared" si="29"/>
        <v>30.099299999999999</v>
      </c>
      <c r="AE45" s="142">
        <f t="shared" si="29"/>
        <v>30.242630000000002</v>
      </c>
      <c r="AF45" s="142">
        <f t="shared" si="29"/>
        <v>30.385960000000001</v>
      </c>
      <c r="AG45" s="142">
        <f t="shared" si="29"/>
        <v>30.529290000000003</v>
      </c>
      <c r="AH45" s="142">
        <f t="shared" si="29"/>
        <v>30.672620000000002</v>
      </c>
      <c r="AI45" s="142">
        <f t="shared" si="29"/>
        <v>30.815950000000001</v>
      </c>
      <c r="AJ45" s="142">
        <f t="shared" si="29"/>
        <v>30.959280000000003</v>
      </c>
      <c r="AK45" s="142">
        <f t="shared" si="29"/>
        <v>31.102610000000002</v>
      </c>
      <c r="AL45" s="142">
        <f t="shared" si="29"/>
        <v>31.245940000000001</v>
      </c>
      <c r="AM45" s="142">
        <f t="shared" si="29"/>
        <v>31.389270000000003</v>
      </c>
      <c r="AN45" s="142">
        <f>T45*1.1</f>
        <v>31.532600000000002</v>
      </c>
    </row>
    <row r="49" spans="1:41" x14ac:dyDescent="0.25">
      <c r="A49" s="143" t="s">
        <v>144</v>
      </c>
      <c r="B49" s="143" t="s">
        <v>155</v>
      </c>
      <c r="C49" s="144">
        <f>C25</f>
        <v>2010</v>
      </c>
      <c r="D49" s="144">
        <f t="shared" ref="D49:AN49" si="32">D25</f>
        <v>2013</v>
      </c>
      <c r="E49" s="144">
        <v>2015</v>
      </c>
      <c r="F49" s="144">
        <f t="shared" si="32"/>
        <v>2017</v>
      </c>
      <c r="G49" s="145">
        <f t="shared" si="32"/>
        <v>2018</v>
      </c>
      <c r="H49" s="146">
        <f t="shared" si="32"/>
        <v>2019</v>
      </c>
      <c r="I49" s="144">
        <f t="shared" si="32"/>
        <v>2020</v>
      </c>
      <c r="J49" s="144">
        <f t="shared" si="32"/>
        <v>2021</v>
      </c>
      <c r="K49" s="144">
        <f t="shared" si="32"/>
        <v>2022</v>
      </c>
      <c r="L49" s="144">
        <f t="shared" si="32"/>
        <v>2023</v>
      </c>
      <c r="M49" s="144">
        <f t="shared" si="32"/>
        <v>2024</v>
      </c>
      <c r="N49" s="144">
        <f t="shared" si="32"/>
        <v>2025</v>
      </c>
      <c r="O49" s="144">
        <f t="shared" si="32"/>
        <v>2026</v>
      </c>
      <c r="P49" s="144">
        <f t="shared" si="32"/>
        <v>2027</v>
      </c>
      <c r="Q49" s="144">
        <f t="shared" si="32"/>
        <v>2028</v>
      </c>
      <c r="R49" s="144">
        <f t="shared" si="32"/>
        <v>2029</v>
      </c>
      <c r="S49" s="144">
        <f t="shared" si="32"/>
        <v>2030</v>
      </c>
      <c r="T49" s="144">
        <f t="shared" si="32"/>
        <v>2031</v>
      </c>
      <c r="U49" s="144">
        <f t="shared" si="32"/>
        <v>2032</v>
      </c>
      <c r="V49" s="144">
        <f t="shared" si="32"/>
        <v>2033</v>
      </c>
      <c r="W49" s="144">
        <f t="shared" si="32"/>
        <v>2034</v>
      </c>
      <c r="X49" s="144">
        <f t="shared" si="32"/>
        <v>2035</v>
      </c>
      <c r="Y49" s="144">
        <f t="shared" si="32"/>
        <v>2036</v>
      </c>
      <c r="Z49" s="144">
        <f t="shared" si="32"/>
        <v>2037</v>
      </c>
      <c r="AA49" s="144">
        <f t="shared" si="32"/>
        <v>2038</v>
      </c>
      <c r="AB49" s="144">
        <f t="shared" si="32"/>
        <v>2039</v>
      </c>
      <c r="AC49" s="144">
        <f t="shared" si="32"/>
        <v>2040</v>
      </c>
      <c r="AD49" s="144">
        <f t="shared" si="32"/>
        <v>2041</v>
      </c>
      <c r="AE49" s="144">
        <f t="shared" si="32"/>
        <v>2042</v>
      </c>
      <c r="AF49" s="144">
        <f t="shared" si="32"/>
        <v>2043</v>
      </c>
      <c r="AG49" s="144">
        <f t="shared" si="32"/>
        <v>2044</v>
      </c>
      <c r="AH49" s="144">
        <f t="shared" si="32"/>
        <v>2045</v>
      </c>
      <c r="AI49" s="144">
        <f t="shared" si="32"/>
        <v>2046</v>
      </c>
      <c r="AJ49" s="144">
        <f t="shared" si="32"/>
        <v>2047</v>
      </c>
      <c r="AK49" s="144">
        <f t="shared" si="32"/>
        <v>2048</v>
      </c>
      <c r="AL49" s="144">
        <f t="shared" si="32"/>
        <v>2049</v>
      </c>
      <c r="AM49" s="144">
        <f t="shared" si="32"/>
        <v>2050</v>
      </c>
      <c r="AN49" s="147">
        <f t="shared" si="32"/>
        <v>2051</v>
      </c>
    </row>
    <row r="50" spans="1:41" x14ac:dyDescent="0.25">
      <c r="A50" s="148"/>
      <c r="B50" s="117" t="s">
        <v>280</v>
      </c>
      <c r="C50" s="149"/>
      <c r="D50" s="149"/>
      <c r="E50" s="149"/>
      <c r="F50" s="150">
        <f>F26</f>
        <v>2.0796481547921881</v>
      </c>
      <c r="G50" s="150">
        <f>G26</f>
        <v>1.9721846892956114</v>
      </c>
      <c r="H50" s="150">
        <f>H26</f>
        <v>2.2815469934988446</v>
      </c>
      <c r="I50" s="150">
        <f t="shared" ref="I50:AN50" si="33">I26</f>
        <v>1.5210313289992297</v>
      </c>
      <c r="J50" s="150">
        <f t="shared" si="33"/>
        <v>1.7760313289992296</v>
      </c>
      <c r="K50" s="150">
        <f t="shared" si="33"/>
        <v>2.0310313289992292</v>
      </c>
      <c r="L50" s="150">
        <f t="shared" si="33"/>
        <v>2.2860313289992291</v>
      </c>
      <c r="M50" s="150">
        <f t="shared" si="33"/>
        <v>2.541031328999229</v>
      </c>
      <c r="N50" s="150">
        <f t="shared" si="33"/>
        <v>2.7960313289992289</v>
      </c>
      <c r="O50" s="150">
        <f t="shared" si="33"/>
        <v>2.04</v>
      </c>
      <c r="P50" s="150">
        <f t="shared" si="33"/>
        <v>2.125</v>
      </c>
      <c r="Q50" s="150">
        <f t="shared" si="33"/>
        <v>2.21</v>
      </c>
      <c r="R50" s="150">
        <f t="shared" si="33"/>
        <v>2.2949999999999999</v>
      </c>
      <c r="S50" s="150">
        <f t="shared" si="33"/>
        <v>2.38</v>
      </c>
      <c r="T50" s="150">
        <f t="shared" si="33"/>
        <v>2.3443000000000001</v>
      </c>
      <c r="U50" s="150">
        <f t="shared" si="33"/>
        <v>2.3091355</v>
      </c>
      <c r="V50" s="150">
        <f t="shared" si="33"/>
        <v>2.2744984675</v>
      </c>
      <c r="W50" s="150">
        <f t="shared" si="33"/>
        <v>2.2403809904875001</v>
      </c>
      <c r="X50" s="150">
        <f t="shared" si="33"/>
        <v>2.2067752756301875</v>
      </c>
      <c r="Y50" s="150">
        <f t="shared" si="33"/>
        <v>2.1736736464957347</v>
      </c>
      <c r="Z50" s="150">
        <f t="shared" si="33"/>
        <v>2.1410685417982984</v>
      </c>
      <c r="AA50" s="150">
        <f t="shared" si="33"/>
        <v>2.1089525136713241</v>
      </c>
      <c r="AB50" s="150">
        <f t="shared" si="33"/>
        <v>2.0773182259662542</v>
      </c>
      <c r="AC50" s="150">
        <f t="shared" si="33"/>
        <v>2.0461584525767602</v>
      </c>
      <c r="AD50" s="150">
        <f t="shared" si="33"/>
        <v>2.0154660757881087</v>
      </c>
      <c r="AE50" s="150">
        <f t="shared" si="33"/>
        <v>1.985234084651287</v>
      </c>
      <c r="AF50" s="150">
        <f t="shared" si="33"/>
        <v>1.9554555733815178</v>
      </c>
      <c r="AG50" s="150">
        <f t="shared" si="33"/>
        <v>1.9261237397807949</v>
      </c>
      <c r="AH50" s="150">
        <f t="shared" si="33"/>
        <v>1.8972318836840829</v>
      </c>
      <c r="AI50" s="150">
        <f t="shared" si="33"/>
        <v>1.8687734054288216</v>
      </c>
      <c r="AJ50" s="150">
        <f t="shared" si="33"/>
        <v>1.8407418043473893</v>
      </c>
      <c r="AK50" s="150">
        <f t="shared" si="33"/>
        <v>1.8131306772821785</v>
      </c>
      <c r="AL50" s="150">
        <f t="shared" si="33"/>
        <v>1.7859337171229457</v>
      </c>
      <c r="AM50" s="150">
        <f t="shared" si="33"/>
        <v>1.7591447113661014</v>
      </c>
      <c r="AN50" s="150">
        <f t="shared" si="33"/>
        <v>1.7591447113661014</v>
      </c>
      <c r="AO50" s="149" t="s">
        <v>172</v>
      </c>
    </row>
    <row r="51" spans="1:41" x14ac:dyDescent="0.25">
      <c r="A51" s="148"/>
      <c r="B51" s="117" t="s">
        <v>281</v>
      </c>
      <c r="C51" s="149"/>
      <c r="D51" s="149"/>
      <c r="E51" s="149"/>
      <c r="F51" s="150">
        <f>F26</f>
        <v>2.0796481547921881</v>
      </c>
      <c r="G51" s="150">
        <f>G26</f>
        <v>1.9721846892956114</v>
      </c>
      <c r="H51" s="150">
        <f>H26</f>
        <v>2.2815469934988446</v>
      </c>
      <c r="I51" s="150">
        <f t="shared" ref="I51:AN51" si="34">I26</f>
        <v>1.5210313289992297</v>
      </c>
      <c r="J51" s="150">
        <f t="shared" si="34"/>
        <v>1.7760313289992296</v>
      </c>
      <c r="K51" s="150">
        <f t="shared" si="34"/>
        <v>2.0310313289992292</v>
      </c>
      <c r="L51" s="150">
        <f t="shared" si="34"/>
        <v>2.2860313289992291</v>
      </c>
      <c r="M51" s="150">
        <f t="shared" si="34"/>
        <v>2.541031328999229</v>
      </c>
      <c r="N51" s="150">
        <f t="shared" si="34"/>
        <v>2.7960313289992289</v>
      </c>
      <c r="O51" s="150">
        <f t="shared" si="34"/>
        <v>2.04</v>
      </c>
      <c r="P51" s="150">
        <f t="shared" si="34"/>
        <v>2.125</v>
      </c>
      <c r="Q51" s="150">
        <f t="shared" si="34"/>
        <v>2.21</v>
      </c>
      <c r="R51" s="150">
        <f t="shared" si="34"/>
        <v>2.2949999999999999</v>
      </c>
      <c r="S51" s="150">
        <f t="shared" si="34"/>
        <v>2.38</v>
      </c>
      <c r="T51" s="150">
        <f t="shared" si="34"/>
        <v>2.3443000000000001</v>
      </c>
      <c r="U51" s="150">
        <f t="shared" si="34"/>
        <v>2.3091355</v>
      </c>
      <c r="V51" s="150">
        <f t="shared" si="34"/>
        <v>2.2744984675</v>
      </c>
      <c r="W51" s="150">
        <f t="shared" si="34"/>
        <v>2.2403809904875001</v>
      </c>
      <c r="X51" s="150">
        <f t="shared" si="34"/>
        <v>2.2067752756301875</v>
      </c>
      <c r="Y51" s="150">
        <f t="shared" si="34"/>
        <v>2.1736736464957347</v>
      </c>
      <c r="Z51" s="150">
        <f t="shared" si="34"/>
        <v>2.1410685417982984</v>
      </c>
      <c r="AA51" s="150">
        <f t="shared" si="34"/>
        <v>2.1089525136713241</v>
      </c>
      <c r="AB51" s="150">
        <f t="shared" si="34"/>
        <v>2.0773182259662542</v>
      </c>
      <c r="AC51" s="150">
        <f t="shared" si="34"/>
        <v>2.0461584525767602</v>
      </c>
      <c r="AD51" s="150">
        <f t="shared" si="34"/>
        <v>2.0154660757881087</v>
      </c>
      <c r="AE51" s="150">
        <f t="shared" si="34"/>
        <v>1.985234084651287</v>
      </c>
      <c r="AF51" s="150">
        <f t="shared" si="34"/>
        <v>1.9554555733815178</v>
      </c>
      <c r="AG51" s="150">
        <f t="shared" si="34"/>
        <v>1.9261237397807949</v>
      </c>
      <c r="AH51" s="150">
        <f t="shared" si="34"/>
        <v>1.8972318836840829</v>
      </c>
      <c r="AI51" s="150">
        <f t="shared" si="34"/>
        <v>1.8687734054288216</v>
      </c>
      <c r="AJ51" s="150">
        <f t="shared" si="34"/>
        <v>1.8407418043473893</v>
      </c>
      <c r="AK51" s="150">
        <f t="shared" si="34"/>
        <v>1.8131306772821785</v>
      </c>
      <c r="AL51" s="150">
        <f t="shared" si="34"/>
        <v>1.7859337171229457</v>
      </c>
      <c r="AM51" s="150">
        <f t="shared" si="34"/>
        <v>1.7591447113661014</v>
      </c>
      <c r="AN51" s="150">
        <f t="shared" si="34"/>
        <v>1.7591447113661014</v>
      </c>
      <c r="AO51" s="149" t="s">
        <v>298</v>
      </c>
    </row>
    <row r="52" spans="1:41" x14ac:dyDescent="0.25">
      <c r="A52" s="148"/>
      <c r="B52" s="117" t="s">
        <v>282</v>
      </c>
      <c r="C52" s="149"/>
      <c r="D52" s="149"/>
      <c r="E52" s="149"/>
      <c r="F52" s="150">
        <f t="shared" ref="F52:H53" si="35">F28</f>
        <v>1.9756657470525787</v>
      </c>
      <c r="G52" s="150">
        <f t="shared" si="35"/>
        <v>1.8735754548308308</v>
      </c>
      <c r="H52" s="150">
        <f t="shared" si="35"/>
        <v>2.1674696438239023</v>
      </c>
      <c r="I52" s="150">
        <f t="shared" ref="I52:AN52" si="36">I28</f>
        <v>1.4449797625492682</v>
      </c>
      <c r="J52" s="150">
        <f t="shared" si="36"/>
        <v>1.687229762549268</v>
      </c>
      <c r="K52" s="150">
        <f t="shared" si="36"/>
        <v>1.9294797625492677</v>
      </c>
      <c r="L52" s="150">
        <f t="shared" si="36"/>
        <v>2.1717297625492678</v>
      </c>
      <c r="M52" s="150">
        <f t="shared" si="36"/>
        <v>2.4139797625492676</v>
      </c>
      <c r="N52" s="150">
        <f t="shared" si="36"/>
        <v>2.6562297625492675</v>
      </c>
      <c r="O52" s="150">
        <f t="shared" si="36"/>
        <v>1.9379999999999999</v>
      </c>
      <c r="P52" s="150">
        <f t="shared" si="36"/>
        <v>2.0187499999999998</v>
      </c>
      <c r="Q52" s="150">
        <f t="shared" si="36"/>
        <v>2.0994999999999999</v>
      </c>
      <c r="R52" s="150">
        <f t="shared" si="36"/>
        <v>2.18025</v>
      </c>
      <c r="S52" s="150">
        <f t="shared" si="36"/>
        <v>2.2609999999999997</v>
      </c>
      <c r="T52" s="150">
        <f t="shared" si="36"/>
        <v>2.2270849999999998</v>
      </c>
      <c r="U52" s="150">
        <f t="shared" si="36"/>
        <v>2.1936787249999998</v>
      </c>
      <c r="V52" s="150">
        <f t="shared" si="36"/>
        <v>2.160773544125</v>
      </c>
      <c r="W52" s="150">
        <f t="shared" si="36"/>
        <v>2.1283619409631251</v>
      </c>
      <c r="X52" s="150">
        <f t="shared" si="36"/>
        <v>2.0964365118486779</v>
      </c>
      <c r="Y52" s="150">
        <f t="shared" si="36"/>
        <v>2.0649899641709477</v>
      </c>
      <c r="Z52" s="150">
        <f t="shared" si="36"/>
        <v>2.0340151147083834</v>
      </c>
      <c r="AA52" s="150">
        <f t="shared" si="36"/>
        <v>2.0035048879877579</v>
      </c>
      <c r="AB52" s="150">
        <f t="shared" si="36"/>
        <v>1.9734523146679412</v>
      </c>
      <c r="AC52" s="150">
        <f t="shared" si="36"/>
        <v>1.9438505299479221</v>
      </c>
      <c r="AD52" s="150">
        <f t="shared" si="36"/>
        <v>1.914692771998703</v>
      </c>
      <c r="AE52" s="150">
        <f t="shared" si="36"/>
        <v>1.8859723804187225</v>
      </c>
      <c r="AF52" s="150">
        <f t="shared" si="36"/>
        <v>1.8576827947124417</v>
      </c>
      <c r="AG52" s="150">
        <f t="shared" si="36"/>
        <v>1.8298175527917551</v>
      </c>
      <c r="AH52" s="150">
        <f t="shared" si="36"/>
        <v>1.8023702894998788</v>
      </c>
      <c r="AI52" s="150">
        <f t="shared" si="36"/>
        <v>1.7753347351573805</v>
      </c>
      <c r="AJ52" s="150">
        <f t="shared" si="36"/>
        <v>1.7487047141300198</v>
      </c>
      <c r="AK52" s="150">
        <f t="shared" si="36"/>
        <v>1.7224741434180695</v>
      </c>
      <c r="AL52" s="150">
        <f t="shared" si="36"/>
        <v>1.6966370312667982</v>
      </c>
      <c r="AM52" s="150">
        <f t="shared" si="36"/>
        <v>1.6711874757977963</v>
      </c>
      <c r="AN52" s="150">
        <f t="shared" si="36"/>
        <v>1.6711874757977963</v>
      </c>
      <c r="AO52" s="149" t="s">
        <v>299</v>
      </c>
    </row>
    <row r="53" spans="1:41" x14ac:dyDescent="0.25">
      <c r="A53" s="148"/>
      <c r="B53" s="117" t="s">
        <v>283</v>
      </c>
      <c r="C53" s="149"/>
      <c r="D53" s="149"/>
      <c r="E53" s="149"/>
      <c r="F53" s="150">
        <f t="shared" si="35"/>
        <v>1.9756657470525787</v>
      </c>
      <c r="G53" s="150">
        <f t="shared" si="35"/>
        <v>1.8735754548308308</v>
      </c>
      <c r="H53" s="150">
        <f t="shared" si="35"/>
        <v>2.1674696438239023</v>
      </c>
      <c r="I53" s="150">
        <f t="shared" ref="I53:AN53" si="37">I29</f>
        <v>1.4449797625492682</v>
      </c>
      <c r="J53" s="150">
        <f t="shared" si="37"/>
        <v>1.687229762549268</v>
      </c>
      <c r="K53" s="150">
        <f t="shared" si="37"/>
        <v>1.9294797625492677</v>
      </c>
      <c r="L53" s="150">
        <f t="shared" si="37"/>
        <v>2.1717297625492678</v>
      </c>
      <c r="M53" s="150">
        <f t="shared" si="37"/>
        <v>2.4139797625492676</v>
      </c>
      <c r="N53" s="150">
        <f t="shared" si="37"/>
        <v>2.6562297625492675</v>
      </c>
      <c r="O53" s="150">
        <f t="shared" si="37"/>
        <v>1.9379999999999999</v>
      </c>
      <c r="P53" s="150">
        <f t="shared" si="37"/>
        <v>2.0187499999999998</v>
      </c>
      <c r="Q53" s="150">
        <f t="shared" si="37"/>
        <v>2.0994999999999999</v>
      </c>
      <c r="R53" s="150">
        <f t="shared" si="37"/>
        <v>2.18025</v>
      </c>
      <c r="S53" s="150">
        <f t="shared" si="37"/>
        <v>2.2609999999999997</v>
      </c>
      <c r="T53" s="150">
        <f t="shared" si="37"/>
        <v>2.2270849999999998</v>
      </c>
      <c r="U53" s="150">
        <f t="shared" si="37"/>
        <v>2.1936787249999998</v>
      </c>
      <c r="V53" s="150">
        <f t="shared" si="37"/>
        <v>2.160773544125</v>
      </c>
      <c r="W53" s="150">
        <f t="shared" si="37"/>
        <v>2.1283619409631251</v>
      </c>
      <c r="X53" s="150">
        <f t="shared" si="37"/>
        <v>2.0964365118486779</v>
      </c>
      <c r="Y53" s="150">
        <f t="shared" si="37"/>
        <v>2.0649899641709477</v>
      </c>
      <c r="Z53" s="150">
        <f t="shared" si="37"/>
        <v>2.0340151147083834</v>
      </c>
      <c r="AA53" s="150">
        <f t="shared" si="37"/>
        <v>2.0035048879877579</v>
      </c>
      <c r="AB53" s="150">
        <f t="shared" si="37"/>
        <v>1.9734523146679412</v>
      </c>
      <c r="AC53" s="150">
        <f t="shared" si="37"/>
        <v>1.9438505299479221</v>
      </c>
      <c r="AD53" s="150">
        <f t="shared" si="37"/>
        <v>1.914692771998703</v>
      </c>
      <c r="AE53" s="150">
        <f t="shared" si="37"/>
        <v>1.8859723804187225</v>
      </c>
      <c r="AF53" s="150">
        <f t="shared" si="37"/>
        <v>1.8576827947124417</v>
      </c>
      <c r="AG53" s="150">
        <f t="shared" si="37"/>
        <v>1.8298175527917551</v>
      </c>
      <c r="AH53" s="150">
        <f t="shared" si="37"/>
        <v>1.8023702894998788</v>
      </c>
      <c r="AI53" s="150">
        <f t="shared" si="37"/>
        <v>1.7753347351573805</v>
      </c>
      <c r="AJ53" s="150">
        <f t="shared" si="37"/>
        <v>1.7487047141300198</v>
      </c>
      <c r="AK53" s="150">
        <f t="shared" si="37"/>
        <v>1.7224741434180695</v>
      </c>
      <c r="AL53" s="150">
        <f t="shared" si="37"/>
        <v>1.6966370312667982</v>
      </c>
      <c r="AM53" s="150">
        <f t="shared" si="37"/>
        <v>1.6711874757977963</v>
      </c>
      <c r="AN53" s="150">
        <f t="shared" si="37"/>
        <v>1.6711874757977963</v>
      </c>
      <c r="AO53" s="149" t="s">
        <v>173</v>
      </c>
    </row>
    <row r="54" spans="1:41" x14ac:dyDescent="0.25">
      <c r="A54" s="148"/>
      <c r="B54" s="117" t="s">
        <v>284</v>
      </c>
      <c r="C54" s="149"/>
      <c r="D54" s="149"/>
      <c r="E54" s="149"/>
      <c r="F54" s="150">
        <f>F27</f>
        <v>2.6411531565860789</v>
      </c>
      <c r="G54" s="150">
        <f>G27</f>
        <v>2.5046745554054266</v>
      </c>
      <c r="H54" s="150">
        <f>H27</f>
        <v>2.8975646817435328</v>
      </c>
      <c r="I54" s="150">
        <f t="shared" ref="I54:AN54" si="38">I27</f>
        <v>1.9317097878290217</v>
      </c>
      <c r="J54" s="150">
        <f t="shared" si="38"/>
        <v>2.2555597878290214</v>
      </c>
      <c r="K54" s="150">
        <f t="shared" si="38"/>
        <v>2.5794097878290212</v>
      </c>
      <c r="L54" s="150">
        <f t="shared" si="38"/>
        <v>2.9032597878290209</v>
      </c>
      <c r="M54" s="150">
        <f t="shared" si="38"/>
        <v>3.2271097878290207</v>
      </c>
      <c r="N54" s="150">
        <f t="shared" si="38"/>
        <v>3.5509597878290209</v>
      </c>
      <c r="O54" s="150">
        <f t="shared" si="38"/>
        <v>2.5908000000000002</v>
      </c>
      <c r="P54" s="150">
        <f t="shared" si="38"/>
        <v>2.69875</v>
      </c>
      <c r="Q54" s="150">
        <f t="shared" si="38"/>
        <v>2.8067000000000002</v>
      </c>
      <c r="R54" s="150">
        <f t="shared" si="38"/>
        <v>2.91465</v>
      </c>
      <c r="S54" s="150">
        <f t="shared" si="38"/>
        <v>3.0225999999999997</v>
      </c>
      <c r="T54" s="150">
        <f t="shared" si="38"/>
        <v>2.9772609999999999</v>
      </c>
      <c r="U54" s="150">
        <f t="shared" si="38"/>
        <v>2.9326020850000001</v>
      </c>
      <c r="V54" s="150">
        <f t="shared" si="38"/>
        <v>2.8886130537249999</v>
      </c>
      <c r="W54" s="150">
        <f t="shared" si="38"/>
        <v>2.8452838579191253</v>
      </c>
      <c r="X54" s="150">
        <f t="shared" si="38"/>
        <v>2.802604600050338</v>
      </c>
      <c r="Y54" s="150">
        <f t="shared" si="38"/>
        <v>2.7605655310495831</v>
      </c>
      <c r="Z54" s="150">
        <f t="shared" si="38"/>
        <v>2.7191570480838392</v>
      </c>
      <c r="AA54" s="150">
        <f t="shared" si="38"/>
        <v>2.6783696923625815</v>
      </c>
      <c r="AB54" s="150">
        <f t="shared" si="38"/>
        <v>2.6381941469771428</v>
      </c>
      <c r="AC54" s="150">
        <f t="shared" si="38"/>
        <v>2.5986212347724855</v>
      </c>
      <c r="AD54" s="150">
        <f t="shared" si="38"/>
        <v>2.5596419162508979</v>
      </c>
      <c r="AE54" s="150">
        <f t="shared" si="38"/>
        <v>2.5212472875071348</v>
      </c>
      <c r="AF54" s="150">
        <f t="shared" si="38"/>
        <v>2.4834285781945278</v>
      </c>
      <c r="AG54" s="150">
        <f t="shared" si="38"/>
        <v>2.4461771495216094</v>
      </c>
      <c r="AH54" s="150">
        <f t="shared" si="38"/>
        <v>2.4094844922787853</v>
      </c>
      <c r="AI54" s="150">
        <f t="shared" si="38"/>
        <v>2.3733422248946034</v>
      </c>
      <c r="AJ54" s="150">
        <f t="shared" si="38"/>
        <v>2.3377420915211844</v>
      </c>
      <c r="AK54" s="150">
        <f t="shared" si="38"/>
        <v>2.3026759601483668</v>
      </c>
      <c r="AL54" s="150">
        <f t="shared" si="38"/>
        <v>2.2681358207461408</v>
      </c>
      <c r="AM54" s="150">
        <f t="shared" si="38"/>
        <v>2.2341137834349487</v>
      </c>
      <c r="AN54" s="150">
        <f t="shared" si="38"/>
        <v>2.2341137834349487</v>
      </c>
      <c r="AO54" s="149" t="s">
        <v>300</v>
      </c>
    </row>
    <row r="55" spans="1:41" x14ac:dyDescent="0.25">
      <c r="A55" s="148"/>
      <c r="B55" s="117" t="s">
        <v>321</v>
      </c>
      <c r="C55" s="149"/>
      <c r="D55" s="149"/>
      <c r="E55" s="149"/>
      <c r="F55" s="150">
        <f>F54</f>
        <v>2.6411531565860789</v>
      </c>
      <c r="G55" s="150">
        <f>G54</f>
        <v>2.5046745554054266</v>
      </c>
      <c r="H55" s="150">
        <f t="shared" ref="H55:AN55" si="39">H54</f>
        <v>2.8975646817435328</v>
      </c>
      <c r="I55" s="150">
        <f t="shared" si="39"/>
        <v>1.9317097878290217</v>
      </c>
      <c r="J55" s="150">
        <f t="shared" si="39"/>
        <v>2.2555597878290214</v>
      </c>
      <c r="K55" s="150">
        <f t="shared" si="39"/>
        <v>2.5794097878290212</v>
      </c>
      <c r="L55" s="150">
        <f t="shared" si="39"/>
        <v>2.9032597878290209</v>
      </c>
      <c r="M55" s="150">
        <f t="shared" si="39"/>
        <v>3.2271097878290207</v>
      </c>
      <c r="N55" s="150">
        <f t="shared" si="39"/>
        <v>3.5509597878290209</v>
      </c>
      <c r="O55" s="150">
        <f t="shared" si="39"/>
        <v>2.5908000000000002</v>
      </c>
      <c r="P55" s="150">
        <f t="shared" si="39"/>
        <v>2.69875</v>
      </c>
      <c r="Q55" s="150">
        <f t="shared" si="39"/>
        <v>2.8067000000000002</v>
      </c>
      <c r="R55" s="150">
        <f t="shared" si="39"/>
        <v>2.91465</v>
      </c>
      <c r="S55" s="150">
        <f t="shared" si="39"/>
        <v>3.0225999999999997</v>
      </c>
      <c r="T55" s="150">
        <f t="shared" si="39"/>
        <v>2.9772609999999999</v>
      </c>
      <c r="U55" s="150">
        <f t="shared" si="39"/>
        <v>2.9326020850000001</v>
      </c>
      <c r="V55" s="150">
        <f t="shared" si="39"/>
        <v>2.8886130537249999</v>
      </c>
      <c r="W55" s="150">
        <f t="shared" si="39"/>
        <v>2.8452838579191253</v>
      </c>
      <c r="X55" s="150">
        <f t="shared" si="39"/>
        <v>2.802604600050338</v>
      </c>
      <c r="Y55" s="150">
        <f t="shared" si="39"/>
        <v>2.7605655310495831</v>
      </c>
      <c r="Z55" s="150">
        <f t="shared" si="39"/>
        <v>2.7191570480838392</v>
      </c>
      <c r="AA55" s="150">
        <f t="shared" si="39"/>
        <v>2.6783696923625815</v>
      </c>
      <c r="AB55" s="150">
        <f t="shared" si="39"/>
        <v>2.6381941469771428</v>
      </c>
      <c r="AC55" s="150">
        <f t="shared" si="39"/>
        <v>2.5986212347724855</v>
      </c>
      <c r="AD55" s="150">
        <f t="shared" si="39"/>
        <v>2.5596419162508979</v>
      </c>
      <c r="AE55" s="150">
        <f t="shared" si="39"/>
        <v>2.5212472875071348</v>
      </c>
      <c r="AF55" s="150">
        <f t="shared" si="39"/>
        <v>2.4834285781945278</v>
      </c>
      <c r="AG55" s="150">
        <f t="shared" si="39"/>
        <v>2.4461771495216094</v>
      </c>
      <c r="AH55" s="150">
        <f t="shared" si="39"/>
        <v>2.4094844922787853</v>
      </c>
      <c r="AI55" s="150">
        <f t="shared" si="39"/>
        <v>2.3733422248946034</v>
      </c>
      <c r="AJ55" s="150">
        <f t="shared" si="39"/>
        <v>2.3377420915211844</v>
      </c>
      <c r="AK55" s="150">
        <f t="shared" si="39"/>
        <v>2.3026759601483668</v>
      </c>
      <c r="AL55" s="150">
        <f t="shared" si="39"/>
        <v>2.2681358207461408</v>
      </c>
      <c r="AM55" s="150">
        <f t="shared" si="39"/>
        <v>2.2341137834349487</v>
      </c>
      <c r="AN55" s="150">
        <f t="shared" si="39"/>
        <v>2.2341137834349487</v>
      </c>
      <c r="AO55" s="149" t="s">
        <v>320</v>
      </c>
    </row>
    <row r="56" spans="1:41" x14ac:dyDescent="0.25">
      <c r="A56" s="148"/>
      <c r="B56" s="117" t="s">
        <v>259</v>
      </c>
      <c r="C56" s="149"/>
      <c r="D56" s="149"/>
      <c r="E56" s="149"/>
      <c r="F56" s="150">
        <f>F5</f>
        <v>8.7037233085960022</v>
      </c>
      <c r="G56" s="150">
        <f>G5</f>
        <v>11.111111111111111</v>
      </c>
      <c r="H56" s="150">
        <f t="shared" ref="H56:AN56" si="40">H5</f>
        <v>11.696623093681916</v>
      </c>
      <c r="I56" s="150">
        <f t="shared" si="40"/>
        <v>7.7977487291212775</v>
      </c>
      <c r="J56" s="150">
        <f t="shared" si="40"/>
        <v>8.5477487291212775</v>
      </c>
      <c r="K56" s="150">
        <f t="shared" si="40"/>
        <v>9.2977487291212775</v>
      </c>
      <c r="L56" s="150">
        <f t="shared" si="40"/>
        <v>10.047748729121277</v>
      </c>
      <c r="M56" s="150">
        <f t="shared" si="40"/>
        <v>10.797748729121277</v>
      </c>
      <c r="N56" s="150">
        <f t="shared" si="40"/>
        <v>11.547748729121277</v>
      </c>
      <c r="O56" s="150">
        <f t="shared" si="40"/>
        <v>12.867647058823527</v>
      </c>
      <c r="P56" s="150">
        <f t="shared" si="40"/>
        <v>13.453159041394333</v>
      </c>
      <c r="Q56" s="150">
        <f t="shared" si="40"/>
        <v>14.038671023965138</v>
      </c>
      <c r="R56" s="150">
        <f t="shared" si="40"/>
        <v>14.624183006535944</v>
      </c>
      <c r="S56" s="150">
        <f t="shared" si="40"/>
        <v>15.209694989106749</v>
      </c>
      <c r="T56" s="150">
        <f t="shared" si="40"/>
        <v>14.449210239651411</v>
      </c>
      <c r="U56" s="150">
        <f t="shared" si="40"/>
        <v>13.726749727668839</v>
      </c>
      <c r="V56" s="150">
        <f t="shared" si="40"/>
        <v>13.040412241285397</v>
      </c>
      <c r="W56" s="150">
        <f t="shared" si="40"/>
        <v>12.388391629221127</v>
      </c>
      <c r="X56" s="150">
        <f t="shared" si="40"/>
        <v>11.768972047760069</v>
      </c>
      <c r="Y56" s="150">
        <f t="shared" si="40"/>
        <v>11.180523445372065</v>
      </c>
      <c r="Z56" s="150">
        <f t="shared" si="40"/>
        <v>10.621497273103461</v>
      </c>
      <c r="AA56" s="150">
        <f t="shared" si="40"/>
        <v>10.090422409448287</v>
      </c>
      <c r="AB56" s="150">
        <f t="shared" si="40"/>
        <v>9.5859012889758723</v>
      </c>
      <c r="AC56" s="150">
        <f t="shared" si="40"/>
        <v>9.1066062245270789</v>
      </c>
      <c r="AD56" s="150">
        <f t="shared" si="40"/>
        <v>8.651275913300724</v>
      </c>
      <c r="AE56" s="150">
        <f t="shared" si="40"/>
        <v>8.2187121176356879</v>
      </c>
      <c r="AF56" s="150">
        <f t="shared" si="40"/>
        <v>7.8077765117539029</v>
      </c>
      <c r="AG56" s="150">
        <f t="shared" si="40"/>
        <v>7.4173876861662071</v>
      </c>
      <c r="AH56" s="150">
        <f t="shared" si="40"/>
        <v>7.0465183018578967</v>
      </c>
      <c r="AI56" s="150">
        <f t="shared" si="40"/>
        <v>6.6941923867650015</v>
      </c>
      <c r="AJ56" s="150">
        <f t="shared" si="40"/>
        <v>6.3594827674267513</v>
      </c>
      <c r="AK56" s="150">
        <f t="shared" si="40"/>
        <v>6.0415086290554134</v>
      </c>
      <c r="AL56" s="150">
        <f t="shared" si="40"/>
        <v>5.7394331976026427</v>
      </c>
      <c r="AM56" s="150">
        <f t="shared" si="40"/>
        <v>5.4524615377225105</v>
      </c>
      <c r="AN56" s="150">
        <f t="shared" si="40"/>
        <v>5.4524615377225105</v>
      </c>
      <c r="AO56" s="149" t="s">
        <v>178</v>
      </c>
    </row>
    <row r="57" spans="1:41" x14ac:dyDescent="0.25">
      <c r="A57" s="148"/>
      <c r="B57" s="117" t="s">
        <v>159</v>
      </c>
      <c r="C57" s="149"/>
      <c r="D57" s="149"/>
      <c r="E57" s="149"/>
      <c r="F57" s="150">
        <f>F32</f>
        <v>11.042144775479029</v>
      </c>
      <c r="G57" s="150">
        <f>G32</f>
        <v>14.09632328088262</v>
      </c>
      <c r="H57" s="150">
        <f t="shared" ref="H57:AN57" si="41">H32</f>
        <v>14.839144238085995</v>
      </c>
      <c r="I57" s="150">
        <f t="shared" si="41"/>
        <v>9.8927628253906619</v>
      </c>
      <c r="J57" s="150">
        <f t="shared" si="41"/>
        <v>10.84426464685024</v>
      </c>
      <c r="K57" s="150">
        <f t="shared" si="41"/>
        <v>11.795766468309816</v>
      </c>
      <c r="L57" s="150">
        <f t="shared" si="41"/>
        <v>12.747268289769393</v>
      </c>
      <c r="M57" s="150">
        <f t="shared" si="41"/>
        <v>13.698770111228971</v>
      </c>
      <c r="N57" s="150">
        <f t="shared" si="41"/>
        <v>14.650271932688547</v>
      </c>
      <c r="O57" s="150">
        <f t="shared" si="41"/>
        <v>16.324786152492738</v>
      </c>
      <c r="P57" s="150">
        <f t="shared" si="41"/>
        <v>17.067607109696112</v>
      </c>
      <c r="Q57" s="150">
        <f t="shared" si="41"/>
        <v>17.810428066899483</v>
      </c>
      <c r="R57" s="150">
        <f t="shared" si="41"/>
        <v>18.553249024102858</v>
      </c>
      <c r="S57" s="150">
        <f t="shared" si="41"/>
        <v>19.296069981306228</v>
      </c>
      <c r="T57" s="150">
        <f t="shared" si="41"/>
        <v>18.331266482240917</v>
      </c>
      <c r="U57" s="150">
        <f t="shared" si="41"/>
        <v>17.414703158128869</v>
      </c>
      <c r="V57" s="150">
        <f t="shared" si="41"/>
        <v>16.543968000222424</v>
      </c>
      <c r="W57" s="150">
        <f t="shared" si="41"/>
        <v>15.716769600211304</v>
      </c>
      <c r="X57" s="150">
        <f t="shared" si="41"/>
        <v>14.930931120200738</v>
      </c>
      <c r="Y57" s="150">
        <f t="shared" si="41"/>
        <v>14.184384564190701</v>
      </c>
      <c r="Z57" s="150">
        <f t="shared" si="41"/>
        <v>13.475165335981165</v>
      </c>
      <c r="AA57" s="150">
        <f t="shared" si="41"/>
        <v>12.801407069182105</v>
      </c>
      <c r="AB57" s="150">
        <f t="shared" si="41"/>
        <v>12.161336715722999</v>
      </c>
      <c r="AC57" s="150">
        <f t="shared" si="41"/>
        <v>11.553269879936849</v>
      </c>
      <c r="AD57" s="150">
        <f t="shared" si="41"/>
        <v>10.975606385940006</v>
      </c>
      <c r="AE57" s="150">
        <f t="shared" si="41"/>
        <v>10.426826066643006</v>
      </c>
      <c r="AF57" s="150">
        <f t="shared" si="41"/>
        <v>9.905484763310854</v>
      </c>
      <c r="AG57" s="150">
        <f t="shared" si="41"/>
        <v>9.4102105251453114</v>
      </c>
      <c r="AH57" s="150">
        <f t="shared" si="41"/>
        <v>8.9396999988880452</v>
      </c>
      <c r="AI57" s="150">
        <f t="shared" si="41"/>
        <v>8.4927149989436419</v>
      </c>
      <c r="AJ57" s="150">
        <f t="shared" si="41"/>
        <v>8.0680792489964599</v>
      </c>
      <c r="AK57" s="150">
        <f t="shared" si="41"/>
        <v>7.664675286546637</v>
      </c>
      <c r="AL57" s="150">
        <f t="shared" si="41"/>
        <v>7.2814415222193052</v>
      </c>
      <c r="AM57" s="150">
        <f t="shared" si="41"/>
        <v>6.9173694461083395</v>
      </c>
      <c r="AN57" s="150">
        <f t="shared" si="41"/>
        <v>6.9173694461083395</v>
      </c>
      <c r="AO57" s="149" t="s">
        <v>179</v>
      </c>
    </row>
    <row r="58" spans="1:41" x14ac:dyDescent="0.25">
      <c r="A58" s="148"/>
      <c r="B58" s="117" t="s">
        <v>160</v>
      </c>
      <c r="C58" s="149"/>
      <c r="D58" s="149"/>
      <c r="E58" s="149"/>
      <c r="F58" s="150">
        <f>F34</f>
        <v>12.277555475311368</v>
      </c>
      <c r="G58" s="150">
        <f>G34</f>
        <v>15.67343977080318</v>
      </c>
      <c r="H58" s="150">
        <f t="shared" ref="H58:AN58" si="42">H34</f>
        <v>16.499368582254817</v>
      </c>
      <c r="I58" s="150">
        <f t="shared" si="42"/>
        <v>10.999579054836545</v>
      </c>
      <c r="J58" s="150">
        <f t="shared" si="42"/>
        <v>12.057536239365758</v>
      </c>
      <c r="K58" s="150">
        <f t="shared" si="42"/>
        <v>13.115493423894973</v>
      </c>
      <c r="L58" s="150">
        <f t="shared" si="42"/>
        <v>14.173450608424188</v>
      </c>
      <c r="M58" s="150">
        <f t="shared" si="42"/>
        <v>15.231407792953403</v>
      </c>
      <c r="N58" s="150">
        <f t="shared" si="42"/>
        <v>16.289364977482617</v>
      </c>
      <c r="O58" s="150">
        <f t="shared" si="42"/>
        <v>18.151226205158089</v>
      </c>
      <c r="P58" s="150">
        <f t="shared" si="42"/>
        <v>18.977155016609728</v>
      </c>
      <c r="Q58" s="150">
        <f t="shared" si="42"/>
        <v>19.803083828061364</v>
      </c>
      <c r="R58" s="150">
        <f t="shared" si="42"/>
        <v>20.629012639513004</v>
      </c>
      <c r="S58" s="150">
        <f t="shared" si="42"/>
        <v>21.45494145096464</v>
      </c>
      <c r="T58" s="150">
        <f t="shared" si="42"/>
        <v>20.382194378416408</v>
      </c>
      <c r="U58" s="150">
        <f t="shared" si="42"/>
        <v>19.363084659495584</v>
      </c>
      <c r="V58" s="150">
        <f t="shared" si="42"/>
        <v>18.394930426520805</v>
      </c>
      <c r="W58" s="150">
        <f t="shared" si="42"/>
        <v>17.475183905194765</v>
      </c>
      <c r="X58" s="150">
        <f t="shared" si="42"/>
        <v>16.601424709935024</v>
      </c>
      <c r="Y58" s="150">
        <f t="shared" si="42"/>
        <v>15.771353474438273</v>
      </c>
      <c r="Z58" s="150">
        <f t="shared" si="42"/>
        <v>14.982785800716359</v>
      </c>
      <c r="AA58" s="150">
        <f t="shared" si="42"/>
        <v>14.233646510680538</v>
      </c>
      <c r="AB58" s="150">
        <f t="shared" si="42"/>
        <v>13.52196418514651</v>
      </c>
      <c r="AC58" s="150">
        <f t="shared" si="42"/>
        <v>12.845865975889186</v>
      </c>
      <c r="AD58" s="150">
        <f t="shared" si="42"/>
        <v>12.203572677094725</v>
      </c>
      <c r="AE58" s="150">
        <f t="shared" si="42"/>
        <v>11.593394043239989</v>
      </c>
      <c r="AF58" s="150">
        <f t="shared" si="42"/>
        <v>11.013724341077989</v>
      </c>
      <c r="AG58" s="150">
        <f t="shared" si="42"/>
        <v>10.463038124024088</v>
      </c>
      <c r="AH58" s="150">
        <f t="shared" si="42"/>
        <v>9.9398862178228846</v>
      </c>
      <c r="AI58" s="150">
        <f t="shared" si="42"/>
        <v>9.4428919069317399</v>
      </c>
      <c r="AJ58" s="150">
        <f t="shared" si="42"/>
        <v>8.9707473115851517</v>
      </c>
      <c r="AK58" s="150">
        <f t="shared" si="42"/>
        <v>8.5222099460058942</v>
      </c>
      <c r="AL58" s="150">
        <f t="shared" si="42"/>
        <v>8.0960994487055995</v>
      </c>
      <c r="AM58" s="150">
        <f t="shared" si="42"/>
        <v>7.6912944762703193</v>
      </c>
      <c r="AN58" s="150">
        <f t="shared" si="42"/>
        <v>7.6912944762703193</v>
      </c>
      <c r="AO58" s="149" t="s">
        <v>180</v>
      </c>
    </row>
    <row r="59" spans="1:41" x14ac:dyDescent="0.25">
      <c r="A59" s="148"/>
      <c r="B59" s="117" t="s">
        <v>161</v>
      </c>
      <c r="C59" s="149"/>
      <c r="D59" s="149"/>
      <c r="E59" s="149"/>
      <c r="F59" s="150">
        <f>F33</f>
        <v>9.8787259552564617</v>
      </c>
      <c r="G59" s="150">
        <f>G33</f>
        <v>12.611111111111111</v>
      </c>
      <c r="H59" s="150">
        <f t="shared" ref="H59:AN59" si="43">H33</f>
        <v>13.275667211328974</v>
      </c>
      <c r="I59" s="150">
        <f t="shared" si="43"/>
        <v>8.8504448075526501</v>
      </c>
      <c r="J59" s="150">
        <f t="shared" si="43"/>
        <v>9.7016948075526503</v>
      </c>
      <c r="K59" s="150">
        <f t="shared" si="43"/>
        <v>10.552944807552651</v>
      </c>
      <c r="L59" s="150">
        <f t="shared" si="43"/>
        <v>11.404194807552649</v>
      </c>
      <c r="M59" s="150">
        <f t="shared" si="43"/>
        <v>12.255444807552649</v>
      </c>
      <c r="N59" s="150">
        <f t="shared" si="43"/>
        <v>13.10669480755265</v>
      </c>
      <c r="O59" s="150">
        <f t="shared" si="43"/>
        <v>14.604779411764703</v>
      </c>
      <c r="P59" s="150">
        <f t="shared" si="43"/>
        <v>15.269335511982568</v>
      </c>
      <c r="Q59" s="150">
        <f t="shared" si="43"/>
        <v>15.933891612200432</v>
      </c>
      <c r="R59" s="150">
        <f t="shared" si="43"/>
        <v>16.598447712418295</v>
      </c>
      <c r="S59" s="150">
        <f t="shared" si="43"/>
        <v>17.26300381263616</v>
      </c>
      <c r="T59" s="150">
        <f t="shared" si="43"/>
        <v>16.39985362200435</v>
      </c>
      <c r="U59" s="150">
        <f t="shared" si="43"/>
        <v>15.579860940904132</v>
      </c>
      <c r="V59" s="150">
        <f t="shared" si="43"/>
        <v>14.800867893858925</v>
      </c>
      <c r="W59" s="150">
        <f t="shared" si="43"/>
        <v>14.06082449916598</v>
      </c>
      <c r="X59" s="150">
        <f t="shared" si="43"/>
        <v>13.357783274207678</v>
      </c>
      <c r="Y59" s="150">
        <f t="shared" si="43"/>
        <v>12.689894110497294</v>
      </c>
      <c r="Z59" s="150">
        <f t="shared" si="43"/>
        <v>12.055399404972428</v>
      </c>
      <c r="AA59" s="150">
        <f t="shared" si="43"/>
        <v>11.452629434723805</v>
      </c>
      <c r="AB59" s="150">
        <f t="shared" si="43"/>
        <v>10.879997962987614</v>
      </c>
      <c r="AC59" s="150">
        <f t="shared" si="43"/>
        <v>10.335998064838234</v>
      </c>
      <c r="AD59" s="150">
        <f t="shared" si="43"/>
        <v>9.8191981615963222</v>
      </c>
      <c r="AE59" s="150">
        <f t="shared" si="43"/>
        <v>9.3282382535165063</v>
      </c>
      <c r="AF59" s="150">
        <f t="shared" si="43"/>
        <v>8.861826340840679</v>
      </c>
      <c r="AG59" s="150">
        <f t="shared" si="43"/>
        <v>8.4187350237986447</v>
      </c>
      <c r="AH59" s="150">
        <f t="shared" si="43"/>
        <v>7.9977982726087129</v>
      </c>
      <c r="AI59" s="150">
        <f t="shared" si="43"/>
        <v>7.5979083589782768</v>
      </c>
      <c r="AJ59" s="150">
        <f t="shared" si="43"/>
        <v>7.2180129410293628</v>
      </c>
      <c r="AK59" s="150">
        <f t="shared" si="43"/>
        <v>6.8571122939778943</v>
      </c>
      <c r="AL59" s="150">
        <f t="shared" si="43"/>
        <v>6.5142566792789998</v>
      </c>
      <c r="AM59" s="150">
        <f t="shared" si="43"/>
        <v>6.1885438453150492</v>
      </c>
      <c r="AN59" s="150">
        <f t="shared" si="43"/>
        <v>6.1885438453150492</v>
      </c>
      <c r="AO59" s="149" t="s">
        <v>181</v>
      </c>
    </row>
    <row r="60" spans="1:41" x14ac:dyDescent="0.25">
      <c r="A60" s="148"/>
      <c r="B60" s="117" t="s">
        <v>261</v>
      </c>
      <c r="C60" s="149"/>
      <c r="D60" s="149"/>
      <c r="E60" s="149"/>
      <c r="F60" s="150">
        <f>F31</f>
        <v>6.1474397728613566</v>
      </c>
      <c r="G60" s="150">
        <f>G31</f>
        <v>7.847777777777778</v>
      </c>
      <c r="H60" s="150">
        <f t="shared" ref="H60:AN60" si="44">H31</f>
        <v>8.2613248910675381</v>
      </c>
      <c r="I60" s="150">
        <f t="shared" si="44"/>
        <v>5.507549927378359</v>
      </c>
      <c r="J60" s="150">
        <f t="shared" si="44"/>
        <v>6.037274927378359</v>
      </c>
      <c r="K60" s="150">
        <f t="shared" si="44"/>
        <v>6.566999927378359</v>
      </c>
      <c r="L60" s="150">
        <f t="shared" si="44"/>
        <v>7.096724927378359</v>
      </c>
      <c r="M60" s="150">
        <f t="shared" si="44"/>
        <v>7.626449927378359</v>
      </c>
      <c r="N60" s="150">
        <f t="shared" si="44"/>
        <v>8.156174927378359</v>
      </c>
      <c r="O60" s="150">
        <f t="shared" si="44"/>
        <v>9.0884191176470583</v>
      </c>
      <c r="P60" s="150">
        <f t="shared" si="44"/>
        <v>9.5019662309368176</v>
      </c>
      <c r="Q60" s="150">
        <f t="shared" si="44"/>
        <v>9.9155133442265768</v>
      </c>
      <c r="R60" s="150">
        <f t="shared" si="44"/>
        <v>10.329060457516338</v>
      </c>
      <c r="S60" s="150">
        <f t="shared" si="44"/>
        <v>10.742607570806097</v>
      </c>
      <c r="T60" s="150">
        <f t="shared" si="44"/>
        <v>10.205477192265793</v>
      </c>
      <c r="U60" s="150">
        <f t="shared" si="44"/>
        <v>9.6952033326525022</v>
      </c>
      <c r="V60" s="150">
        <f t="shared" si="44"/>
        <v>9.2104431660198767</v>
      </c>
      <c r="W60" s="150">
        <f t="shared" si="44"/>
        <v>8.749921007718882</v>
      </c>
      <c r="X60" s="150">
        <f t="shared" si="44"/>
        <v>8.3124249573329383</v>
      </c>
      <c r="Y60" s="150">
        <f t="shared" si="44"/>
        <v>7.8968037094662904</v>
      </c>
      <c r="Z60" s="150">
        <f t="shared" si="44"/>
        <v>7.5019635239929752</v>
      </c>
      <c r="AA60" s="150">
        <f t="shared" si="44"/>
        <v>7.1268653477933253</v>
      </c>
      <c r="AB60" s="150">
        <f t="shared" si="44"/>
        <v>6.7705220804036594</v>
      </c>
      <c r="AC60" s="150">
        <f t="shared" si="44"/>
        <v>6.431995976383476</v>
      </c>
      <c r="AD60" s="150">
        <f t="shared" si="44"/>
        <v>6.1103961775643016</v>
      </c>
      <c r="AE60" s="150">
        <f t="shared" si="44"/>
        <v>5.8048763686860863</v>
      </c>
      <c r="AF60" s="150">
        <f t="shared" si="44"/>
        <v>5.5146325502517817</v>
      </c>
      <c r="AG60" s="150">
        <f t="shared" si="44"/>
        <v>5.2389009227391927</v>
      </c>
      <c r="AH60" s="150">
        <f t="shared" si="44"/>
        <v>4.9769558766022328</v>
      </c>
      <c r="AI60" s="150">
        <f t="shared" si="44"/>
        <v>4.7281080827721205</v>
      </c>
      <c r="AJ60" s="150">
        <f t="shared" si="44"/>
        <v>4.4917026786335148</v>
      </c>
      <c r="AK60" s="150">
        <f t="shared" si="44"/>
        <v>4.267117544701839</v>
      </c>
      <c r="AL60" s="150">
        <f t="shared" si="44"/>
        <v>4.0537616674667465</v>
      </c>
      <c r="AM60" s="150">
        <f t="shared" si="44"/>
        <v>3.8510735840934096</v>
      </c>
      <c r="AN60" s="150">
        <f t="shared" si="44"/>
        <v>3.8510735840934096</v>
      </c>
      <c r="AO60" s="149" t="s">
        <v>262</v>
      </c>
    </row>
    <row r="61" spans="1:41" x14ac:dyDescent="0.25">
      <c r="A61" s="148"/>
      <c r="B61" s="117" t="s">
        <v>162</v>
      </c>
      <c r="C61" s="149"/>
      <c r="D61" s="149"/>
      <c r="E61" s="149"/>
      <c r="F61" s="150">
        <f>F35</f>
        <v>11.941439484958661</v>
      </c>
      <c r="G61" s="150">
        <f>G35</f>
        <v>15.244356494299927</v>
      </c>
      <c r="H61" s="150">
        <f t="shared" ref="H61:AN61" si="45">H35</f>
        <v>16.047674299759358</v>
      </c>
      <c r="I61" s="150">
        <f t="shared" si="45"/>
        <v>10.698449533172907</v>
      </c>
      <c r="J61" s="150">
        <f t="shared" si="45"/>
        <v>11.727443596538151</v>
      </c>
      <c r="K61" s="150">
        <f t="shared" si="45"/>
        <v>12.756437659903396</v>
      </c>
      <c r="L61" s="150">
        <f t="shared" si="45"/>
        <v>13.785431723268641</v>
      </c>
      <c r="M61" s="150">
        <f t="shared" si="45"/>
        <v>14.814425786633887</v>
      </c>
      <c r="N61" s="150">
        <f t="shared" si="45"/>
        <v>15.843419849999131</v>
      </c>
      <c r="O61" s="150">
        <f t="shared" si="45"/>
        <v>17.654309910678222</v>
      </c>
      <c r="P61" s="150">
        <f t="shared" si="45"/>
        <v>18.457627716137655</v>
      </c>
      <c r="Q61" s="150">
        <f t="shared" si="45"/>
        <v>19.260945521597087</v>
      </c>
      <c r="R61" s="150">
        <f t="shared" si="45"/>
        <v>20.064263327056516</v>
      </c>
      <c r="S61" s="150">
        <f t="shared" si="45"/>
        <v>20.867581132515948</v>
      </c>
      <c r="T61" s="150">
        <f t="shared" si="45"/>
        <v>19.824202075890149</v>
      </c>
      <c r="U61" s="150">
        <f t="shared" si="45"/>
        <v>18.832991972095641</v>
      </c>
      <c r="V61" s="150">
        <f t="shared" si="45"/>
        <v>17.891342373490858</v>
      </c>
      <c r="W61" s="150">
        <f t="shared" si="45"/>
        <v>16.996775254816317</v>
      </c>
      <c r="X61" s="150">
        <f t="shared" si="45"/>
        <v>16.146936492075497</v>
      </c>
      <c r="Y61" s="150">
        <f t="shared" si="45"/>
        <v>15.339589667471722</v>
      </c>
      <c r="Z61" s="150">
        <f t="shared" si="45"/>
        <v>14.572610184098135</v>
      </c>
      <c r="AA61" s="150">
        <f t="shared" si="45"/>
        <v>13.843979674893227</v>
      </c>
      <c r="AB61" s="150">
        <f t="shared" si="45"/>
        <v>13.151780691148565</v>
      </c>
      <c r="AC61" s="150">
        <f t="shared" si="45"/>
        <v>12.494191656591138</v>
      </c>
      <c r="AD61" s="150">
        <f t="shared" si="45"/>
        <v>11.86948207376158</v>
      </c>
      <c r="AE61" s="150">
        <f t="shared" si="45"/>
        <v>11.276007970073501</v>
      </c>
      <c r="AF61" s="150">
        <f t="shared" si="45"/>
        <v>10.712207571569824</v>
      </c>
      <c r="AG61" s="150">
        <f t="shared" si="45"/>
        <v>10.176597192991332</v>
      </c>
      <c r="AH61" s="150">
        <f t="shared" si="45"/>
        <v>9.6677673333417662</v>
      </c>
      <c r="AI61" s="150">
        <f t="shared" si="45"/>
        <v>9.1843789666746769</v>
      </c>
      <c r="AJ61" s="150">
        <f t="shared" si="45"/>
        <v>8.7251600183409419</v>
      </c>
      <c r="AK61" s="150">
        <f t="shared" si="45"/>
        <v>8.2889020174238954</v>
      </c>
      <c r="AL61" s="150">
        <f t="shared" si="45"/>
        <v>7.8744569165526999</v>
      </c>
      <c r="AM61" s="150">
        <f t="shared" si="45"/>
        <v>7.4807340707250649</v>
      </c>
      <c r="AN61" s="150">
        <f t="shared" si="45"/>
        <v>7.4807340707250649</v>
      </c>
      <c r="AO61" s="149" t="s">
        <v>182</v>
      </c>
    </row>
    <row r="62" spans="1:41" x14ac:dyDescent="0.25">
      <c r="A62" s="148"/>
      <c r="B62" s="117" t="s">
        <v>163</v>
      </c>
      <c r="C62" s="149"/>
      <c r="D62" s="149"/>
      <c r="E62" s="149"/>
      <c r="F62" s="150">
        <f>F36</f>
        <v>6.1477529721910766</v>
      </c>
      <c r="G62" s="150">
        <f>G36</f>
        <v>7.8481776058087318</v>
      </c>
      <c r="H62" s="150">
        <f t="shared" ref="H62:AN62" si="46">H36</f>
        <v>8.2617457884677705</v>
      </c>
      <c r="I62" s="150">
        <f t="shared" si="46"/>
        <v>5.5078305256451801</v>
      </c>
      <c r="J62" s="150">
        <f t="shared" si="46"/>
        <v>6.0375825140372692</v>
      </c>
      <c r="K62" s="150">
        <f t="shared" si="46"/>
        <v>6.5673345024293592</v>
      </c>
      <c r="L62" s="150">
        <f t="shared" si="46"/>
        <v>7.0970864908214484</v>
      </c>
      <c r="M62" s="150">
        <f t="shared" si="46"/>
        <v>7.6268384792135375</v>
      </c>
      <c r="N62" s="150">
        <f t="shared" si="46"/>
        <v>8.1565904676056267</v>
      </c>
      <c r="O62" s="150">
        <f t="shared" si="46"/>
        <v>9.0888821537858462</v>
      </c>
      <c r="P62" s="150">
        <f t="shared" si="46"/>
        <v>9.502450336444884</v>
      </c>
      <c r="Q62" s="150">
        <f t="shared" si="46"/>
        <v>9.9160185191039218</v>
      </c>
      <c r="R62" s="150">
        <f t="shared" si="46"/>
        <v>10.329586701762961</v>
      </c>
      <c r="S62" s="150">
        <f t="shared" si="46"/>
        <v>10.743154884421999</v>
      </c>
      <c r="T62" s="150">
        <f t="shared" si="46"/>
        <v>10.205997140200898</v>
      </c>
      <c r="U62" s="150">
        <f t="shared" si="46"/>
        <v>9.695697283190853</v>
      </c>
      <c r="V62" s="150">
        <f t="shared" si="46"/>
        <v>9.2109124190313096</v>
      </c>
      <c r="W62" s="150">
        <f t="shared" si="46"/>
        <v>8.7503667980797442</v>
      </c>
      <c r="X62" s="150">
        <f t="shared" si="46"/>
        <v>8.3128484581757558</v>
      </c>
      <c r="Y62" s="150">
        <f t="shared" si="46"/>
        <v>7.8972060352669677</v>
      </c>
      <c r="Z62" s="150">
        <f t="shared" si="46"/>
        <v>7.5023457335036188</v>
      </c>
      <c r="AA62" s="150">
        <f t="shared" si="46"/>
        <v>7.127228446828437</v>
      </c>
      <c r="AB62" s="150">
        <f t="shared" si="46"/>
        <v>6.7708670244870151</v>
      </c>
      <c r="AC62" s="150">
        <f t="shared" si="46"/>
        <v>6.4323236732626645</v>
      </c>
      <c r="AD62" s="150">
        <f t="shared" si="46"/>
        <v>6.1107074895995304</v>
      </c>
      <c r="AE62" s="150">
        <f t="shared" si="46"/>
        <v>5.8051721151195546</v>
      </c>
      <c r="AF62" s="150">
        <f t="shared" si="46"/>
        <v>5.5149135093635762</v>
      </c>
      <c r="AG62" s="150">
        <f t="shared" si="46"/>
        <v>5.2391678338953964</v>
      </c>
      <c r="AH62" s="150">
        <f t="shared" si="46"/>
        <v>4.9772094422006266</v>
      </c>
      <c r="AI62" s="150">
        <f t="shared" si="46"/>
        <v>4.728348970090595</v>
      </c>
      <c r="AJ62" s="150">
        <f t="shared" si="46"/>
        <v>4.4919315215860651</v>
      </c>
      <c r="AK62" s="150">
        <f t="shared" si="46"/>
        <v>4.2673349455067617</v>
      </c>
      <c r="AL62" s="150">
        <f t="shared" si="46"/>
        <v>4.0539681982314235</v>
      </c>
      <c r="AM62" s="150">
        <f t="shared" si="46"/>
        <v>3.8512697883198528</v>
      </c>
      <c r="AN62" s="150">
        <f t="shared" si="46"/>
        <v>3.8512697883198528</v>
      </c>
      <c r="AO62" s="149" t="s">
        <v>183</v>
      </c>
    </row>
    <row r="63" spans="1:41" x14ac:dyDescent="0.25">
      <c r="A63" s="148"/>
      <c r="B63" s="117" t="s">
        <v>164</v>
      </c>
      <c r="C63" s="149"/>
      <c r="D63" s="149"/>
      <c r="E63" s="149"/>
      <c r="F63" s="150">
        <f>F36</f>
        <v>6.1477529721910766</v>
      </c>
      <c r="G63" s="150">
        <f>G36</f>
        <v>7.8481776058087318</v>
      </c>
      <c r="H63" s="150">
        <f t="shared" ref="H63:AN63" si="47">H36</f>
        <v>8.2617457884677705</v>
      </c>
      <c r="I63" s="150">
        <f t="shared" si="47"/>
        <v>5.5078305256451801</v>
      </c>
      <c r="J63" s="150">
        <f t="shared" si="47"/>
        <v>6.0375825140372692</v>
      </c>
      <c r="K63" s="150">
        <f t="shared" si="47"/>
        <v>6.5673345024293592</v>
      </c>
      <c r="L63" s="150">
        <f t="shared" si="47"/>
        <v>7.0970864908214484</v>
      </c>
      <c r="M63" s="150">
        <f t="shared" si="47"/>
        <v>7.6268384792135375</v>
      </c>
      <c r="N63" s="150">
        <f t="shared" si="47"/>
        <v>8.1565904676056267</v>
      </c>
      <c r="O63" s="150">
        <f t="shared" si="47"/>
        <v>9.0888821537858462</v>
      </c>
      <c r="P63" s="150">
        <f t="shared" si="47"/>
        <v>9.502450336444884</v>
      </c>
      <c r="Q63" s="150">
        <f t="shared" si="47"/>
        <v>9.9160185191039218</v>
      </c>
      <c r="R63" s="150">
        <f t="shared" si="47"/>
        <v>10.329586701762961</v>
      </c>
      <c r="S63" s="150">
        <f t="shared" si="47"/>
        <v>10.743154884421999</v>
      </c>
      <c r="T63" s="150">
        <f t="shared" si="47"/>
        <v>10.205997140200898</v>
      </c>
      <c r="U63" s="150">
        <f t="shared" si="47"/>
        <v>9.695697283190853</v>
      </c>
      <c r="V63" s="150">
        <f t="shared" si="47"/>
        <v>9.2109124190313096</v>
      </c>
      <c r="W63" s="150">
        <f t="shared" si="47"/>
        <v>8.7503667980797442</v>
      </c>
      <c r="X63" s="150">
        <f t="shared" si="47"/>
        <v>8.3128484581757558</v>
      </c>
      <c r="Y63" s="150">
        <f t="shared" si="47"/>
        <v>7.8972060352669677</v>
      </c>
      <c r="Z63" s="150">
        <f t="shared" si="47"/>
        <v>7.5023457335036188</v>
      </c>
      <c r="AA63" s="150">
        <f t="shared" si="47"/>
        <v>7.127228446828437</v>
      </c>
      <c r="AB63" s="150">
        <f t="shared" si="47"/>
        <v>6.7708670244870151</v>
      </c>
      <c r="AC63" s="150">
        <f t="shared" si="47"/>
        <v>6.4323236732626645</v>
      </c>
      <c r="AD63" s="150">
        <f t="shared" si="47"/>
        <v>6.1107074895995304</v>
      </c>
      <c r="AE63" s="150">
        <f t="shared" si="47"/>
        <v>5.8051721151195546</v>
      </c>
      <c r="AF63" s="150">
        <f t="shared" si="47"/>
        <v>5.5149135093635762</v>
      </c>
      <c r="AG63" s="150">
        <f t="shared" si="47"/>
        <v>5.2391678338953964</v>
      </c>
      <c r="AH63" s="150">
        <f t="shared" si="47"/>
        <v>4.9772094422006266</v>
      </c>
      <c r="AI63" s="150">
        <f t="shared" si="47"/>
        <v>4.728348970090595</v>
      </c>
      <c r="AJ63" s="150">
        <f t="shared" si="47"/>
        <v>4.4919315215860651</v>
      </c>
      <c r="AK63" s="150">
        <f t="shared" si="47"/>
        <v>4.2673349455067617</v>
      </c>
      <c r="AL63" s="150">
        <f t="shared" si="47"/>
        <v>4.0539681982314235</v>
      </c>
      <c r="AM63" s="150">
        <f t="shared" si="47"/>
        <v>3.8512697883198528</v>
      </c>
      <c r="AN63" s="150">
        <f t="shared" si="47"/>
        <v>3.8512697883198528</v>
      </c>
      <c r="AO63" s="149" t="s">
        <v>184</v>
      </c>
    </row>
    <row r="64" spans="1:41" x14ac:dyDescent="0.25">
      <c r="A64" s="148"/>
      <c r="B64" s="117" t="s">
        <v>165</v>
      </c>
      <c r="C64" s="149"/>
      <c r="D64" s="149"/>
      <c r="E64" s="149"/>
      <c r="F64" s="150">
        <f>F36</f>
        <v>6.1477529721910766</v>
      </c>
      <c r="G64" s="150">
        <f>G36</f>
        <v>7.8481776058087318</v>
      </c>
      <c r="H64" s="150">
        <f t="shared" ref="H64:AN64" si="48">H36</f>
        <v>8.2617457884677705</v>
      </c>
      <c r="I64" s="150">
        <f t="shared" si="48"/>
        <v>5.5078305256451801</v>
      </c>
      <c r="J64" s="150">
        <f t="shared" si="48"/>
        <v>6.0375825140372692</v>
      </c>
      <c r="K64" s="150">
        <f t="shared" si="48"/>
        <v>6.5673345024293592</v>
      </c>
      <c r="L64" s="150">
        <f t="shared" si="48"/>
        <v>7.0970864908214484</v>
      </c>
      <c r="M64" s="150">
        <f t="shared" si="48"/>
        <v>7.6268384792135375</v>
      </c>
      <c r="N64" s="150">
        <f t="shared" si="48"/>
        <v>8.1565904676056267</v>
      </c>
      <c r="O64" s="150">
        <f t="shared" si="48"/>
        <v>9.0888821537858462</v>
      </c>
      <c r="P64" s="150">
        <f t="shared" si="48"/>
        <v>9.502450336444884</v>
      </c>
      <c r="Q64" s="150">
        <f t="shared" si="48"/>
        <v>9.9160185191039218</v>
      </c>
      <c r="R64" s="150">
        <f t="shared" si="48"/>
        <v>10.329586701762961</v>
      </c>
      <c r="S64" s="150">
        <f t="shared" si="48"/>
        <v>10.743154884421999</v>
      </c>
      <c r="T64" s="150">
        <f t="shared" si="48"/>
        <v>10.205997140200898</v>
      </c>
      <c r="U64" s="150">
        <f t="shared" si="48"/>
        <v>9.695697283190853</v>
      </c>
      <c r="V64" s="150">
        <f t="shared" si="48"/>
        <v>9.2109124190313096</v>
      </c>
      <c r="W64" s="150">
        <f t="shared" si="48"/>
        <v>8.7503667980797442</v>
      </c>
      <c r="X64" s="150">
        <f t="shared" si="48"/>
        <v>8.3128484581757558</v>
      </c>
      <c r="Y64" s="150">
        <f t="shared" si="48"/>
        <v>7.8972060352669677</v>
      </c>
      <c r="Z64" s="150">
        <f t="shared" si="48"/>
        <v>7.5023457335036188</v>
      </c>
      <c r="AA64" s="150">
        <f t="shared" si="48"/>
        <v>7.127228446828437</v>
      </c>
      <c r="AB64" s="150">
        <f t="shared" si="48"/>
        <v>6.7708670244870151</v>
      </c>
      <c r="AC64" s="150">
        <f t="shared" si="48"/>
        <v>6.4323236732626645</v>
      </c>
      <c r="AD64" s="150">
        <f t="shared" si="48"/>
        <v>6.1107074895995304</v>
      </c>
      <c r="AE64" s="150">
        <f t="shared" si="48"/>
        <v>5.8051721151195546</v>
      </c>
      <c r="AF64" s="150">
        <f t="shared" si="48"/>
        <v>5.5149135093635762</v>
      </c>
      <c r="AG64" s="150">
        <f t="shared" si="48"/>
        <v>5.2391678338953964</v>
      </c>
      <c r="AH64" s="150">
        <f t="shared" si="48"/>
        <v>4.9772094422006266</v>
      </c>
      <c r="AI64" s="150">
        <f t="shared" si="48"/>
        <v>4.728348970090595</v>
      </c>
      <c r="AJ64" s="150">
        <f t="shared" si="48"/>
        <v>4.4919315215860651</v>
      </c>
      <c r="AK64" s="150">
        <f t="shared" si="48"/>
        <v>4.2673349455067617</v>
      </c>
      <c r="AL64" s="150">
        <f t="shared" si="48"/>
        <v>4.0539681982314235</v>
      </c>
      <c r="AM64" s="150">
        <f t="shared" si="48"/>
        <v>3.8512697883198528</v>
      </c>
      <c r="AN64" s="150">
        <f t="shared" si="48"/>
        <v>3.8512697883198528</v>
      </c>
      <c r="AO64" s="149" t="s">
        <v>185</v>
      </c>
    </row>
    <row r="65" spans="1:41" x14ac:dyDescent="0.25">
      <c r="A65" s="148"/>
      <c r="B65" s="117" t="s">
        <v>296</v>
      </c>
      <c r="C65" s="149"/>
      <c r="D65" s="149"/>
      <c r="E65" s="149"/>
      <c r="F65" s="150">
        <f>F6</f>
        <v>5.631260814256823</v>
      </c>
      <c r="G65" s="150">
        <f>G6</f>
        <v>7.2034091999999994</v>
      </c>
      <c r="H65" s="150">
        <f t="shared" ref="H65:AN65" si="49">H6</f>
        <v>7.306089375</v>
      </c>
      <c r="I65" s="150">
        <f t="shared" si="49"/>
        <v>4.8707262499999997</v>
      </c>
      <c r="J65" s="150">
        <f t="shared" si="49"/>
        <v>5.3707262499999997</v>
      </c>
      <c r="K65" s="150">
        <f t="shared" si="49"/>
        <v>5.8707262499999997</v>
      </c>
      <c r="L65" s="150">
        <f t="shared" si="49"/>
        <v>6.3707262499999997</v>
      </c>
      <c r="M65" s="150">
        <f t="shared" si="49"/>
        <v>6.8707262499999997</v>
      </c>
      <c r="N65" s="150">
        <f t="shared" si="49"/>
        <v>7.3707262499999997</v>
      </c>
      <c r="O65" s="150">
        <f t="shared" si="49"/>
        <v>7.5114497250000003</v>
      </c>
      <c r="P65" s="150">
        <f t="shared" si="49"/>
        <v>7.6141299</v>
      </c>
      <c r="Q65" s="150">
        <f t="shared" si="49"/>
        <v>7.7168100749999997</v>
      </c>
      <c r="R65" s="150">
        <f t="shared" si="49"/>
        <v>7.8194902500000003</v>
      </c>
      <c r="S65" s="150">
        <f t="shared" si="49"/>
        <v>7.9221704250000009</v>
      </c>
      <c r="T65" s="150">
        <f t="shared" si="49"/>
        <v>7.9221704250000009</v>
      </c>
      <c r="U65" s="150">
        <f t="shared" si="49"/>
        <v>7.9221704250000009</v>
      </c>
      <c r="V65" s="150">
        <f t="shared" si="49"/>
        <v>7.9221704250000009</v>
      </c>
      <c r="W65" s="150">
        <f t="shared" si="49"/>
        <v>7.9221704250000009</v>
      </c>
      <c r="X65" s="150">
        <f t="shared" si="49"/>
        <v>7.9221704250000009</v>
      </c>
      <c r="Y65" s="150">
        <f t="shared" si="49"/>
        <v>7.9221704250000009</v>
      </c>
      <c r="Z65" s="150">
        <f t="shared" si="49"/>
        <v>7.9221704250000009</v>
      </c>
      <c r="AA65" s="150">
        <f t="shared" si="49"/>
        <v>7.9221704250000009</v>
      </c>
      <c r="AB65" s="150">
        <f t="shared" si="49"/>
        <v>7.9221704250000009</v>
      </c>
      <c r="AC65" s="150">
        <f t="shared" si="49"/>
        <v>7.9221704250000009</v>
      </c>
      <c r="AD65" s="150">
        <f t="shared" si="49"/>
        <v>7.6845053122500007</v>
      </c>
      <c r="AE65" s="150">
        <f t="shared" si="49"/>
        <v>7.4539701528825004</v>
      </c>
      <c r="AF65" s="150">
        <f t="shared" si="49"/>
        <v>7.2303510482960256</v>
      </c>
      <c r="AG65" s="150">
        <f t="shared" si="49"/>
        <v>7.0134405168471448</v>
      </c>
      <c r="AH65" s="150">
        <f t="shared" si="49"/>
        <v>6.80303730134173</v>
      </c>
      <c r="AI65" s="150">
        <f t="shared" si="49"/>
        <v>6.5989461823014777</v>
      </c>
      <c r="AJ65" s="150">
        <f t="shared" si="49"/>
        <v>6.4009777968324331</v>
      </c>
      <c r="AK65" s="150">
        <f t="shared" si="49"/>
        <v>6.2089484629274603</v>
      </c>
      <c r="AL65" s="150">
        <f t="shared" si="49"/>
        <v>6.022680009039636</v>
      </c>
      <c r="AM65" s="150">
        <f t="shared" si="49"/>
        <v>5.8419996087684467</v>
      </c>
      <c r="AN65" s="150">
        <f t="shared" si="49"/>
        <v>5.8419996087684467</v>
      </c>
      <c r="AO65" s="149" t="s">
        <v>272</v>
      </c>
    </row>
    <row r="66" spans="1:41" x14ac:dyDescent="0.25">
      <c r="A66" s="148"/>
      <c r="B66" s="117" t="s">
        <v>285</v>
      </c>
      <c r="C66" s="149"/>
      <c r="D66" s="149"/>
      <c r="E66" s="149"/>
      <c r="F66" s="150">
        <f>F43</f>
        <v>3.8</v>
      </c>
      <c r="G66" s="150">
        <f>G43</f>
        <v>3.827142857142857</v>
      </c>
      <c r="H66" s="150">
        <f t="shared" ref="H66:AN66" si="50">H43</f>
        <v>3.8506666666666667</v>
      </c>
      <c r="I66" s="150">
        <f t="shared" si="50"/>
        <v>3.8712499999999999</v>
      </c>
      <c r="J66" s="150">
        <f t="shared" si="50"/>
        <v>3.8894117647058821</v>
      </c>
      <c r="K66" s="150">
        <f t="shared" si="50"/>
        <v>3.9055555555555554</v>
      </c>
      <c r="L66" s="150">
        <f t="shared" si="50"/>
        <v>3.92</v>
      </c>
      <c r="M66" s="150">
        <f t="shared" si="50"/>
        <v>3.9329999999999998</v>
      </c>
      <c r="N66" s="150">
        <f t="shared" si="50"/>
        <v>3.9447619047619047</v>
      </c>
      <c r="O66" s="150">
        <f t="shared" si="50"/>
        <v>3.9554545454545451</v>
      </c>
      <c r="P66" s="150">
        <f t="shared" si="50"/>
        <v>3.9652173913043476</v>
      </c>
      <c r="Q66" s="150">
        <f t="shared" si="50"/>
        <v>3.9741666666666666</v>
      </c>
      <c r="R66" s="150">
        <f t="shared" si="50"/>
        <v>3.9823999999999997</v>
      </c>
      <c r="S66" s="150">
        <f t="shared" si="50"/>
        <v>3.9899999999999998</v>
      </c>
      <c r="T66" s="150">
        <f t="shared" si="50"/>
        <v>4.18</v>
      </c>
      <c r="U66" s="150">
        <f t="shared" si="50"/>
        <v>4.2008999999999999</v>
      </c>
      <c r="V66" s="150">
        <f t="shared" si="50"/>
        <v>4.2218</v>
      </c>
      <c r="W66" s="150">
        <f t="shared" si="50"/>
        <v>4.2427000000000001</v>
      </c>
      <c r="X66" s="150">
        <f t="shared" si="50"/>
        <v>4.2635999999999994</v>
      </c>
      <c r="Y66" s="150">
        <f t="shared" si="50"/>
        <v>4.2844999999999995</v>
      </c>
      <c r="Z66" s="150">
        <f t="shared" si="50"/>
        <v>4.3053999999999997</v>
      </c>
      <c r="AA66" s="150">
        <f t="shared" si="50"/>
        <v>4.3262999999999998</v>
      </c>
      <c r="AB66" s="150">
        <f t="shared" si="50"/>
        <v>4.3472</v>
      </c>
      <c r="AC66" s="150">
        <f t="shared" si="50"/>
        <v>4.3681000000000001</v>
      </c>
      <c r="AD66" s="150">
        <f t="shared" si="50"/>
        <v>4.3889999999999993</v>
      </c>
      <c r="AE66" s="150">
        <f t="shared" si="50"/>
        <v>4.4098999999999995</v>
      </c>
      <c r="AF66" s="150">
        <f t="shared" si="50"/>
        <v>4.4307999999999996</v>
      </c>
      <c r="AG66" s="150">
        <f t="shared" si="50"/>
        <v>4.4516999999999998</v>
      </c>
      <c r="AH66" s="150">
        <f t="shared" si="50"/>
        <v>4.4725999999999999</v>
      </c>
      <c r="AI66" s="150">
        <f t="shared" si="50"/>
        <v>4.4935</v>
      </c>
      <c r="AJ66" s="150">
        <f t="shared" si="50"/>
        <v>4.5144000000000002</v>
      </c>
      <c r="AK66" s="150">
        <f t="shared" si="50"/>
        <v>4.5352999999999994</v>
      </c>
      <c r="AL66" s="150">
        <f t="shared" si="50"/>
        <v>4.5561999999999996</v>
      </c>
      <c r="AM66" s="150">
        <f t="shared" si="50"/>
        <v>4.5770999999999997</v>
      </c>
      <c r="AN66" s="150">
        <f t="shared" si="50"/>
        <v>4.5979999999999999</v>
      </c>
      <c r="AO66" s="149" t="s">
        <v>174</v>
      </c>
    </row>
    <row r="67" spans="1:41" x14ac:dyDescent="0.25">
      <c r="A67" s="148"/>
      <c r="B67" s="117" t="s">
        <v>286</v>
      </c>
      <c r="C67" s="149"/>
      <c r="D67" s="149"/>
      <c r="E67" s="149"/>
      <c r="F67" s="150">
        <f>F43</f>
        <v>3.8</v>
      </c>
      <c r="G67" s="150">
        <f>G43</f>
        <v>3.827142857142857</v>
      </c>
      <c r="H67" s="150">
        <f t="shared" ref="H67:AN67" si="51">H43</f>
        <v>3.8506666666666667</v>
      </c>
      <c r="I67" s="150">
        <f t="shared" si="51"/>
        <v>3.8712499999999999</v>
      </c>
      <c r="J67" s="150">
        <f t="shared" si="51"/>
        <v>3.8894117647058821</v>
      </c>
      <c r="K67" s="150">
        <f t="shared" si="51"/>
        <v>3.9055555555555554</v>
      </c>
      <c r="L67" s="150">
        <f t="shared" si="51"/>
        <v>3.92</v>
      </c>
      <c r="M67" s="150">
        <f t="shared" si="51"/>
        <v>3.9329999999999998</v>
      </c>
      <c r="N67" s="150">
        <f t="shared" si="51"/>
        <v>3.9447619047619047</v>
      </c>
      <c r="O67" s="150">
        <f t="shared" si="51"/>
        <v>3.9554545454545451</v>
      </c>
      <c r="P67" s="150">
        <f t="shared" si="51"/>
        <v>3.9652173913043476</v>
      </c>
      <c r="Q67" s="150">
        <f t="shared" si="51"/>
        <v>3.9741666666666666</v>
      </c>
      <c r="R67" s="150">
        <f t="shared" si="51"/>
        <v>3.9823999999999997</v>
      </c>
      <c r="S67" s="150">
        <f t="shared" si="51"/>
        <v>3.9899999999999998</v>
      </c>
      <c r="T67" s="150">
        <f t="shared" si="51"/>
        <v>4.18</v>
      </c>
      <c r="U67" s="150">
        <f t="shared" si="51"/>
        <v>4.2008999999999999</v>
      </c>
      <c r="V67" s="150">
        <f t="shared" si="51"/>
        <v>4.2218</v>
      </c>
      <c r="W67" s="150">
        <f t="shared" si="51"/>
        <v>4.2427000000000001</v>
      </c>
      <c r="X67" s="150">
        <f t="shared" si="51"/>
        <v>4.2635999999999994</v>
      </c>
      <c r="Y67" s="150">
        <f t="shared" si="51"/>
        <v>4.2844999999999995</v>
      </c>
      <c r="Z67" s="150">
        <f t="shared" si="51"/>
        <v>4.3053999999999997</v>
      </c>
      <c r="AA67" s="150">
        <f t="shared" si="51"/>
        <v>4.3262999999999998</v>
      </c>
      <c r="AB67" s="150">
        <f t="shared" si="51"/>
        <v>4.3472</v>
      </c>
      <c r="AC67" s="150">
        <f t="shared" si="51"/>
        <v>4.3681000000000001</v>
      </c>
      <c r="AD67" s="150">
        <f t="shared" si="51"/>
        <v>4.3889999999999993</v>
      </c>
      <c r="AE67" s="150">
        <f t="shared" si="51"/>
        <v>4.4098999999999995</v>
      </c>
      <c r="AF67" s="150">
        <f t="shared" si="51"/>
        <v>4.4307999999999996</v>
      </c>
      <c r="AG67" s="150">
        <f t="shared" si="51"/>
        <v>4.4516999999999998</v>
      </c>
      <c r="AH67" s="150">
        <f t="shared" si="51"/>
        <v>4.4725999999999999</v>
      </c>
      <c r="AI67" s="150">
        <f t="shared" si="51"/>
        <v>4.4935</v>
      </c>
      <c r="AJ67" s="150">
        <f t="shared" si="51"/>
        <v>4.5144000000000002</v>
      </c>
      <c r="AK67" s="150">
        <f t="shared" si="51"/>
        <v>4.5352999999999994</v>
      </c>
      <c r="AL67" s="150">
        <f t="shared" si="51"/>
        <v>4.5561999999999996</v>
      </c>
      <c r="AM67" s="150">
        <f t="shared" si="51"/>
        <v>4.5770999999999997</v>
      </c>
      <c r="AN67" s="150">
        <f t="shared" si="51"/>
        <v>4.5979999999999999</v>
      </c>
      <c r="AO67" s="149" t="s">
        <v>175</v>
      </c>
    </row>
    <row r="68" spans="1:41" x14ac:dyDescent="0.25">
      <c r="A68" s="148"/>
      <c r="B68" s="117" t="s">
        <v>157</v>
      </c>
      <c r="C68" s="149"/>
      <c r="D68" s="149"/>
      <c r="E68" s="149"/>
      <c r="F68" s="150">
        <f>F45</f>
        <v>26.06</v>
      </c>
      <c r="G68" s="150">
        <f>G45</f>
        <v>26.06</v>
      </c>
      <c r="H68" s="150">
        <f t="shared" ref="H68:AN68" si="52">H45</f>
        <v>26.06</v>
      </c>
      <c r="I68" s="150">
        <f t="shared" si="52"/>
        <v>26.06</v>
      </c>
      <c r="J68" s="150">
        <f t="shared" si="52"/>
        <v>26.06</v>
      </c>
      <c r="K68" s="150">
        <f t="shared" si="52"/>
        <v>26.320599999999999</v>
      </c>
      <c r="L68" s="150">
        <f t="shared" si="52"/>
        <v>26.581199999999999</v>
      </c>
      <c r="M68" s="150">
        <f t="shared" si="52"/>
        <v>26.841799999999999</v>
      </c>
      <c r="N68" s="150">
        <f t="shared" si="52"/>
        <v>27.102399999999999</v>
      </c>
      <c r="O68" s="150">
        <f t="shared" si="52"/>
        <v>27.363</v>
      </c>
      <c r="P68" s="150">
        <f t="shared" si="52"/>
        <v>27.6236</v>
      </c>
      <c r="Q68" s="150">
        <f t="shared" si="52"/>
        <v>27.8842</v>
      </c>
      <c r="R68" s="150">
        <f t="shared" si="52"/>
        <v>28.1448</v>
      </c>
      <c r="S68" s="150">
        <f t="shared" si="52"/>
        <v>28.4054</v>
      </c>
      <c r="T68" s="150">
        <f t="shared" si="52"/>
        <v>28.666</v>
      </c>
      <c r="U68" s="150">
        <f t="shared" si="52"/>
        <v>28.809329999999999</v>
      </c>
      <c r="V68" s="150">
        <f t="shared" si="52"/>
        <v>28.952660000000002</v>
      </c>
      <c r="W68" s="150">
        <f t="shared" si="52"/>
        <v>29.09599</v>
      </c>
      <c r="X68" s="150">
        <f t="shared" si="52"/>
        <v>29.239319999999999</v>
      </c>
      <c r="Y68" s="150">
        <f t="shared" si="52"/>
        <v>29.382650000000002</v>
      </c>
      <c r="Z68" s="150">
        <f t="shared" si="52"/>
        <v>29.525980000000001</v>
      </c>
      <c r="AA68" s="150">
        <f t="shared" si="52"/>
        <v>29.669309999999999</v>
      </c>
      <c r="AB68" s="150">
        <f t="shared" si="52"/>
        <v>29.812640000000002</v>
      </c>
      <c r="AC68" s="150">
        <f t="shared" si="52"/>
        <v>29.955970000000001</v>
      </c>
      <c r="AD68" s="150">
        <f t="shared" si="52"/>
        <v>30.099299999999999</v>
      </c>
      <c r="AE68" s="150">
        <f t="shared" si="52"/>
        <v>30.242630000000002</v>
      </c>
      <c r="AF68" s="150">
        <f t="shared" si="52"/>
        <v>30.385960000000001</v>
      </c>
      <c r="AG68" s="150">
        <f t="shared" si="52"/>
        <v>30.529290000000003</v>
      </c>
      <c r="AH68" s="150">
        <f t="shared" si="52"/>
        <v>30.672620000000002</v>
      </c>
      <c r="AI68" s="150">
        <f t="shared" si="52"/>
        <v>30.815950000000001</v>
      </c>
      <c r="AJ68" s="150">
        <f t="shared" si="52"/>
        <v>30.959280000000003</v>
      </c>
      <c r="AK68" s="150">
        <f t="shared" si="52"/>
        <v>31.102610000000002</v>
      </c>
      <c r="AL68" s="150">
        <f t="shared" si="52"/>
        <v>31.245940000000001</v>
      </c>
      <c r="AM68" s="150">
        <f t="shared" si="52"/>
        <v>31.389270000000003</v>
      </c>
      <c r="AN68" s="150">
        <f t="shared" si="52"/>
        <v>31.532600000000002</v>
      </c>
      <c r="AO68" s="149" t="s">
        <v>176</v>
      </c>
    </row>
    <row r="69" spans="1:41" x14ac:dyDescent="0.25">
      <c r="A69" s="148"/>
      <c r="B69" s="117" t="s">
        <v>158</v>
      </c>
      <c r="C69" s="149"/>
      <c r="D69" s="149"/>
      <c r="E69" s="149"/>
      <c r="F69" s="150">
        <f>F44</f>
        <v>33.070999999999998</v>
      </c>
      <c r="G69" s="150">
        <f>G44</f>
        <v>33.070999999999998</v>
      </c>
      <c r="H69" s="150">
        <f t="shared" ref="H69:AN69" si="53">H44</f>
        <v>33.070999999999998</v>
      </c>
      <c r="I69" s="150">
        <f t="shared" si="53"/>
        <v>33.070999999999998</v>
      </c>
      <c r="J69" s="150">
        <f t="shared" si="53"/>
        <v>33.070999999999998</v>
      </c>
      <c r="K69" s="150">
        <f t="shared" si="53"/>
        <v>33.236354999999996</v>
      </c>
      <c r="L69" s="150">
        <f t="shared" si="53"/>
        <v>33.401710000000001</v>
      </c>
      <c r="M69" s="150">
        <f t="shared" si="53"/>
        <v>33.567064999999999</v>
      </c>
      <c r="N69" s="150">
        <f t="shared" si="53"/>
        <v>33.732419999999998</v>
      </c>
      <c r="O69" s="150">
        <f t="shared" si="53"/>
        <v>33.897774999999996</v>
      </c>
      <c r="P69" s="150">
        <f t="shared" si="53"/>
        <v>34.063130000000001</v>
      </c>
      <c r="Q69" s="150">
        <f t="shared" si="53"/>
        <v>34.228484999999999</v>
      </c>
      <c r="R69" s="150">
        <f t="shared" si="53"/>
        <v>34.393839999999997</v>
      </c>
      <c r="S69" s="150">
        <f t="shared" si="53"/>
        <v>34.559195000000003</v>
      </c>
      <c r="T69" s="150">
        <f t="shared" si="53"/>
        <v>34.724550000000001</v>
      </c>
      <c r="U69" s="150">
        <f t="shared" si="53"/>
        <v>34.898172750000001</v>
      </c>
      <c r="V69" s="150">
        <f t="shared" si="53"/>
        <v>35.0717955</v>
      </c>
      <c r="W69" s="150">
        <f t="shared" si="53"/>
        <v>35.24541825</v>
      </c>
      <c r="X69" s="150">
        <f t="shared" si="53"/>
        <v>35.419041</v>
      </c>
      <c r="Y69" s="150">
        <f t="shared" si="53"/>
        <v>35.59266375</v>
      </c>
      <c r="Z69" s="150">
        <f t="shared" si="53"/>
        <v>35.7662865</v>
      </c>
      <c r="AA69" s="150">
        <f t="shared" si="53"/>
        <v>35.939909249999999</v>
      </c>
      <c r="AB69" s="150">
        <f t="shared" si="53"/>
        <v>36.113531999999999</v>
      </c>
      <c r="AC69" s="150">
        <f t="shared" si="53"/>
        <v>36.287154749999999</v>
      </c>
      <c r="AD69" s="150">
        <f t="shared" si="53"/>
        <v>36.460777500000006</v>
      </c>
      <c r="AE69" s="150">
        <f t="shared" si="53"/>
        <v>36.634400250000006</v>
      </c>
      <c r="AF69" s="150">
        <f t="shared" si="53"/>
        <v>36.808023000000006</v>
      </c>
      <c r="AG69" s="150">
        <f t="shared" si="53"/>
        <v>36.981645750000006</v>
      </c>
      <c r="AH69" s="150">
        <f t="shared" si="53"/>
        <v>37.155268500000005</v>
      </c>
      <c r="AI69" s="150">
        <f t="shared" si="53"/>
        <v>37.328891250000005</v>
      </c>
      <c r="AJ69" s="150">
        <f t="shared" si="53"/>
        <v>37.502514000000005</v>
      </c>
      <c r="AK69" s="150">
        <f t="shared" si="53"/>
        <v>37.676136750000005</v>
      </c>
      <c r="AL69" s="150">
        <f t="shared" si="53"/>
        <v>37.849759500000005</v>
      </c>
      <c r="AM69" s="150">
        <f t="shared" si="53"/>
        <v>38.023382250000004</v>
      </c>
      <c r="AN69" s="150">
        <f t="shared" si="53"/>
        <v>38.197005000000004</v>
      </c>
      <c r="AO69" s="151" t="s">
        <v>177</v>
      </c>
    </row>
    <row r="70" spans="1:41" x14ac:dyDescent="0.25">
      <c r="A70" s="149">
        <v>0.95</v>
      </c>
      <c r="B70" s="117" t="s">
        <v>287</v>
      </c>
      <c r="C70" s="149"/>
      <c r="D70" s="149"/>
      <c r="E70" s="149"/>
      <c r="F70" s="150">
        <f t="shared" ref="F70" si="54">F50*$A70</f>
        <v>1.9756657470525787</v>
      </c>
      <c r="G70" s="150">
        <f t="shared" ref="G70:AN70" si="55">G50*$A70</f>
        <v>1.8735754548308308</v>
      </c>
      <c r="H70" s="150">
        <f t="shared" si="55"/>
        <v>2.1674696438239023</v>
      </c>
      <c r="I70" s="150">
        <f t="shared" si="55"/>
        <v>1.4449797625492682</v>
      </c>
      <c r="J70" s="150">
        <f t="shared" si="55"/>
        <v>1.687229762549268</v>
      </c>
      <c r="K70" s="150">
        <f t="shared" si="55"/>
        <v>1.9294797625492677</v>
      </c>
      <c r="L70" s="150">
        <f t="shared" si="55"/>
        <v>2.1717297625492678</v>
      </c>
      <c r="M70" s="150">
        <f t="shared" si="55"/>
        <v>2.4139797625492676</v>
      </c>
      <c r="N70" s="150">
        <f t="shared" si="55"/>
        <v>2.6562297625492675</v>
      </c>
      <c r="O70" s="150">
        <f t="shared" si="55"/>
        <v>1.9379999999999999</v>
      </c>
      <c r="P70" s="150">
        <f t="shared" si="55"/>
        <v>2.0187499999999998</v>
      </c>
      <c r="Q70" s="150">
        <f t="shared" si="55"/>
        <v>2.0994999999999999</v>
      </c>
      <c r="R70" s="150">
        <f t="shared" si="55"/>
        <v>2.18025</v>
      </c>
      <c r="S70" s="150">
        <f t="shared" si="55"/>
        <v>2.2609999999999997</v>
      </c>
      <c r="T70" s="150">
        <f t="shared" si="55"/>
        <v>2.2270849999999998</v>
      </c>
      <c r="U70" s="150">
        <f t="shared" si="55"/>
        <v>2.1936787249999998</v>
      </c>
      <c r="V70" s="150">
        <f t="shared" si="55"/>
        <v>2.160773544125</v>
      </c>
      <c r="W70" s="150">
        <f t="shared" si="55"/>
        <v>2.1283619409631251</v>
      </c>
      <c r="X70" s="150">
        <f t="shared" si="55"/>
        <v>2.0964365118486779</v>
      </c>
      <c r="Y70" s="150">
        <f t="shared" si="55"/>
        <v>2.0649899641709477</v>
      </c>
      <c r="Z70" s="150">
        <f t="shared" si="55"/>
        <v>2.0340151147083834</v>
      </c>
      <c r="AA70" s="150">
        <f t="shared" si="55"/>
        <v>2.0035048879877579</v>
      </c>
      <c r="AB70" s="150">
        <f t="shared" si="55"/>
        <v>1.9734523146679412</v>
      </c>
      <c r="AC70" s="150">
        <f t="shared" si="55"/>
        <v>1.9438505299479221</v>
      </c>
      <c r="AD70" s="150">
        <f t="shared" si="55"/>
        <v>1.914692771998703</v>
      </c>
      <c r="AE70" s="150">
        <f t="shared" si="55"/>
        <v>1.8859723804187225</v>
      </c>
      <c r="AF70" s="150">
        <f t="shared" si="55"/>
        <v>1.8576827947124417</v>
      </c>
      <c r="AG70" s="150">
        <f t="shared" si="55"/>
        <v>1.8298175527917551</v>
      </c>
      <c r="AH70" s="150">
        <f t="shared" si="55"/>
        <v>1.8023702894998788</v>
      </c>
      <c r="AI70" s="150">
        <f t="shared" si="55"/>
        <v>1.7753347351573805</v>
      </c>
      <c r="AJ70" s="150">
        <f t="shared" si="55"/>
        <v>1.7487047141300198</v>
      </c>
      <c r="AK70" s="150">
        <f t="shared" si="55"/>
        <v>1.7224741434180695</v>
      </c>
      <c r="AL70" s="150">
        <f t="shared" si="55"/>
        <v>1.6966370312667982</v>
      </c>
      <c r="AM70" s="150">
        <f t="shared" si="55"/>
        <v>1.6711874757977963</v>
      </c>
      <c r="AN70" s="150">
        <f t="shared" si="55"/>
        <v>1.6711874757977963</v>
      </c>
      <c r="AO70" s="149" t="s">
        <v>172</v>
      </c>
    </row>
    <row r="71" spans="1:41" x14ac:dyDescent="0.25">
      <c r="A71" s="149">
        <v>0.95</v>
      </c>
      <c r="B71" s="117" t="s">
        <v>288</v>
      </c>
      <c r="C71" s="149"/>
      <c r="D71" s="149"/>
      <c r="E71" s="149"/>
      <c r="F71" s="150">
        <f t="shared" ref="F71" si="56">F51*$A71</f>
        <v>1.9756657470525787</v>
      </c>
      <c r="G71" s="150">
        <f t="shared" ref="G71:AN71" si="57">G51*$A71</f>
        <v>1.8735754548308308</v>
      </c>
      <c r="H71" s="150">
        <f t="shared" si="57"/>
        <v>2.1674696438239023</v>
      </c>
      <c r="I71" s="150">
        <f t="shared" si="57"/>
        <v>1.4449797625492682</v>
      </c>
      <c r="J71" s="150">
        <f t="shared" si="57"/>
        <v>1.687229762549268</v>
      </c>
      <c r="K71" s="150">
        <f t="shared" si="57"/>
        <v>1.9294797625492677</v>
      </c>
      <c r="L71" s="150">
        <f t="shared" si="57"/>
        <v>2.1717297625492678</v>
      </c>
      <c r="M71" s="150">
        <f t="shared" si="57"/>
        <v>2.4139797625492676</v>
      </c>
      <c r="N71" s="150">
        <f t="shared" si="57"/>
        <v>2.6562297625492675</v>
      </c>
      <c r="O71" s="150">
        <f t="shared" si="57"/>
        <v>1.9379999999999999</v>
      </c>
      <c r="P71" s="150">
        <f t="shared" si="57"/>
        <v>2.0187499999999998</v>
      </c>
      <c r="Q71" s="150">
        <f t="shared" si="57"/>
        <v>2.0994999999999999</v>
      </c>
      <c r="R71" s="150">
        <f t="shared" si="57"/>
        <v>2.18025</v>
      </c>
      <c r="S71" s="150">
        <f t="shared" si="57"/>
        <v>2.2609999999999997</v>
      </c>
      <c r="T71" s="150">
        <f t="shared" si="57"/>
        <v>2.2270849999999998</v>
      </c>
      <c r="U71" s="150">
        <f t="shared" si="57"/>
        <v>2.1936787249999998</v>
      </c>
      <c r="V71" s="150">
        <f t="shared" si="57"/>
        <v>2.160773544125</v>
      </c>
      <c r="W71" s="150">
        <f t="shared" si="57"/>
        <v>2.1283619409631251</v>
      </c>
      <c r="X71" s="150">
        <f t="shared" si="57"/>
        <v>2.0964365118486779</v>
      </c>
      <c r="Y71" s="150">
        <f t="shared" si="57"/>
        <v>2.0649899641709477</v>
      </c>
      <c r="Z71" s="150">
        <f t="shared" si="57"/>
        <v>2.0340151147083834</v>
      </c>
      <c r="AA71" s="150">
        <f t="shared" si="57"/>
        <v>2.0035048879877579</v>
      </c>
      <c r="AB71" s="150">
        <f t="shared" si="57"/>
        <v>1.9734523146679412</v>
      </c>
      <c r="AC71" s="150">
        <f t="shared" si="57"/>
        <v>1.9438505299479221</v>
      </c>
      <c r="AD71" s="150">
        <f t="shared" si="57"/>
        <v>1.914692771998703</v>
      </c>
      <c r="AE71" s="150">
        <f t="shared" si="57"/>
        <v>1.8859723804187225</v>
      </c>
      <c r="AF71" s="150">
        <f t="shared" si="57"/>
        <v>1.8576827947124417</v>
      </c>
      <c r="AG71" s="150">
        <f t="shared" si="57"/>
        <v>1.8298175527917551</v>
      </c>
      <c r="AH71" s="150">
        <f t="shared" si="57"/>
        <v>1.8023702894998788</v>
      </c>
      <c r="AI71" s="150">
        <f t="shared" si="57"/>
        <v>1.7753347351573805</v>
      </c>
      <c r="AJ71" s="150">
        <f t="shared" si="57"/>
        <v>1.7487047141300198</v>
      </c>
      <c r="AK71" s="150">
        <f t="shared" si="57"/>
        <v>1.7224741434180695</v>
      </c>
      <c r="AL71" s="150">
        <f t="shared" si="57"/>
        <v>1.6966370312667982</v>
      </c>
      <c r="AM71" s="150">
        <f t="shared" si="57"/>
        <v>1.6711874757977963</v>
      </c>
      <c r="AN71" s="150">
        <f t="shared" si="57"/>
        <v>1.6711874757977963</v>
      </c>
      <c r="AO71" s="149" t="s">
        <v>298</v>
      </c>
    </row>
    <row r="72" spans="1:41" x14ac:dyDescent="0.25">
      <c r="A72" s="149">
        <v>0.95</v>
      </c>
      <c r="B72" s="117" t="s">
        <v>289</v>
      </c>
      <c r="C72" s="149"/>
      <c r="D72" s="149"/>
      <c r="E72" s="149"/>
      <c r="F72" s="150">
        <f t="shared" ref="F72" si="58">F52*$A72</f>
        <v>1.8768824596999496</v>
      </c>
      <c r="G72" s="150">
        <f t="shared" ref="G72:AN72" si="59">G52*$A72</f>
        <v>1.7798966820892892</v>
      </c>
      <c r="H72" s="150">
        <f t="shared" si="59"/>
        <v>2.059096161632707</v>
      </c>
      <c r="I72" s="150">
        <f t="shared" si="59"/>
        <v>1.3727307744218047</v>
      </c>
      <c r="J72" s="150">
        <f t="shared" si="59"/>
        <v>1.6028682744218046</v>
      </c>
      <c r="K72" s="150">
        <f t="shared" si="59"/>
        <v>1.8330057744218042</v>
      </c>
      <c r="L72" s="150">
        <f t="shared" si="59"/>
        <v>2.0631432744218041</v>
      </c>
      <c r="M72" s="150">
        <f t="shared" si="59"/>
        <v>2.2932807744218042</v>
      </c>
      <c r="N72" s="150">
        <f t="shared" si="59"/>
        <v>2.5234182744218039</v>
      </c>
      <c r="O72" s="150">
        <f t="shared" si="59"/>
        <v>1.8411</v>
      </c>
      <c r="P72" s="150">
        <f t="shared" si="59"/>
        <v>1.9178124999999997</v>
      </c>
      <c r="Q72" s="150">
        <f t="shared" si="59"/>
        <v>1.9945249999999999</v>
      </c>
      <c r="R72" s="150">
        <f t="shared" si="59"/>
        <v>2.0712375000000001</v>
      </c>
      <c r="S72" s="150">
        <f t="shared" si="59"/>
        <v>2.1479499999999998</v>
      </c>
      <c r="T72" s="150">
        <f t="shared" si="59"/>
        <v>2.1157307499999995</v>
      </c>
      <c r="U72" s="150">
        <f t="shared" si="59"/>
        <v>2.0839947887499997</v>
      </c>
      <c r="V72" s="150">
        <f t="shared" si="59"/>
        <v>2.0527348669187497</v>
      </c>
      <c r="W72" s="150">
        <f t="shared" si="59"/>
        <v>2.0219438439149688</v>
      </c>
      <c r="X72" s="150">
        <f t="shared" si="59"/>
        <v>1.9916146862562438</v>
      </c>
      <c r="Y72" s="150">
        <f t="shared" si="59"/>
        <v>1.9617404659624003</v>
      </c>
      <c r="Z72" s="150">
        <f t="shared" si="59"/>
        <v>1.9323143589729641</v>
      </c>
      <c r="AA72" s="150">
        <f t="shared" si="59"/>
        <v>1.90332964358837</v>
      </c>
      <c r="AB72" s="150">
        <f t="shared" si="59"/>
        <v>1.874779698934544</v>
      </c>
      <c r="AC72" s="150">
        <f t="shared" si="59"/>
        <v>1.8466580034505258</v>
      </c>
      <c r="AD72" s="150">
        <f t="shared" si="59"/>
        <v>1.8189581333987679</v>
      </c>
      <c r="AE72" s="150">
        <f t="shared" si="59"/>
        <v>1.7916737613977862</v>
      </c>
      <c r="AF72" s="150">
        <f t="shared" si="59"/>
        <v>1.7647986549768195</v>
      </c>
      <c r="AG72" s="150">
        <f t="shared" si="59"/>
        <v>1.7383266751521673</v>
      </c>
      <c r="AH72" s="150">
        <f t="shared" si="59"/>
        <v>1.7122517750248847</v>
      </c>
      <c r="AI72" s="150">
        <f t="shared" si="59"/>
        <v>1.6865679983995114</v>
      </c>
      <c r="AJ72" s="150">
        <f t="shared" si="59"/>
        <v>1.6612694784235187</v>
      </c>
      <c r="AK72" s="150">
        <f t="shared" si="59"/>
        <v>1.6363504362471659</v>
      </c>
      <c r="AL72" s="150">
        <f t="shared" si="59"/>
        <v>1.6118051797034583</v>
      </c>
      <c r="AM72" s="150">
        <f t="shared" si="59"/>
        <v>1.5876281020079064</v>
      </c>
      <c r="AN72" s="150">
        <f t="shared" si="59"/>
        <v>1.5876281020079064</v>
      </c>
      <c r="AO72" s="149" t="s">
        <v>299</v>
      </c>
    </row>
    <row r="73" spans="1:41" x14ac:dyDescent="0.25">
      <c r="A73" s="149">
        <v>0.95</v>
      </c>
      <c r="B73" s="117" t="s">
        <v>290</v>
      </c>
      <c r="C73" s="149"/>
      <c r="D73" s="149"/>
      <c r="E73" s="149"/>
      <c r="F73" s="150">
        <f t="shared" ref="F73" si="60">F53*$A73</f>
        <v>1.8768824596999496</v>
      </c>
      <c r="G73" s="150">
        <f t="shared" ref="G73:AN73" si="61">G53*$A73</f>
        <v>1.7798966820892892</v>
      </c>
      <c r="H73" s="150">
        <f t="shared" si="61"/>
        <v>2.059096161632707</v>
      </c>
      <c r="I73" s="150">
        <f t="shared" si="61"/>
        <v>1.3727307744218047</v>
      </c>
      <c r="J73" s="150">
        <f t="shared" si="61"/>
        <v>1.6028682744218046</v>
      </c>
      <c r="K73" s="150">
        <f t="shared" si="61"/>
        <v>1.8330057744218042</v>
      </c>
      <c r="L73" s="150">
        <f t="shared" si="61"/>
        <v>2.0631432744218041</v>
      </c>
      <c r="M73" s="150">
        <f t="shared" si="61"/>
        <v>2.2932807744218042</v>
      </c>
      <c r="N73" s="150">
        <f t="shared" si="61"/>
        <v>2.5234182744218039</v>
      </c>
      <c r="O73" s="150">
        <f t="shared" si="61"/>
        <v>1.8411</v>
      </c>
      <c r="P73" s="150">
        <f t="shared" si="61"/>
        <v>1.9178124999999997</v>
      </c>
      <c r="Q73" s="150">
        <f t="shared" si="61"/>
        <v>1.9945249999999999</v>
      </c>
      <c r="R73" s="150">
        <f t="shared" si="61"/>
        <v>2.0712375000000001</v>
      </c>
      <c r="S73" s="150">
        <f t="shared" si="61"/>
        <v>2.1479499999999998</v>
      </c>
      <c r="T73" s="150">
        <f t="shared" si="61"/>
        <v>2.1157307499999995</v>
      </c>
      <c r="U73" s="150">
        <f t="shared" si="61"/>
        <v>2.0839947887499997</v>
      </c>
      <c r="V73" s="150">
        <f t="shared" si="61"/>
        <v>2.0527348669187497</v>
      </c>
      <c r="W73" s="150">
        <f t="shared" si="61"/>
        <v>2.0219438439149688</v>
      </c>
      <c r="X73" s="150">
        <f t="shared" si="61"/>
        <v>1.9916146862562438</v>
      </c>
      <c r="Y73" s="150">
        <f t="shared" si="61"/>
        <v>1.9617404659624003</v>
      </c>
      <c r="Z73" s="150">
        <f t="shared" si="61"/>
        <v>1.9323143589729641</v>
      </c>
      <c r="AA73" s="150">
        <f t="shared" si="61"/>
        <v>1.90332964358837</v>
      </c>
      <c r="AB73" s="150">
        <f t="shared" si="61"/>
        <v>1.874779698934544</v>
      </c>
      <c r="AC73" s="150">
        <f t="shared" si="61"/>
        <v>1.8466580034505258</v>
      </c>
      <c r="AD73" s="150">
        <f t="shared" si="61"/>
        <v>1.8189581333987679</v>
      </c>
      <c r="AE73" s="150">
        <f t="shared" si="61"/>
        <v>1.7916737613977862</v>
      </c>
      <c r="AF73" s="150">
        <f t="shared" si="61"/>
        <v>1.7647986549768195</v>
      </c>
      <c r="AG73" s="150">
        <f t="shared" si="61"/>
        <v>1.7383266751521673</v>
      </c>
      <c r="AH73" s="150">
        <f t="shared" si="61"/>
        <v>1.7122517750248847</v>
      </c>
      <c r="AI73" s="150">
        <f t="shared" si="61"/>
        <v>1.6865679983995114</v>
      </c>
      <c r="AJ73" s="150">
        <f t="shared" si="61"/>
        <v>1.6612694784235187</v>
      </c>
      <c r="AK73" s="150">
        <f t="shared" si="61"/>
        <v>1.6363504362471659</v>
      </c>
      <c r="AL73" s="150">
        <f t="shared" si="61"/>
        <v>1.6118051797034583</v>
      </c>
      <c r="AM73" s="150">
        <f t="shared" si="61"/>
        <v>1.5876281020079064</v>
      </c>
      <c r="AN73" s="150">
        <f t="shared" si="61"/>
        <v>1.5876281020079064</v>
      </c>
      <c r="AO73" s="149" t="s">
        <v>173</v>
      </c>
    </row>
    <row r="74" spans="1:41" x14ac:dyDescent="0.25">
      <c r="A74" s="149">
        <v>0.95</v>
      </c>
      <c r="B74" s="117" t="s">
        <v>291</v>
      </c>
      <c r="C74" s="149"/>
      <c r="D74" s="149"/>
      <c r="E74" s="149"/>
      <c r="F74" s="150">
        <f t="shared" ref="F74" si="62">F54*$A74</f>
        <v>2.5090954987567748</v>
      </c>
      <c r="G74" s="150">
        <f t="shared" ref="G74:AN74" si="63">G54*$A74</f>
        <v>2.3794408276351553</v>
      </c>
      <c r="H74" s="150">
        <f t="shared" si="63"/>
        <v>2.7526864476563562</v>
      </c>
      <c r="I74" s="150">
        <f t="shared" si="63"/>
        <v>1.8351242984375706</v>
      </c>
      <c r="J74" s="150">
        <f t="shared" si="63"/>
        <v>2.1427817984375701</v>
      </c>
      <c r="K74" s="150">
        <f t="shared" si="63"/>
        <v>2.45043929843757</v>
      </c>
      <c r="L74" s="150">
        <f t="shared" si="63"/>
        <v>2.7580967984375699</v>
      </c>
      <c r="M74" s="150">
        <f t="shared" si="63"/>
        <v>3.0657542984375694</v>
      </c>
      <c r="N74" s="150">
        <f t="shared" si="63"/>
        <v>3.3734117984375698</v>
      </c>
      <c r="O74" s="150">
        <f t="shared" si="63"/>
        <v>2.4612600000000002</v>
      </c>
      <c r="P74" s="150">
        <f t="shared" si="63"/>
        <v>2.5638125</v>
      </c>
      <c r="Q74" s="150">
        <f t="shared" si="63"/>
        <v>2.6663649999999999</v>
      </c>
      <c r="R74" s="150">
        <f t="shared" si="63"/>
        <v>2.7689174999999997</v>
      </c>
      <c r="S74" s="150">
        <f t="shared" si="63"/>
        <v>2.8714699999999995</v>
      </c>
      <c r="T74" s="150">
        <f t="shared" si="63"/>
        <v>2.8283979499999998</v>
      </c>
      <c r="U74" s="150">
        <f t="shared" si="63"/>
        <v>2.7859719807499999</v>
      </c>
      <c r="V74" s="150">
        <f t="shared" si="63"/>
        <v>2.7441824010387497</v>
      </c>
      <c r="W74" s="150">
        <f t="shared" si="63"/>
        <v>2.7030196650231688</v>
      </c>
      <c r="X74" s="150">
        <f t="shared" si="63"/>
        <v>2.6624743700478208</v>
      </c>
      <c r="Y74" s="150">
        <f t="shared" si="63"/>
        <v>2.6225372544971037</v>
      </c>
      <c r="Z74" s="150">
        <f t="shared" si="63"/>
        <v>2.5831991956796472</v>
      </c>
      <c r="AA74" s="150">
        <f t="shared" si="63"/>
        <v>2.5444512077444523</v>
      </c>
      <c r="AB74" s="150">
        <f t="shared" si="63"/>
        <v>2.5062844396282857</v>
      </c>
      <c r="AC74" s="150">
        <f t="shared" si="63"/>
        <v>2.4686901730338611</v>
      </c>
      <c r="AD74" s="150">
        <f t="shared" si="63"/>
        <v>2.431659820438353</v>
      </c>
      <c r="AE74" s="150">
        <f t="shared" si="63"/>
        <v>2.3951849231317781</v>
      </c>
      <c r="AF74" s="150">
        <f t="shared" si="63"/>
        <v>2.3592571492848013</v>
      </c>
      <c r="AG74" s="150">
        <f t="shared" si="63"/>
        <v>2.3238682920455287</v>
      </c>
      <c r="AH74" s="150">
        <f t="shared" si="63"/>
        <v>2.2890102676648461</v>
      </c>
      <c r="AI74" s="150">
        <f t="shared" si="63"/>
        <v>2.2546751136498733</v>
      </c>
      <c r="AJ74" s="150">
        <f t="shared" si="63"/>
        <v>2.2208549869451253</v>
      </c>
      <c r="AK74" s="150">
        <f t="shared" si="63"/>
        <v>2.1875421621409483</v>
      </c>
      <c r="AL74" s="150">
        <f t="shared" si="63"/>
        <v>2.1547290297088337</v>
      </c>
      <c r="AM74" s="150">
        <f t="shared" si="63"/>
        <v>2.1224080942632013</v>
      </c>
      <c r="AN74" s="150">
        <f t="shared" si="63"/>
        <v>2.1224080942632013</v>
      </c>
      <c r="AO74" s="149" t="s">
        <v>300</v>
      </c>
    </row>
    <row r="75" spans="1:41" x14ac:dyDescent="0.25">
      <c r="A75" s="149">
        <v>0.95</v>
      </c>
      <c r="B75" s="117" t="s">
        <v>297</v>
      </c>
      <c r="C75" s="149"/>
      <c r="D75" s="149"/>
      <c r="E75" s="149"/>
      <c r="F75" s="150">
        <f t="shared" ref="F75:G88" si="64">F56*$A75</f>
        <v>8.2685371431662009</v>
      </c>
      <c r="G75" s="150">
        <f t="shared" si="64"/>
        <v>10.555555555555555</v>
      </c>
      <c r="H75" s="150">
        <f t="shared" ref="H75:AN78" si="65">H56*$A75</f>
        <v>11.11179193899782</v>
      </c>
      <c r="I75" s="150">
        <f t="shared" si="65"/>
        <v>7.4078612926652134</v>
      </c>
      <c r="J75" s="150">
        <f t="shared" si="65"/>
        <v>8.1203612926652138</v>
      </c>
      <c r="K75" s="150">
        <f t="shared" si="65"/>
        <v>8.8328612926652124</v>
      </c>
      <c r="L75" s="150">
        <f t="shared" si="65"/>
        <v>9.5453612926652127</v>
      </c>
      <c r="M75" s="150">
        <f t="shared" si="65"/>
        <v>10.257861292665213</v>
      </c>
      <c r="N75" s="150">
        <f t="shared" si="65"/>
        <v>10.970361292665213</v>
      </c>
      <c r="O75" s="150">
        <f t="shared" si="65"/>
        <v>12.22426470588235</v>
      </c>
      <c r="P75" s="150">
        <f t="shared" si="65"/>
        <v>12.780501089324616</v>
      </c>
      <c r="Q75" s="150">
        <f t="shared" si="65"/>
        <v>13.336737472766881</v>
      </c>
      <c r="R75" s="150">
        <f t="shared" si="65"/>
        <v>13.892973856209146</v>
      </c>
      <c r="S75" s="150">
        <f t="shared" si="65"/>
        <v>14.449210239651411</v>
      </c>
      <c r="T75" s="150">
        <f t="shared" si="65"/>
        <v>13.726749727668839</v>
      </c>
      <c r="U75" s="150">
        <f t="shared" si="65"/>
        <v>13.040412241285397</v>
      </c>
      <c r="V75" s="150">
        <f t="shared" si="65"/>
        <v>12.388391629221127</v>
      </c>
      <c r="W75" s="150">
        <f t="shared" si="65"/>
        <v>11.768972047760069</v>
      </c>
      <c r="X75" s="150">
        <f t="shared" si="65"/>
        <v>11.180523445372065</v>
      </c>
      <c r="Y75" s="150">
        <f t="shared" si="65"/>
        <v>10.621497273103461</v>
      </c>
      <c r="Z75" s="150">
        <f t="shared" si="65"/>
        <v>10.090422409448287</v>
      </c>
      <c r="AA75" s="150">
        <f t="shared" si="65"/>
        <v>9.5859012889758723</v>
      </c>
      <c r="AB75" s="150">
        <f t="shared" si="65"/>
        <v>9.1066062245270789</v>
      </c>
      <c r="AC75" s="150">
        <f t="shared" si="65"/>
        <v>8.651275913300724</v>
      </c>
      <c r="AD75" s="150">
        <f t="shared" si="65"/>
        <v>8.2187121176356879</v>
      </c>
      <c r="AE75" s="150">
        <f t="shared" si="65"/>
        <v>7.8077765117539029</v>
      </c>
      <c r="AF75" s="150">
        <f t="shared" si="65"/>
        <v>7.4173876861662071</v>
      </c>
      <c r="AG75" s="150">
        <f t="shared" si="65"/>
        <v>7.0465183018578967</v>
      </c>
      <c r="AH75" s="150">
        <f t="shared" si="65"/>
        <v>6.6941923867650015</v>
      </c>
      <c r="AI75" s="150">
        <f t="shared" si="65"/>
        <v>6.3594827674267513</v>
      </c>
      <c r="AJ75" s="150">
        <f t="shared" si="65"/>
        <v>6.0415086290554134</v>
      </c>
      <c r="AK75" s="150">
        <f t="shared" si="65"/>
        <v>5.7394331976026427</v>
      </c>
      <c r="AL75" s="150">
        <f t="shared" si="65"/>
        <v>5.4524615377225105</v>
      </c>
      <c r="AM75" s="150">
        <f t="shared" si="65"/>
        <v>5.1798384608363843</v>
      </c>
      <c r="AN75" s="150">
        <f t="shared" si="65"/>
        <v>5.1798384608363843</v>
      </c>
      <c r="AO75" s="149" t="s">
        <v>178</v>
      </c>
    </row>
    <row r="76" spans="1:41" x14ac:dyDescent="0.25">
      <c r="A76" s="149">
        <v>0.95</v>
      </c>
      <c r="B76" s="117" t="s">
        <v>166</v>
      </c>
      <c r="C76" s="149"/>
      <c r="D76" s="149"/>
      <c r="E76" s="149"/>
      <c r="F76" s="150">
        <f t="shared" si="64"/>
        <v>10.490037536705078</v>
      </c>
      <c r="G76" s="150">
        <f t="shared" si="64"/>
        <v>13.391507116838488</v>
      </c>
      <c r="H76" s="150">
        <f t="shared" si="65"/>
        <v>14.097187026181695</v>
      </c>
      <c r="I76" s="150">
        <f t="shared" si="65"/>
        <v>9.3981246841211288</v>
      </c>
      <c r="J76" s="150">
        <f t="shared" si="65"/>
        <v>10.302051414507728</v>
      </c>
      <c r="K76" s="150">
        <f t="shared" si="65"/>
        <v>11.205978144894324</v>
      </c>
      <c r="L76" s="150">
        <f t="shared" si="65"/>
        <v>12.109904875280922</v>
      </c>
      <c r="M76" s="150">
        <f t="shared" si="65"/>
        <v>13.013831605667521</v>
      </c>
      <c r="N76" s="150">
        <f t="shared" si="65"/>
        <v>13.917758336054119</v>
      </c>
      <c r="O76" s="150">
        <f t="shared" si="65"/>
        <v>15.5085468448681</v>
      </c>
      <c r="P76" s="150">
        <f t="shared" si="65"/>
        <v>16.214226754211307</v>
      </c>
      <c r="Q76" s="150">
        <f t="shared" si="65"/>
        <v>16.919906663554507</v>
      </c>
      <c r="R76" s="150">
        <f t="shared" si="65"/>
        <v>17.625586572897713</v>
      </c>
      <c r="S76" s="150">
        <f t="shared" si="65"/>
        <v>18.331266482240917</v>
      </c>
      <c r="T76" s="150">
        <f t="shared" si="65"/>
        <v>17.414703158128869</v>
      </c>
      <c r="U76" s="150">
        <f t="shared" si="65"/>
        <v>16.543968000222424</v>
      </c>
      <c r="V76" s="150">
        <f t="shared" si="65"/>
        <v>15.716769600211302</v>
      </c>
      <c r="W76" s="150">
        <f t="shared" si="65"/>
        <v>14.930931120200738</v>
      </c>
      <c r="X76" s="150">
        <f t="shared" si="65"/>
        <v>14.184384564190699</v>
      </c>
      <c r="Y76" s="150">
        <f t="shared" si="65"/>
        <v>13.475165335981165</v>
      </c>
      <c r="Z76" s="150">
        <f t="shared" si="65"/>
        <v>12.801407069182106</v>
      </c>
      <c r="AA76" s="150">
        <f t="shared" si="65"/>
        <v>12.161336715722999</v>
      </c>
      <c r="AB76" s="150">
        <f t="shared" si="65"/>
        <v>11.553269879936849</v>
      </c>
      <c r="AC76" s="150">
        <f t="shared" si="65"/>
        <v>10.975606385940006</v>
      </c>
      <c r="AD76" s="150">
        <f t="shared" si="65"/>
        <v>10.426826066643006</v>
      </c>
      <c r="AE76" s="150">
        <f t="shared" si="65"/>
        <v>9.9054847633108558</v>
      </c>
      <c r="AF76" s="150">
        <f t="shared" si="65"/>
        <v>9.4102105251453114</v>
      </c>
      <c r="AG76" s="150">
        <f t="shared" si="65"/>
        <v>8.9396999988880452</v>
      </c>
      <c r="AH76" s="150">
        <f t="shared" si="65"/>
        <v>8.4927149989436419</v>
      </c>
      <c r="AI76" s="150">
        <f t="shared" si="65"/>
        <v>8.0680792489964599</v>
      </c>
      <c r="AJ76" s="150">
        <f t="shared" si="65"/>
        <v>7.6646752865466361</v>
      </c>
      <c r="AK76" s="150">
        <f t="shared" si="65"/>
        <v>7.2814415222193052</v>
      </c>
      <c r="AL76" s="150">
        <f t="shared" si="65"/>
        <v>6.9173694461083395</v>
      </c>
      <c r="AM76" s="150">
        <f t="shared" si="65"/>
        <v>6.5715009738029222</v>
      </c>
      <c r="AN76" s="150">
        <f t="shared" si="65"/>
        <v>6.5715009738029222</v>
      </c>
      <c r="AO76" s="149" t="s">
        <v>179</v>
      </c>
    </row>
    <row r="77" spans="1:41" x14ac:dyDescent="0.25">
      <c r="A77" s="149">
        <v>0.95</v>
      </c>
      <c r="B77" s="117" t="s">
        <v>167</v>
      </c>
      <c r="C77" s="149"/>
      <c r="D77" s="149"/>
      <c r="E77" s="149"/>
      <c r="F77" s="150">
        <f t="shared" si="64"/>
        <v>11.663677701545799</v>
      </c>
      <c r="G77" s="150">
        <f t="shared" si="64"/>
        <v>14.88976778226302</v>
      </c>
      <c r="H77" s="150">
        <f t="shared" si="65"/>
        <v>15.674400153142075</v>
      </c>
      <c r="I77" s="150">
        <f t="shared" si="65"/>
        <v>10.449600102094717</v>
      </c>
      <c r="J77" s="150">
        <f t="shared" si="65"/>
        <v>11.45465942739747</v>
      </c>
      <c r="K77" s="150">
        <f t="shared" si="65"/>
        <v>12.459718752700224</v>
      </c>
      <c r="L77" s="150">
        <f t="shared" si="65"/>
        <v>13.464778078002977</v>
      </c>
      <c r="M77" s="150">
        <f t="shared" si="65"/>
        <v>14.469837403305732</v>
      </c>
      <c r="N77" s="150">
        <f t="shared" si="65"/>
        <v>15.474896728608485</v>
      </c>
      <c r="O77" s="150">
        <f t="shared" si="65"/>
        <v>17.243664894900185</v>
      </c>
      <c r="P77" s="150">
        <f t="shared" si="65"/>
        <v>18.028297265779241</v>
      </c>
      <c r="Q77" s="150">
        <f t="shared" si="65"/>
        <v>18.812929636658296</v>
      </c>
      <c r="R77" s="150">
        <f t="shared" si="65"/>
        <v>19.597562007537352</v>
      </c>
      <c r="S77" s="150">
        <f t="shared" si="65"/>
        <v>20.382194378416408</v>
      </c>
      <c r="T77" s="150">
        <f t="shared" si="65"/>
        <v>19.363084659495588</v>
      </c>
      <c r="U77" s="150">
        <f t="shared" si="65"/>
        <v>18.394930426520805</v>
      </c>
      <c r="V77" s="150">
        <f t="shared" si="65"/>
        <v>17.475183905194765</v>
      </c>
      <c r="W77" s="150">
        <f t="shared" si="65"/>
        <v>16.601424709935024</v>
      </c>
      <c r="X77" s="150">
        <f t="shared" si="65"/>
        <v>15.771353474438273</v>
      </c>
      <c r="Y77" s="150">
        <f t="shared" si="65"/>
        <v>14.982785800716359</v>
      </c>
      <c r="Z77" s="150">
        <f t="shared" si="65"/>
        <v>14.23364651068054</v>
      </c>
      <c r="AA77" s="150">
        <f t="shared" si="65"/>
        <v>13.52196418514651</v>
      </c>
      <c r="AB77" s="150">
        <f t="shared" si="65"/>
        <v>12.845865975889184</v>
      </c>
      <c r="AC77" s="150">
        <f t="shared" si="65"/>
        <v>12.203572677094726</v>
      </c>
      <c r="AD77" s="150">
        <f t="shared" si="65"/>
        <v>11.593394043239988</v>
      </c>
      <c r="AE77" s="150">
        <f t="shared" si="65"/>
        <v>11.013724341077989</v>
      </c>
      <c r="AF77" s="150">
        <f t="shared" si="65"/>
        <v>10.46303812402409</v>
      </c>
      <c r="AG77" s="150">
        <f t="shared" si="65"/>
        <v>9.9398862178228828</v>
      </c>
      <c r="AH77" s="150">
        <f t="shared" si="65"/>
        <v>9.4428919069317399</v>
      </c>
      <c r="AI77" s="150">
        <f t="shared" si="65"/>
        <v>8.9707473115851517</v>
      </c>
      <c r="AJ77" s="150">
        <f t="shared" si="65"/>
        <v>8.5222099460058942</v>
      </c>
      <c r="AK77" s="150">
        <f t="shared" si="65"/>
        <v>8.0960994487055995</v>
      </c>
      <c r="AL77" s="150">
        <f t="shared" si="65"/>
        <v>7.6912944762703193</v>
      </c>
      <c r="AM77" s="150">
        <f t="shared" si="65"/>
        <v>7.3067297524568033</v>
      </c>
      <c r="AN77" s="150">
        <f t="shared" si="65"/>
        <v>7.3067297524568033</v>
      </c>
      <c r="AO77" s="149" t="s">
        <v>180</v>
      </c>
    </row>
    <row r="78" spans="1:41" x14ac:dyDescent="0.25">
      <c r="A78" s="149">
        <v>0.95</v>
      </c>
      <c r="B78" s="117" t="s">
        <v>168</v>
      </c>
      <c r="C78" s="149"/>
      <c r="D78" s="149"/>
      <c r="E78" s="149"/>
      <c r="F78" s="150">
        <f t="shared" si="64"/>
        <v>9.3847896574936378</v>
      </c>
      <c r="G78" s="150">
        <f t="shared" si="64"/>
        <v>11.980555555555554</v>
      </c>
      <c r="H78" s="150">
        <f t="shared" si="65"/>
        <v>12.611883850762524</v>
      </c>
      <c r="I78" s="150">
        <f t="shared" si="65"/>
        <v>8.4079225671750173</v>
      </c>
      <c r="J78" s="150">
        <f t="shared" si="65"/>
        <v>9.2166100671750169</v>
      </c>
      <c r="K78" s="150">
        <f t="shared" si="65"/>
        <v>10.025297567175018</v>
      </c>
      <c r="L78" s="150">
        <f t="shared" ref="H78:AN85" si="66">L59*$A78</f>
        <v>10.833985067175016</v>
      </c>
      <c r="M78" s="150">
        <f t="shared" si="66"/>
        <v>11.642672567175016</v>
      </c>
      <c r="N78" s="150">
        <f t="shared" si="66"/>
        <v>12.451360067175017</v>
      </c>
      <c r="O78" s="150">
        <f t="shared" si="66"/>
        <v>13.874540441176467</v>
      </c>
      <c r="P78" s="150">
        <f t="shared" si="66"/>
        <v>14.505868736383439</v>
      </c>
      <c r="Q78" s="150">
        <f t="shared" si="66"/>
        <v>15.137197031590409</v>
      </c>
      <c r="R78" s="150">
        <f t="shared" si="66"/>
        <v>15.768525326797379</v>
      </c>
      <c r="S78" s="150">
        <f t="shared" si="66"/>
        <v>16.39985362200435</v>
      </c>
      <c r="T78" s="150">
        <f t="shared" si="66"/>
        <v>15.579860940904132</v>
      </c>
      <c r="U78" s="150">
        <f t="shared" si="66"/>
        <v>14.800867893858925</v>
      </c>
      <c r="V78" s="150">
        <f t="shared" si="66"/>
        <v>14.060824499165978</v>
      </c>
      <c r="W78" s="150">
        <f t="shared" si="66"/>
        <v>13.35778327420768</v>
      </c>
      <c r="X78" s="150">
        <f t="shared" si="66"/>
        <v>12.689894110497294</v>
      </c>
      <c r="Y78" s="150">
        <f t="shared" si="66"/>
        <v>12.055399404972428</v>
      </c>
      <c r="Z78" s="150">
        <f t="shared" si="66"/>
        <v>11.452629434723807</v>
      </c>
      <c r="AA78" s="150">
        <f t="shared" si="66"/>
        <v>10.879997962987614</v>
      </c>
      <c r="AB78" s="150">
        <f t="shared" si="66"/>
        <v>10.335998064838233</v>
      </c>
      <c r="AC78" s="150">
        <f t="shared" si="66"/>
        <v>9.8191981615963222</v>
      </c>
      <c r="AD78" s="150">
        <f t="shared" si="66"/>
        <v>9.3282382535165063</v>
      </c>
      <c r="AE78" s="150">
        <f t="shared" si="66"/>
        <v>8.8618263408406808</v>
      </c>
      <c r="AF78" s="150">
        <f t="shared" si="66"/>
        <v>8.4187350237986447</v>
      </c>
      <c r="AG78" s="150">
        <f t="shared" si="66"/>
        <v>7.997798272608712</v>
      </c>
      <c r="AH78" s="150">
        <f t="shared" si="66"/>
        <v>7.5979083589782768</v>
      </c>
      <c r="AI78" s="150">
        <f t="shared" si="66"/>
        <v>7.2180129410293628</v>
      </c>
      <c r="AJ78" s="150">
        <f t="shared" si="66"/>
        <v>6.8571122939778943</v>
      </c>
      <c r="AK78" s="150">
        <f t="shared" si="66"/>
        <v>6.5142566792789998</v>
      </c>
      <c r="AL78" s="150">
        <f t="shared" si="66"/>
        <v>6.1885438453150492</v>
      </c>
      <c r="AM78" s="150">
        <f t="shared" si="66"/>
        <v>5.8791166530492962</v>
      </c>
      <c r="AN78" s="150">
        <f t="shared" si="66"/>
        <v>5.8791166530492962</v>
      </c>
      <c r="AO78" s="149" t="s">
        <v>181</v>
      </c>
    </row>
    <row r="79" spans="1:41" x14ac:dyDescent="0.25">
      <c r="A79" s="149">
        <v>0.95</v>
      </c>
      <c r="B79" s="117" t="s">
        <v>263</v>
      </c>
      <c r="C79" s="149"/>
      <c r="D79" s="149"/>
      <c r="E79" s="149"/>
      <c r="F79" s="150">
        <f t="shared" si="64"/>
        <v>5.8400677842182889</v>
      </c>
      <c r="G79" s="150">
        <f t="shared" si="64"/>
        <v>7.4553888888888888</v>
      </c>
      <c r="H79" s="150">
        <f t="shared" si="66"/>
        <v>7.8482586465141608</v>
      </c>
      <c r="I79" s="150">
        <f t="shared" si="66"/>
        <v>5.2321724310094408</v>
      </c>
      <c r="J79" s="150">
        <f t="shared" si="66"/>
        <v>5.7354111810094404</v>
      </c>
      <c r="K79" s="150">
        <f t="shared" si="66"/>
        <v>6.2386499310094408</v>
      </c>
      <c r="L79" s="150">
        <f t="shared" si="66"/>
        <v>6.7418886810094412</v>
      </c>
      <c r="M79" s="150">
        <f t="shared" si="66"/>
        <v>7.2451274310094407</v>
      </c>
      <c r="N79" s="150">
        <f t="shared" si="66"/>
        <v>7.7483661810094411</v>
      </c>
      <c r="O79" s="150">
        <f t="shared" si="66"/>
        <v>8.6339981617647048</v>
      </c>
      <c r="P79" s="150">
        <f t="shared" si="66"/>
        <v>9.0268679193899768</v>
      </c>
      <c r="Q79" s="150">
        <f t="shared" si="66"/>
        <v>9.419737677015247</v>
      </c>
      <c r="R79" s="150">
        <f t="shared" si="66"/>
        <v>9.8126074346405208</v>
      </c>
      <c r="S79" s="150">
        <f t="shared" si="66"/>
        <v>10.205477192265791</v>
      </c>
      <c r="T79" s="150">
        <f t="shared" si="66"/>
        <v>9.6952033326525022</v>
      </c>
      <c r="U79" s="150">
        <f t="shared" si="66"/>
        <v>9.2104431660198767</v>
      </c>
      <c r="V79" s="150">
        <f t="shared" si="66"/>
        <v>8.749921007718882</v>
      </c>
      <c r="W79" s="150">
        <f t="shared" si="66"/>
        <v>8.3124249573329383</v>
      </c>
      <c r="X79" s="150">
        <f t="shared" si="66"/>
        <v>7.8968037094662913</v>
      </c>
      <c r="Y79" s="150">
        <f t="shared" si="66"/>
        <v>7.5019635239929752</v>
      </c>
      <c r="Z79" s="150">
        <f t="shared" si="66"/>
        <v>7.1268653477933261</v>
      </c>
      <c r="AA79" s="150">
        <f t="shared" si="66"/>
        <v>6.7705220804036585</v>
      </c>
      <c r="AB79" s="150">
        <f t="shared" si="66"/>
        <v>6.431995976383476</v>
      </c>
      <c r="AC79" s="150">
        <f t="shared" si="66"/>
        <v>6.1103961775643016</v>
      </c>
      <c r="AD79" s="150">
        <f t="shared" si="66"/>
        <v>5.8048763686860863</v>
      </c>
      <c r="AE79" s="150">
        <f t="shared" si="66"/>
        <v>5.5146325502517817</v>
      </c>
      <c r="AF79" s="150">
        <f t="shared" si="66"/>
        <v>5.2389009227391927</v>
      </c>
      <c r="AG79" s="150">
        <f t="shared" si="66"/>
        <v>4.9769558766022328</v>
      </c>
      <c r="AH79" s="150">
        <f t="shared" si="66"/>
        <v>4.7281080827721214</v>
      </c>
      <c r="AI79" s="150">
        <f t="shared" si="66"/>
        <v>4.4917026786335139</v>
      </c>
      <c r="AJ79" s="150">
        <f t="shared" si="66"/>
        <v>4.267117544701839</v>
      </c>
      <c r="AK79" s="150">
        <f t="shared" si="66"/>
        <v>4.0537616674667465</v>
      </c>
      <c r="AL79" s="150">
        <f t="shared" si="66"/>
        <v>3.8510735840934092</v>
      </c>
      <c r="AM79" s="150">
        <f t="shared" si="66"/>
        <v>3.6585199048887391</v>
      </c>
      <c r="AN79" s="150">
        <f t="shared" si="66"/>
        <v>3.6585199048887391</v>
      </c>
      <c r="AO79" s="149" t="s">
        <v>262</v>
      </c>
    </row>
    <row r="80" spans="1:41" x14ac:dyDescent="0.25">
      <c r="A80" s="149">
        <v>0.95</v>
      </c>
      <c r="B80" s="117" t="s">
        <v>169</v>
      </c>
      <c r="C80" s="149"/>
      <c r="D80" s="149"/>
      <c r="E80" s="149"/>
      <c r="F80" s="150">
        <f t="shared" si="64"/>
        <v>11.344367510710727</v>
      </c>
      <c r="G80" s="150">
        <f t="shared" si="64"/>
        <v>14.482138669584931</v>
      </c>
      <c r="H80" s="150">
        <f t="shared" si="66"/>
        <v>15.245290584771389</v>
      </c>
      <c r="I80" s="150">
        <f t="shared" si="66"/>
        <v>10.16352705651426</v>
      </c>
      <c r="J80" s="150">
        <f t="shared" si="66"/>
        <v>11.141071416711243</v>
      </c>
      <c r="K80" s="150">
        <f t="shared" si="66"/>
        <v>12.118615776908225</v>
      </c>
      <c r="L80" s="150">
        <f t="shared" si="66"/>
        <v>13.096160137105208</v>
      </c>
      <c r="M80" s="150">
        <f t="shared" si="66"/>
        <v>14.073704497302192</v>
      </c>
      <c r="N80" s="150">
        <f t="shared" si="66"/>
        <v>15.051248857499175</v>
      </c>
      <c r="O80" s="150">
        <f t="shared" si="66"/>
        <v>16.77159441514431</v>
      </c>
      <c r="P80" s="150">
        <f t="shared" si="66"/>
        <v>17.534746330330773</v>
      </c>
      <c r="Q80" s="150">
        <f t="shared" si="66"/>
        <v>18.297898245517231</v>
      </c>
      <c r="R80" s="150">
        <f t="shared" si="66"/>
        <v>19.06105016070369</v>
      </c>
      <c r="S80" s="150">
        <f t="shared" si="66"/>
        <v>19.824202075890149</v>
      </c>
      <c r="T80" s="150">
        <f t="shared" si="66"/>
        <v>18.832991972095641</v>
      </c>
      <c r="U80" s="150">
        <f t="shared" si="66"/>
        <v>17.891342373490858</v>
      </c>
      <c r="V80" s="150">
        <f t="shared" si="66"/>
        <v>16.996775254816313</v>
      </c>
      <c r="W80" s="150">
        <f t="shared" si="66"/>
        <v>16.146936492075501</v>
      </c>
      <c r="X80" s="150">
        <f t="shared" si="66"/>
        <v>15.339589667471721</v>
      </c>
      <c r="Y80" s="150">
        <f t="shared" si="66"/>
        <v>14.572610184098135</v>
      </c>
      <c r="Z80" s="150">
        <f t="shared" si="66"/>
        <v>13.843979674893228</v>
      </c>
      <c r="AA80" s="150">
        <f t="shared" si="66"/>
        <v>13.151780691148565</v>
      </c>
      <c r="AB80" s="150">
        <f t="shared" si="66"/>
        <v>12.494191656591136</v>
      </c>
      <c r="AC80" s="150">
        <f t="shared" si="66"/>
        <v>11.86948207376158</v>
      </c>
      <c r="AD80" s="150">
        <f t="shared" si="66"/>
        <v>11.276007970073501</v>
      </c>
      <c r="AE80" s="150">
        <f t="shared" si="66"/>
        <v>10.712207571569826</v>
      </c>
      <c r="AF80" s="150">
        <f t="shared" si="66"/>
        <v>10.176597192991332</v>
      </c>
      <c r="AG80" s="150">
        <f t="shared" si="66"/>
        <v>9.6677673333417644</v>
      </c>
      <c r="AH80" s="150">
        <f t="shared" si="66"/>
        <v>9.1843789666746769</v>
      </c>
      <c r="AI80" s="150">
        <f t="shared" si="66"/>
        <v>8.7251600183409419</v>
      </c>
      <c r="AJ80" s="150">
        <f t="shared" si="66"/>
        <v>8.2889020174238937</v>
      </c>
      <c r="AK80" s="150">
        <f t="shared" si="66"/>
        <v>7.8744569165526999</v>
      </c>
      <c r="AL80" s="150">
        <f t="shared" si="66"/>
        <v>7.4807340707250649</v>
      </c>
      <c r="AM80" s="150">
        <f t="shared" si="66"/>
        <v>7.1066973671888114</v>
      </c>
      <c r="AN80" s="150">
        <f t="shared" si="66"/>
        <v>7.1066973671888114</v>
      </c>
      <c r="AO80" s="149" t="s">
        <v>182</v>
      </c>
    </row>
    <row r="81" spans="1:41" x14ac:dyDescent="0.25">
      <c r="A81" s="149">
        <v>0.95</v>
      </c>
      <c r="B81" s="109" t="s">
        <v>340</v>
      </c>
      <c r="C81" s="149"/>
      <c r="D81" s="149"/>
      <c r="E81" s="149"/>
      <c r="F81" s="150">
        <f t="shared" si="64"/>
        <v>5.8403653235815227</v>
      </c>
      <c r="G81" s="150">
        <f t="shared" si="64"/>
        <v>7.4557687255182952</v>
      </c>
      <c r="H81" s="150">
        <f t="shared" si="66"/>
        <v>7.8486584990443813</v>
      </c>
      <c r="I81" s="150">
        <f t="shared" si="66"/>
        <v>5.2324389993629206</v>
      </c>
      <c r="J81" s="150">
        <f t="shared" si="66"/>
        <v>5.7357033883354056</v>
      </c>
      <c r="K81" s="150">
        <f t="shared" si="66"/>
        <v>6.2389677773078906</v>
      </c>
      <c r="L81" s="150">
        <f t="shared" si="66"/>
        <v>6.7422321662803757</v>
      </c>
      <c r="M81" s="150">
        <f t="shared" si="66"/>
        <v>7.2454965552528607</v>
      </c>
      <c r="N81" s="150">
        <f t="shared" si="66"/>
        <v>7.7487609442253449</v>
      </c>
      <c r="O81" s="150">
        <f t="shared" si="66"/>
        <v>8.6344380460965535</v>
      </c>
      <c r="P81" s="150">
        <f t="shared" si="66"/>
        <v>9.0273278196226396</v>
      </c>
      <c r="Q81" s="150">
        <f t="shared" si="66"/>
        <v>9.4202175931487258</v>
      </c>
      <c r="R81" s="150">
        <f t="shared" si="66"/>
        <v>9.8131073666748136</v>
      </c>
      <c r="S81" s="150">
        <f t="shared" si="66"/>
        <v>10.205997140200898</v>
      </c>
      <c r="T81" s="150">
        <f t="shared" si="66"/>
        <v>9.695697283190853</v>
      </c>
      <c r="U81" s="150">
        <f t="shared" si="66"/>
        <v>9.2109124190313096</v>
      </c>
      <c r="V81" s="150">
        <f t="shared" si="66"/>
        <v>8.7503667980797442</v>
      </c>
      <c r="W81" s="150">
        <f t="shared" si="66"/>
        <v>8.3128484581757558</v>
      </c>
      <c r="X81" s="150">
        <f t="shared" si="66"/>
        <v>7.8972060352669677</v>
      </c>
      <c r="Y81" s="150">
        <f t="shared" si="66"/>
        <v>7.5023457335036188</v>
      </c>
      <c r="Z81" s="150">
        <f t="shared" si="66"/>
        <v>7.1272284468284379</v>
      </c>
      <c r="AA81" s="150">
        <f t="shared" si="66"/>
        <v>6.7708670244870151</v>
      </c>
      <c r="AB81" s="150">
        <f t="shared" si="66"/>
        <v>6.4323236732626636</v>
      </c>
      <c r="AC81" s="150">
        <f t="shared" si="66"/>
        <v>6.1107074895995313</v>
      </c>
      <c r="AD81" s="150">
        <f t="shared" si="66"/>
        <v>5.8051721151195537</v>
      </c>
      <c r="AE81" s="150">
        <f t="shared" si="66"/>
        <v>5.5149135093635762</v>
      </c>
      <c r="AF81" s="150">
        <f t="shared" si="66"/>
        <v>5.2391678338953973</v>
      </c>
      <c r="AG81" s="150">
        <f t="shared" si="66"/>
        <v>4.9772094422006266</v>
      </c>
      <c r="AH81" s="150">
        <f t="shared" si="66"/>
        <v>4.728348970090595</v>
      </c>
      <c r="AI81" s="150">
        <f t="shared" si="66"/>
        <v>4.4919315215860651</v>
      </c>
      <c r="AJ81" s="150">
        <f t="shared" si="66"/>
        <v>4.2673349455067617</v>
      </c>
      <c r="AK81" s="150">
        <f t="shared" si="66"/>
        <v>4.0539681982314235</v>
      </c>
      <c r="AL81" s="150">
        <f t="shared" si="66"/>
        <v>3.8512697883198523</v>
      </c>
      <c r="AM81" s="150">
        <f t="shared" si="66"/>
        <v>3.6587062989038599</v>
      </c>
      <c r="AN81" s="150">
        <f t="shared" si="66"/>
        <v>3.6587062989038599</v>
      </c>
      <c r="AO81" s="149" t="s">
        <v>183</v>
      </c>
    </row>
    <row r="82" spans="1:41" x14ac:dyDescent="0.25">
      <c r="A82" s="149">
        <v>0.95</v>
      </c>
      <c r="B82" s="117" t="s">
        <v>170</v>
      </c>
      <c r="C82" s="149"/>
      <c r="D82" s="149"/>
      <c r="E82" s="149"/>
      <c r="F82" s="150">
        <f t="shared" si="64"/>
        <v>5.8403653235815227</v>
      </c>
      <c r="G82" s="150">
        <f t="shared" si="64"/>
        <v>7.4557687255182952</v>
      </c>
      <c r="H82" s="150">
        <f t="shared" si="66"/>
        <v>7.8486584990443813</v>
      </c>
      <c r="I82" s="150">
        <f t="shared" si="66"/>
        <v>5.2324389993629206</v>
      </c>
      <c r="J82" s="150">
        <f t="shared" si="66"/>
        <v>5.7357033883354056</v>
      </c>
      <c r="K82" s="150">
        <f t="shared" si="66"/>
        <v>6.2389677773078906</v>
      </c>
      <c r="L82" s="150">
        <f t="shared" si="66"/>
        <v>6.7422321662803757</v>
      </c>
      <c r="M82" s="150">
        <f t="shared" si="66"/>
        <v>7.2454965552528607</v>
      </c>
      <c r="N82" s="150">
        <f t="shared" si="66"/>
        <v>7.7487609442253449</v>
      </c>
      <c r="O82" s="150">
        <f t="shared" si="66"/>
        <v>8.6344380460965535</v>
      </c>
      <c r="P82" s="150">
        <f t="shared" si="66"/>
        <v>9.0273278196226396</v>
      </c>
      <c r="Q82" s="150">
        <f t="shared" si="66"/>
        <v>9.4202175931487258</v>
      </c>
      <c r="R82" s="150">
        <f t="shared" si="66"/>
        <v>9.8131073666748136</v>
      </c>
      <c r="S82" s="150">
        <f t="shared" si="66"/>
        <v>10.205997140200898</v>
      </c>
      <c r="T82" s="150">
        <f t="shared" si="66"/>
        <v>9.695697283190853</v>
      </c>
      <c r="U82" s="150">
        <f t="shared" si="66"/>
        <v>9.2109124190313096</v>
      </c>
      <c r="V82" s="150">
        <f t="shared" si="66"/>
        <v>8.7503667980797442</v>
      </c>
      <c r="W82" s="150">
        <f t="shared" si="66"/>
        <v>8.3128484581757558</v>
      </c>
      <c r="X82" s="150">
        <f t="shared" si="66"/>
        <v>7.8972060352669677</v>
      </c>
      <c r="Y82" s="150">
        <f t="shared" si="66"/>
        <v>7.5023457335036188</v>
      </c>
      <c r="Z82" s="150">
        <f t="shared" si="66"/>
        <v>7.1272284468284379</v>
      </c>
      <c r="AA82" s="150">
        <f t="shared" si="66"/>
        <v>6.7708670244870151</v>
      </c>
      <c r="AB82" s="150">
        <f t="shared" si="66"/>
        <v>6.4323236732626636</v>
      </c>
      <c r="AC82" s="150">
        <f t="shared" si="66"/>
        <v>6.1107074895995313</v>
      </c>
      <c r="AD82" s="150">
        <f t="shared" si="66"/>
        <v>5.8051721151195537</v>
      </c>
      <c r="AE82" s="150">
        <f t="shared" si="66"/>
        <v>5.5149135093635762</v>
      </c>
      <c r="AF82" s="150">
        <f t="shared" si="66"/>
        <v>5.2391678338953973</v>
      </c>
      <c r="AG82" s="150">
        <f t="shared" si="66"/>
        <v>4.9772094422006266</v>
      </c>
      <c r="AH82" s="150">
        <f t="shared" si="66"/>
        <v>4.728348970090595</v>
      </c>
      <c r="AI82" s="150">
        <f t="shared" si="66"/>
        <v>4.4919315215860651</v>
      </c>
      <c r="AJ82" s="150">
        <f t="shared" si="66"/>
        <v>4.2673349455067617</v>
      </c>
      <c r="AK82" s="150">
        <f t="shared" si="66"/>
        <v>4.0539681982314235</v>
      </c>
      <c r="AL82" s="150">
        <f t="shared" si="66"/>
        <v>3.8512697883198523</v>
      </c>
      <c r="AM82" s="150">
        <f t="shared" si="66"/>
        <v>3.6587062989038599</v>
      </c>
      <c r="AN82" s="150">
        <f t="shared" si="66"/>
        <v>3.6587062989038599</v>
      </c>
      <c r="AO82" s="149" t="s">
        <v>184</v>
      </c>
    </row>
    <row r="83" spans="1:41" x14ac:dyDescent="0.25">
      <c r="A83" s="149">
        <v>0.95</v>
      </c>
      <c r="B83" s="117" t="s">
        <v>171</v>
      </c>
      <c r="C83" s="149"/>
      <c r="D83" s="149"/>
      <c r="E83" s="149"/>
      <c r="F83" s="150">
        <f t="shared" si="64"/>
        <v>5.8403653235815227</v>
      </c>
      <c r="G83" s="150">
        <f t="shared" si="64"/>
        <v>7.4557687255182952</v>
      </c>
      <c r="H83" s="150">
        <f t="shared" si="66"/>
        <v>7.8486584990443813</v>
      </c>
      <c r="I83" s="150">
        <f t="shared" si="66"/>
        <v>5.2324389993629206</v>
      </c>
      <c r="J83" s="150">
        <f t="shared" si="66"/>
        <v>5.7357033883354056</v>
      </c>
      <c r="K83" s="150">
        <f t="shared" si="66"/>
        <v>6.2389677773078906</v>
      </c>
      <c r="L83" s="150">
        <f t="shared" si="66"/>
        <v>6.7422321662803757</v>
      </c>
      <c r="M83" s="150">
        <f t="shared" si="66"/>
        <v>7.2454965552528607</v>
      </c>
      <c r="N83" s="150">
        <f t="shared" si="66"/>
        <v>7.7487609442253449</v>
      </c>
      <c r="O83" s="150">
        <f t="shared" si="66"/>
        <v>8.6344380460965535</v>
      </c>
      <c r="P83" s="150">
        <f t="shared" si="66"/>
        <v>9.0273278196226396</v>
      </c>
      <c r="Q83" s="150">
        <f t="shared" si="66"/>
        <v>9.4202175931487258</v>
      </c>
      <c r="R83" s="150">
        <f t="shared" si="66"/>
        <v>9.8131073666748136</v>
      </c>
      <c r="S83" s="150">
        <f t="shared" si="66"/>
        <v>10.205997140200898</v>
      </c>
      <c r="T83" s="150">
        <f t="shared" si="66"/>
        <v>9.695697283190853</v>
      </c>
      <c r="U83" s="150">
        <f t="shared" si="66"/>
        <v>9.2109124190313096</v>
      </c>
      <c r="V83" s="150">
        <f t="shared" si="66"/>
        <v>8.7503667980797442</v>
      </c>
      <c r="W83" s="150">
        <f t="shared" si="66"/>
        <v>8.3128484581757558</v>
      </c>
      <c r="X83" s="150">
        <f t="shared" si="66"/>
        <v>7.8972060352669677</v>
      </c>
      <c r="Y83" s="150">
        <f t="shared" si="66"/>
        <v>7.5023457335036188</v>
      </c>
      <c r="Z83" s="150">
        <f t="shared" si="66"/>
        <v>7.1272284468284379</v>
      </c>
      <c r="AA83" s="150">
        <f t="shared" si="66"/>
        <v>6.7708670244870151</v>
      </c>
      <c r="AB83" s="150">
        <f t="shared" si="66"/>
        <v>6.4323236732626636</v>
      </c>
      <c r="AC83" s="150">
        <f t="shared" si="66"/>
        <v>6.1107074895995313</v>
      </c>
      <c r="AD83" s="150">
        <f t="shared" si="66"/>
        <v>5.8051721151195537</v>
      </c>
      <c r="AE83" s="150">
        <f t="shared" si="66"/>
        <v>5.5149135093635762</v>
      </c>
      <c r="AF83" s="150">
        <f t="shared" si="66"/>
        <v>5.2391678338953973</v>
      </c>
      <c r="AG83" s="150">
        <f t="shared" si="66"/>
        <v>4.9772094422006266</v>
      </c>
      <c r="AH83" s="150">
        <f t="shared" si="66"/>
        <v>4.728348970090595</v>
      </c>
      <c r="AI83" s="150">
        <f t="shared" si="66"/>
        <v>4.4919315215860651</v>
      </c>
      <c r="AJ83" s="150">
        <f t="shared" si="66"/>
        <v>4.2673349455067617</v>
      </c>
      <c r="AK83" s="150">
        <f t="shared" si="66"/>
        <v>4.0539681982314235</v>
      </c>
      <c r="AL83" s="150">
        <f t="shared" si="66"/>
        <v>3.8512697883198523</v>
      </c>
      <c r="AM83" s="150">
        <f t="shared" si="66"/>
        <v>3.6587062989038599</v>
      </c>
      <c r="AN83" s="150">
        <f t="shared" si="66"/>
        <v>3.6587062989038599</v>
      </c>
      <c r="AO83" s="149" t="s">
        <v>185</v>
      </c>
    </row>
    <row r="84" spans="1:41" x14ac:dyDescent="0.25">
      <c r="A84" s="149">
        <v>0.95</v>
      </c>
      <c r="B84" s="117" t="s">
        <v>332</v>
      </c>
      <c r="C84" s="149"/>
      <c r="D84" s="149"/>
      <c r="E84" s="149"/>
      <c r="F84" s="150">
        <f t="shared" si="64"/>
        <v>5.3496977735439817</v>
      </c>
      <c r="G84" s="150">
        <f t="shared" si="64"/>
        <v>6.8432387399999994</v>
      </c>
      <c r="H84" s="150">
        <f t="shared" si="66"/>
        <v>6.9407849062499993</v>
      </c>
      <c r="I84" s="150">
        <f t="shared" si="66"/>
        <v>4.6271899374999998</v>
      </c>
      <c r="J84" s="150">
        <f t="shared" si="66"/>
        <v>5.1021899374999995</v>
      </c>
      <c r="K84" s="150">
        <f t="shared" si="66"/>
        <v>5.5771899374999991</v>
      </c>
      <c r="L84" s="150">
        <f t="shared" si="66"/>
        <v>6.0521899374999997</v>
      </c>
      <c r="M84" s="150">
        <f t="shared" si="66"/>
        <v>6.5271899374999993</v>
      </c>
      <c r="N84" s="150">
        <f t="shared" si="66"/>
        <v>7.002189937499999</v>
      </c>
      <c r="O84" s="150">
        <f t="shared" si="66"/>
        <v>7.13587723875</v>
      </c>
      <c r="P84" s="150">
        <f t="shared" si="66"/>
        <v>7.2334234049999999</v>
      </c>
      <c r="Q84" s="150">
        <f t="shared" si="66"/>
        <v>7.3309695712499998</v>
      </c>
      <c r="R84" s="150">
        <f t="shared" si="66"/>
        <v>7.4285157374999997</v>
      </c>
      <c r="S84" s="150">
        <f t="shared" si="66"/>
        <v>7.5260619037500005</v>
      </c>
      <c r="T84" s="150">
        <f t="shared" si="66"/>
        <v>7.5260619037500005</v>
      </c>
      <c r="U84" s="150">
        <f t="shared" si="66"/>
        <v>7.5260619037500005</v>
      </c>
      <c r="V84" s="150">
        <f t="shared" si="66"/>
        <v>7.5260619037500005</v>
      </c>
      <c r="W84" s="150">
        <f t="shared" si="66"/>
        <v>7.5260619037500005</v>
      </c>
      <c r="X84" s="150">
        <f t="shared" si="66"/>
        <v>7.5260619037500005</v>
      </c>
      <c r="Y84" s="150">
        <f t="shared" si="66"/>
        <v>7.5260619037500005</v>
      </c>
      <c r="Z84" s="150">
        <f t="shared" si="66"/>
        <v>7.5260619037500005</v>
      </c>
      <c r="AA84" s="150">
        <f t="shared" si="66"/>
        <v>7.5260619037500005</v>
      </c>
      <c r="AB84" s="150">
        <f t="shared" si="66"/>
        <v>7.5260619037500005</v>
      </c>
      <c r="AC84" s="150">
        <f t="shared" si="66"/>
        <v>7.5260619037500005</v>
      </c>
      <c r="AD84" s="150">
        <f t="shared" si="66"/>
        <v>7.3002800466375</v>
      </c>
      <c r="AE84" s="150">
        <f t="shared" si="66"/>
        <v>7.0812716452383748</v>
      </c>
      <c r="AF84" s="150">
        <f t="shared" si="66"/>
        <v>6.8688334958812236</v>
      </c>
      <c r="AG84" s="150">
        <f t="shared" si="66"/>
        <v>6.6627684910047869</v>
      </c>
      <c r="AH84" s="150">
        <f t="shared" si="66"/>
        <v>6.4628854362746431</v>
      </c>
      <c r="AI84" s="150">
        <f t="shared" si="66"/>
        <v>6.2689988731864039</v>
      </c>
      <c r="AJ84" s="150">
        <f t="shared" si="66"/>
        <v>6.0809289069908115</v>
      </c>
      <c r="AK84" s="150">
        <f t="shared" si="66"/>
        <v>5.8985010397810873</v>
      </c>
      <c r="AL84" s="150">
        <f t="shared" si="66"/>
        <v>5.7215460085876542</v>
      </c>
      <c r="AM84" s="150">
        <f t="shared" si="66"/>
        <v>5.5498996283300244</v>
      </c>
      <c r="AN84" s="150">
        <f t="shared" si="66"/>
        <v>5.5498996283300244</v>
      </c>
      <c r="AO84" s="149" t="s">
        <v>272</v>
      </c>
    </row>
    <row r="85" spans="1:41" x14ac:dyDescent="0.25">
      <c r="A85" s="149">
        <v>0.95</v>
      </c>
      <c r="B85" s="117" t="s">
        <v>292</v>
      </c>
      <c r="C85" s="149"/>
      <c r="D85" s="149"/>
      <c r="E85" s="149"/>
      <c r="F85" s="150">
        <f t="shared" si="64"/>
        <v>3.61</v>
      </c>
      <c r="G85" s="150">
        <f t="shared" si="64"/>
        <v>3.635785714285714</v>
      </c>
      <c r="H85" s="150">
        <f t="shared" si="66"/>
        <v>3.6581333333333332</v>
      </c>
      <c r="I85" s="150">
        <f t="shared" si="66"/>
        <v>3.6776874999999998</v>
      </c>
      <c r="J85" s="150">
        <f t="shared" si="66"/>
        <v>3.694941176470588</v>
      </c>
      <c r="K85" s="150">
        <f t="shared" si="66"/>
        <v>3.7102777777777773</v>
      </c>
      <c r="L85" s="150">
        <f t="shared" si="66"/>
        <v>3.7239999999999998</v>
      </c>
      <c r="M85" s="150">
        <f t="shared" si="66"/>
        <v>3.7363499999999998</v>
      </c>
      <c r="N85" s="150">
        <f t="shared" si="66"/>
        <v>3.7475238095238095</v>
      </c>
      <c r="O85" s="150">
        <f t="shared" si="66"/>
        <v>3.7576818181818177</v>
      </c>
      <c r="P85" s="150">
        <f t="shared" si="66"/>
        <v>3.7669565217391301</v>
      </c>
      <c r="Q85" s="150">
        <f t="shared" si="66"/>
        <v>3.7754583333333329</v>
      </c>
      <c r="R85" s="150">
        <f t="shared" si="66"/>
        <v>3.7832799999999995</v>
      </c>
      <c r="S85" s="150">
        <f t="shared" si="66"/>
        <v>3.7904999999999998</v>
      </c>
      <c r="T85" s="150">
        <f t="shared" si="66"/>
        <v>3.9709999999999996</v>
      </c>
      <c r="U85" s="150">
        <f t="shared" si="66"/>
        <v>3.9908549999999998</v>
      </c>
      <c r="V85" s="150">
        <f t="shared" si="66"/>
        <v>4.0107099999999996</v>
      </c>
      <c r="W85" s="150">
        <f t="shared" si="66"/>
        <v>4.0305650000000002</v>
      </c>
      <c r="X85" s="150">
        <f t="shared" si="66"/>
        <v>4.050419999999999</v>
      </c>
      <c r="Y85" s="150">
        <f t="shared" si="66"/>
        <v>4.0702749999999996</v>
      </c>
      <c r="Z85" s="150">
        <f t="shared" si="66"/>
        <v>4.0901299999999994</v>
      </c>
      <c r="AA85" s="150">
        <f t="shared" si="66"/>
        <v>4.109985</v>
      </c>
      <c r="AB85" s="150">
        <f t="shared" si="66"/>
        <v>4.1298399999999997</v>
      </c>
      <c r="AC85" s="150">
        <f t="shared" si="66"/>
        <v>4.1496949999999995</v>
      </c>
      <c r="AD85" s="150">
        <f t="shared" si="66"/>
        <v>4.1695499999999992</v>
      </c>
      <c r="AE85" s="150">
        <f t="shared" si="66"/>
        <v>4.1894049999999989</v>
      </c>
      <c r="AF85" s="150">
        <f t="shared" si="66"/>
        <v>4.2092599999999996</v>
      </c>
      <c r="AG85" s="150">
        <f t="shared" si="66"/>
        <v>4.2291149999999993</v>
      </c>
      <c r="AH85" s="150">
        <f t="shared" si="66"/>
        <v>4.2489699999999999</v>
      </c>
      <c r="AI85" s="150">
        <f t="shared" si="66"/>
        <v>4.2688249999999996</v>
      </c>
      <c r="AJ85" s="150">
        <f t="shared" ref="H85:AN88" si="67">AJ66*$A85</f>
        <v>4.2886800000000003</v>
      </c>
      <c r="AK85" s="150">
        <f t="shared" si="67"/>
        <v>4.3085349999999991</v>
      </c>
      <c r="AL85" s="150">
        <f t="shared" si="67"/>
        <v>4.3283899999999997</v>
      </c>
      <c r="AM85" s="150">
        <f t="shared" si="67"/>
        <v>4.3482449999999995</v>
      </c>
      <c r="AN85" s="150">
        <f t="shared" si="67"/>
        <v>4.3681000000000001</v>
      </c>
      <c r="AO85" s="149" t="s">
        <v>174</v>
      </c>
    </row>
    <row r="86" spans="1:41" x14ac:dyDescent="0.25">
      <c r="A86" s="149">
        <v>0.95</v>
      </c>
      <c r="B86" s="117" t="s">
        <v>293</v>
      </c>
      <c r="C86" s="149"/>
      <c r="D86" s="149"/>
      <c r="E86" s="149"/>
      <c r="F86" s="150">
        <f t="shared" si="64"/>
        <v>3.61</v>
      </c>
      <c r="G86" s="150">
        <f t="shared" si="64"/>
        <v>3.635785714285714</v>
      </c>
      <c r="H86" s="150">
        <f t="shared" si="67"/>
        <v>3.6581333333333332</v>
      </c>
      <c r="I86" s="150">
        <f t="shared" si="67"/>
        <v>3.6776874999999998</v>
      </c>
      <c r="J86" s="150">
        <f t="shared" si="67"/>
        <v>3.694941176470588</v>
      </c>
      <c r="K86" s="150">
        <f t="shared" si="67"/>
        <v>3.7102777777777773</v>
      </c>
      <c r="L86" s="150">
        <f t="shared" si="67"/>
        <v>3.7239999999999998</v>
      </c>
      <c r="M86" s="150">
        <f t="shared" si="67"/>
        <v>3.7363499999999998</v>
      </c>
      <c r="N86" s="150">
        <f t="shared" si="67"/>
        <v>3.7475238095238095</v>
      </c>
      <c r="O86" s="150">
        <f t="shared" si="67"/>
        <v>3.7576818181818177</v>
      </c>
      <c r="P86" s="150">
        <f t="shared" si="67"/>
        <v>3.7669565217391301</v>
      </c>
      <c r="Q86" s="150">
        <f t="shared" si="67"/>
        <v>3.7754583333333329</v>
      </c>
      <c r="R86" s="150">
        <f t="shared" si="67"/>
        <v>3.7832799999999995</v>
      </c>
      <c r="S86" s="150">
        <f t="shared" si="67"/>
        <v>3.7904999999999998</v>
      </c>
      <c r="T86" s="150">
        <f t="shared" si="67"/>
        <v>3.9709999999999996</v>
      </c>
      <c r="U86" s="150">
        <f t="shared" si="67"/>
        <v>3.9908549999999998</v>
      </c>
      <c r="V86" s="150">
        <f t="shared" si="67"/>
        <v>4.0107099999999996</v>
      </c>
      <c r="W86" s="150">
        <f t="shared" si="67"/>
        <v>4.0305650000000002</v>
      </c>
      <c r="X86" s="150">
        <f t="shared" si="67"/>
        <v>4.050419999999999</v>
      </c>
      <c r="Y86" s="150">
        <f t="shared" si="67"/>
        <v>4.0702749999999996</v>
      </c>
      <c r="Z86" s="150">
        <f t="shared" si="67"/>
        <v>4.0901299999999994</v>
      </c>
      <c r="AA86" s="150">
        <f t="shared" si="67"/>
        <v>4.109985</v>
      </c>
      <c r="AB86" s="150">
        <f t="shared" si="67"/>
        <v>4.1298399999999997</v>
      </c>
      <c r="AC86" s="150">
        <f t="shared" si="67"/>
        <v>4.1496949999999995</v>
      </c>
      <c r="AD86" s="150">
        <f t="shared" si="67"/>
        <v>4.1695499999999992</v>
      </c>
      <c r="AE86" s="150">
        <f t="shared" si="67"/>
        <v>4.1894049999999989</v>
      </c>
      <c r="AF86" s="150">
        <f t="shared" si="67"/>
        <v>4.2092599999999996</v>
      </c>
      <c r="AG86" s="150">
        <f t="shared" si="67"/>
        <v>4.2291149999999993</v>
      </c>
      <c r="AH86" s="150">
        <f t="shared" si="67"/>
        <v>4.2489699999999999</v>
      </c>
      <c r="AI86" s="150">
        <f t="shared" si="67"/>
        <v>4.2688249999999996</v>
      </c>
      <c r="AJ86" s="150">
        <f t="shared" si="67"/>
        <v>4.2886800000000003</v>
      </c>
      <c r="AK86" s="150">
        <f t="shared" si="67"/>
        <v>4.3085349999999991</v>
      </c>
      <c r="AL86" s="150">
        <f t="shared" si="67"/>
        <v>4.3283899999999997</v>
      </c>
      <c r="AM86" s="150">
        <f t="shared" si="67"/>
        <v>4.3482449999999995</v>
      </c>
      <c r="AN86" s="150">
        <f t="shared" si="67"/>
        <v>4.3681000000000001</v>
      </c>
      <c r="AO86" s="149" t="s">
        <v>175</v>
      </c>
    </row>
    <row r="87" spans="1:41" x14ac:dyDescent="0.25">
      <c r="A87" s="149">
        <v>0.95</v>
      </c>
      <c r="B87" s="117" t="s">
        <v>294</v>
      </c>
      <c r="C87" s="149"/>
      <c r="D87" s="149"/>
      <c r="E87" s="149"/>
      <c r="F87" s="150">
        <f t="shared" si="64"/>
        <v>24.756999999999998</v>
      </c>
      <c r="G87" s="150">
        <f t="shared" si="64"/>
        <v>24.756999999999998</v>
      </c>
      <c r="H87" s="150">
        <f t="shared" si="67"/>
        <v>24.756999999999998</v>
      </c>
      <c r="I87" s="150">
        <f t="shared" si="67"/>
        <v>24.756999999999998</v>
      </c>
      <c r="J87" s="150">
        <f t="shared" si="67"/>
        <v>24.756999999999998</v>
      </c>
      <c r="K87" s="150">
        <f t="shared" si="67"/>
        <v>25.004569999999998</v>
      </c>
      <c r="L87" s="150">
        <f t="shared" si="67"/>
        <v>25.252139999999997</v>
      </c>
      <c r="M87" s="150">
        <f t="shared" si="67"/>
        <v>25.499709999999997</v>
      </c>
      <c r="N87" s="150">
        <f t="shared" si="67"/>
        <v>25.74728</v>
      </c>
      <c r="O87" s="150">
        <f t="shared" si="67"/>
        <v>25.99485</v>
      </c>
      <c r="P87" s="150">
        <f t="shared" si="67"/>
        <v>26.242419999999999</v>
      </c>
      <c r="Q87" s="150">
        <f t="shared" si="67"/>
        <v>26.489989999999999</v>
      </c>
      <c r="R87" s="150">
        <f t="shared" si="67"/>
        <v>26.737559999999998</v>
      </c>
      <c r="S87" s="150">
        <f t="shared" si="67"/>
        <v>26.985129999999998</v>
      </c>
      <c r="T87" s="150">
        <f t="shared" si="67"/>
        <v>27.232699999999998</v>
      </c>
      <c r="U87" s="150">
        <f t="shared" si="67"/>
        <v>27.368863499999996</v>
      </c>
      <c r="V87" s="150">
        <f t="shared" si="67"/>
        <v>27.505027000000002</v>
      </c>
      <c r="W87" s="150">
        <f t="shared" si="67"/>
        <v>27.6411905</v>
      </c>
      <c r="X87" s="150">
        <f t="shared" si="67"/>
        <v>27.777353999999999</v>
      </c>
      <c r="Y87" s="150">
        <f t="shared" si="67"/>
        <v>27.913517500000001</v>
      </c>
      <c r="Z87" s="150">
        <f t="shared" si="67"/>
        <v>28.049681</v>
      </c>
      <c r="AA87" s="150">
        <f t="shared" si="67"/>
        <v>28.185844499999998</v>
      </c>
      <c r="AB87" s="150">
        <f t="shared" si="67"/>
        <v>28.322008</v>
      </c>
      <c r="AC87" s="150">
        <f t="shared" si="67"/>
        <v>28.458171499999999</v>
      </c>
      <c r="AD87" s="150">
        <f t="shared" si="67"/>
        <v>28.594334999999997</v>
      </c>
      <c r="AE87" s="150">
        <f t="shared" si="67"/>
        <v>28.730498499999999</v>
      </c>
      <c r="AF87" s="150">
        <f t="shared" si="67"/>
        <v>28.866661999999998</v>
      </c>
      <c r="AG87" s="150">
        <f t="shared" si="67"/>
        <v>29.0028255</v>
      </c>
      <c r="AH87" s="150">
        <f t="shared" si="67"/>
        <v>29.138989000000002</v>
      </c>
      <c r="AI87" s="150">
        <f t="shared" si="67"/>
        <v>29.275152500000001</v>
      </c>
      <c r="AJ87" s="150">
        <f t="shared" si="67"/>
        <v>29.411316000000003</v>
      </c>
      <c r="AK87" s="150">
        <f t="shared" si="67"/>
        <v>29.547479500000001</v>
      </c>
      <c r="AL87" s="150">
        <f t="shared" si="67"/>
        <v>29.683643</v>
      </c>
      <c r="AM87" s="150">
        <f t="shared" si="67"/>
        <v>29.819806500000002</v>
      </c>
      <c r="AN87" s="150">
        <f t="shared" si="67"/>
        <v>29.955970000000001</v>
      </c>
      <c r="AO87" s="149" t="s">
        <v>176</v>
      </c>
    </row>
    <row r="88" spans="1:41" x14ac:dyDescent="0.25">
      <c r="A88" s="149">
        <v>0.95</v>
      </c>
      <c r="B88" s="117" t="s">
        <v>295</v>
      </c>
      <c r="C88" s="149"/>
      <c r="D88" s="149"/>
      <c r="E88" s="149"/>
      <c r="F88" s="150">
        <f t="shared" si="64"/>
        <v>31.417449999999995</v>
      </c>
      <c r="G88" s="150">
        <f t="shared" si="64"/>
        <v>31.417449999999995</v>
      </c>
      <c r="H88" s="150">
        <f t="shared" si="67"/>
        <v>31.417449999999995</v>
      </c>
      <c r="I88" s="150">
        <f t="shared" si="67"/>
        <v>31.417449999999995</v>
      </c>
      <c r="J88" s="150">
        <f t="shared" si="67"/>
        <v>31.417449999999995</v>
      </c>
      <c r="K88" s="150">
        <f t="shared" si="67"/>
        <v>31.574537249999995</v>
      </c>
      <c r="L88" s="150">
        <f t="shared" si="67"/>
        <v>31.731624499999999</v>
      </c>
      <c r="M88" s="150">
        <f t="shared" si="67"/>
        <v>31.888711749999999</v>
      </c>
      <c r="N88" s="150">
        <f t="shared" si="67"/>
        <v>32.045798999999995</v>
      </c>
      <c r="O88" s="150">
        <f t="shared" si="67"/>
        <v>32.202886249999992</v>
      </c>
      <c r="P88" s="150">
        <f t="shared" si="67"/>
        <v>32.359973500000002</v>
      </c>
      <c r="Q88" s="150">
        <f t="shared" si="67"/>
        <v>32.517060749999999</v>
      </c>
      <c r="R88" s="150">
        <f t="shared" si="67"/>
        <v>32.674147999999995</v>
      </c>
      <c r="S88" s="150">
        <f t="shared" si="67"/>
        <v>32.831235249999999</v>
      </c>
      <c r="T88" s="150">
        <f t="shared" si="67"/>
        <v>32.988322500000002</v>
      </c>
      <c r="U88" s="150">
        <f t="shared" si="67"/>
        <v>33.153264112499997</v>
      </c>
      <c r="V88" s="150">
        <f t="shared" si="67"/>
        <v>33.318205724999999</v>
      </c>
      <c r="W88" s="150">
        <f t="shared" si="67"/>
        <v>33.4831473375</v>
      </c>
      <c r="X88" s="150">
        <f t="shared" si="67"/>
        <v>33.648088950000002</v>
      </c>
      <c r="Y88" s="150">
        <f t="shared" si="67"/>
        <v>33.813030562499996</v>
      </c>
      <c r="Z88" s="150">
        <f t="shared" si="67"/>
        <v>33.977972174999998</v>
      </c>
      <c r="AA88" s="150">
        <f t="shared" si="67"/>
        <v>34.1429137875</v>
      </c>
      <c r="AB88" s="150">
        <f t="shared" si="67"/>
        <v>34.307855400000001</v>
      </c>
      <c r="AC88" s="150">
        <f t="shared" si="67"/>
        <v>34.472797012499996</v>
      </c>
      <c r="AD88" s="150">
        <f t="shared" si="67"/>
        <v>34.637738625000004</v>
      </c>
      <c r="AE88" s="150">
        <f t="shared" si="67"/>
        <v>34.802680237500006</v>
      </c>
      <c r="AF88" s="150">
        <f t="shared" si="67"/>
        <v>34.96762185</v>
      </c>
      <c r="AG88" s="150">
        <f t="shared" si="67"/>
        <v>35.132563462500002</v>
      </c>
      <c r="AH88" s="150">
        <f t="shared" si="67"/>
        <v>35.297505075000004</v>
      </c>
      <c r="AI88" s="150">
        <f t="shared" si="67"/>
        <v>35.462446687500005</v>
      </c>
      <c r="AJ88" s="150">
        <f t="shared" si="67"/>
        <v>35.6273883</v>
      </c>
      <c r="AK88" s="150">
        <f t="shared" si="67"/>
        <v>35.792329912500001</v>
      </c>
      <c r="AL88" s="150">
        <f t="shared" si="67"/>
        <v>35.957271525000003</v>
      </c>
      <c r="AM88" s="150">
        <f t="shared" si="67"/>
        <v>36.122213137500005</v>
      </c>
      <c r="AN88" s="150">
        <f t="shared" si="67"/>
        <v>36.287154749999999</v>
      </c>
      <c r="AO88" s="149" t="s">
        <v>177</v>
      </c>
    </row>
    <row r="89" spans="1:41" x14ac:dyDescent="0.25">
      <c r="A89" s="149">
        <v>0.95</v>
      </c>
      <c r="B89" s="117" t="s">
        <v>333</v>
      </c>
      <c r="C89" s="126"/>
      <c r="D89" s="126"/>
      <c r="E89" s="126"/>
      <c r="F89" s="152">
        <f>$A$89*F7</f>
        <v>6.5151937552272088</v>
      </c>
      <c r="G89" s="152">
        <f>$A$89*G7</f>
        <v>6.5151937552272088</v>
      </c>
      <c r="H89" s="152">
        <f t="shared" ref="H89:AN89" si="68">$A$89*H7</f>
        <v>6.5151937552272088</v>
      </c>
      <c r="I89" s="152">
        <f t="shared" si="68"/>
        <v>5.1909673822135485</v>
      </c>
      <c r="J89" s="152">
        <f t="shared" si="68"/>
        <v>5.2947867298578197</v>
      </c>
      <c r="K89" s="152">
        <f t="shared" si="68"/>
        <v>5.4006824644549765</v>
      </c>
      <c r="L89" s="152">
        <f t="shared" si="68"/>
        <v>5.508696113744076</v>
      </c>
      <c r="M89" s="152">
        <f t="shared" si="68"/>
        <v>5.6188700360189578</v>
      </c>
      <c r="N89" s="152">
        <f t="shared" si="68"/>
        <v>5.7312474367393369</v>
      </c>
      <c r="O89" s="152">
        <f t="shared" si="68"/>
        <v>5.8745286226578202</v>
      </c>
      <c r="P89" s="152">
        <f t="shared" si="68"/>
        <v>6.0213918382242646</v>
      </c>
      <c r="Q89" s="152">
        <f t="shared" si="68"/>
        <v>6.1719266341798713</v>
      </c>
      <c r="R89" s="152">
        <f t="shared" si="68"/>
        <v>6.3262248000343675</v>
      </c>
      <c r="S89" s="152">
        <f t="shared" si="68"/>
        <v>6.4605576262500017</v>
      </c>
      <c r="T89" s="152">
        <f t="shared" si="68"/>
        <v>6.5090118084468775</v>
      </c>
      <c r="U89" s="152">
        <f t="shared" si="68"/>
        <v>6.5578293970102299</v>
      </c>
      <c r="V89" s="152">
        <f t="shared" si="68"/>
        <v>6.6070131174878073</v>
      </c>
      <c r="W89" s="152">
        <f t="shared" si="68"/>
        <v>6.6565657158689664</v>
      </c>
      <c r="X89" s="152">
        <f t="shared" si="68"/>
        <v>6.7064899587379845</v>
      </c>
      <c r="Y89" s="152">
        <f t="shared" si="68"/>
        <v>6.7567886334285197</v>
      </c>
      <c r="Z89" s="152">
        <f t="shared" si="68"/>
        <v>6.807464548179234</v>
      </c>
      <c r="AA89" s="152">
        <f t="shared" si="68"/>
        <v>6.8585205322905782</v>
      </c>
      <c r="AB89" s="152">
        <f t="shared" si="68"/>
        <v>6.9099594362827581</v>
      </c>
      <c r="AC89" s="152">
        <f t="shared" si="68"/>
        <v>6.9617841320548788</v>
      </c>
      <c r="AD89" s="152">
        <f t="shared" si="68"/>
        <v>7.0139975130452914</v>
      </c>
      <c r="AE89" s="152">
        <f t="shared" si="68"/>
        <v>7.0666024943931314</v>
      </c>
      <c r="AF89" s="152">
        <f t="shared" si="68"/>
        <v>7.1196020131010807</v>
      </c>
      <c r="AG89" s="152">
        <f t="shared" si="68"/>
        <v>7.1729990281993397</v>
      </c>
      <c r="AH89" s="152">
        <f t="shared" si="68"/>
        <v>7.2267965209108347</v>
      </c>
      <c r="AI89" s="152">
        <f t="shared" si="68"/>
        <v>7.2809974948176661</v>
      </c>
      <c r="AJ89" s="152">
        <f t="shared" si="68"/>
        <v>7.3356049760287991</v>
      </c>
      <c r="AK89" s="152">
        <f t="shared" si="68"/>
        <v>7.3906220133490166</v>
      </c>
      <c r="AL89" s="152">
        <f t="shared" si="68"/>
        <v>7.446051678449134</v>
      </c>
      <c r="AM89" s="152">
        <f t="shared" si="68"/>
        <v>7.5260619037500005</v>
      </c>
      <c r="AN89" s="152">
        <f t="shared" si="68"/>
        <v>7.5260619037500005</v>
      </c>
      <c r="AO89" s="126"/>
    </row>
    <row r="90" spans="1:41" x14ac:dyDescent="0.25">
      <c r="A90" s="134"/>
      <c r="B90" s="134"/>
      <c r="C90" s="126"/>
      <c r="D90" s="126"/>
      <c r="E90" s="126"/>
      <c r="F90" s="126"/>
      <c r="G90" s="126"/>
      <c r="H90" s="153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</row>
    <row r="91" spans="1:41" x14ac:dyDescent="0.25">
      <c r="A91" s="154" t="s">
        <v>346</v>
      </c>
      <c r="B91" s="134"/>
      <c r="C91" s="126"/>
      <c r="D91" s="126"/>
      <c r="E91" s="126"/>
      <c r="F91" s="126"/>
      <c r="G91" s="126"/>
      <c r="H91" s="153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</row>
    <row r="92" spans="1:41" x14ac:dyDescent="0.25">
      <c r="A92" s="134"/>
      <c r="B92" s="134"/>
      <c r="C92" s="126"/>
      <c r="D92" s="126"/>
      <c r="E92" s="126"/>
      <c r="F92" s="126"/>
      <c r="G92" s="126"/>
      <c r="H92" s="153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972F-4452-483A-BFAD-18E8C52C35ED}">
  <dimension ref="A1:P165"/>
  <sheetViews>
    <sheetView topLeftCell="A95" zoomScale="70" zoomScaleNormal="70" workbookViewId="0">
      <selection activeCell="A95" sqref="A1:XFD1048576"/>
    </sheetView>
  </sheetViews>
  <sheetFormatPr defaultColWidth="9.109375" defaultRowHeight="13.2" x14ac:dyDescent="0.25"/>
  <cols>
    <col min="1" max="1" width="9.109375" style="109"/>
    <col min="2" max="2" width="11" style="109" bestFit="1" customWidth="1"/>
    <col min="3" max="3" width="13.44140625" style="109" customWidth="1"/>
    <col min="4" max="4" width="15.88671875" style="109" customWidth="1"/>
    <col min="5" max="5" width="28.5546875" style="109" customWidth="1"/>
    <col min="6" max="6" width="50.5546875" style="109" customWidth="1"/>
    <col min="7" max="7" width="36.44140625" style="109" bestFit="1" customWidth="1"/>
    <col min="8" max="8" width="13.88671875" style="109" customWidth="1"/>
    <col min="9" max="9" width="9.109375" style="109"/>
    <col min="10" max="10" width="15.33203125" style="109" bestFit="1" customWidth="1"/>
    <col min="11" max="11" width="16.44140625" style="109" bestFit="1" customWidth="1"/>
    <col min="12" max="12" width="28.5546875" style="109" bestFit="1" customWidth="1"/>
    <col min="13" max="16384" width="9.109375" style="109"/>
  </cols>
  <sheetData>
    <row r="1" spans="1:12" ht="17.399999999999999" x14ac:dyDescent="0.3">
      <c r="A1" s="111" t="s">
        <v>264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3" spans="1:12" x14ac:dyDescent="0.25">
      <c r="B3" s="116" t="s">
        <v>47</v>
      </c>
      <c r="L3" s="134"/>
    </row>
    <row r="4" spans="1:12" ht="14.4" thickBot="1" x14ac:dyDescent="0.3">
      <c r="B4" s="157" t="s">
        <v>220</v>
      </c>
      <c r="C4" s="157" t="s">
        <v>40</v>
      </c>
      <c r="D4" s="157" t="s">
        <v>41</v>
      </c>
      <c r="E4" s="157" t="s">
        <v>221</v>
      </c>
      <c r="F4" s="157" t="s">
        <v>42</v>
      </c>
      <c r="G4" s="157" t="s">
        <v>43</v>
      </c>
      <c r="H4" s="157" t="s">
        <v>309</v>
      </c>
      <c r="I4" s="126"/>
      <c r="J4" s="119" t="s">
        <v>222</v>
      </c>
      <c r="L4" s="164" t="s">
        <v>104</v>
      </c>
    </row>
    <row r="5" spans="1:12" x14ac:dyDescent="0.25">
      <c r="C5" s="109" t="str">
        <f t="shared" ref="C5:C36" si="0">IF(J5=0,"*",IF(J5&lt;0,"FLO_SUB","FLO_TAX"))</f>
        <v>*</v>
      </c>
      <c r="D5" s="108">
        <f t="shared" ref="D5:D75" si="1">BASE_YEAR</f>
        <v>2017</v>
      </c>
      <c r="F5" s="109" t="str">
        <f>"FT-"&amp;G5&amp;"*"</f>
        <v>FT-RSDOILDSL*</v>
      </c>
      <c r="G5" s="109" t="str">
        <f>'Local_Prices-KZK'!F5</f>
        <v>RSDOILDSL</v>
      </c>
      <c r="H5" s="130">
        <f t="shared" ref="H5:H36" si="2">J5</f>
        <v>0</v>
      </c>
      <c r="J5" s="130">
        <f>'Local_Prices-UZB'!E5</f>
        <v>0</v>
      </c>
      <c r="K5" s="109" t="str">
        <f>'Local_Prices-KZK'!B5</f>
        <v>Diesel</v>
      </c>
      <c r="L5" s="134" t="s">
        <v>194</v>
      </c>
    </row>
    <row r="6" spans="1:12" x14ac:dyDescent="0.25">
      <c r="C6" s="109" t="str">
        <f t="shared" si="0"/>
        <v>*</v>
      </c>
      <c r="D6" s="108">
        <f t="shared" si="1"/>
        <v>2017</v>
      </c>
      <c r="F6" s="109" t="str">
        <f t="shared" ref="F6:F57" si="3">"FT-"&amp;G6&amp;"*"</f>
        <v>FT-RSDOILLPG*</v>
      </c>
      <c r="G6" s="109" t="str">
        <f>'Local_Prices-KZK'!F6</f>
        <v>RSDOILLPG</v>
      </c>
      <c r="H6" s="130">
        <f t="shared" si="2"/>
        <v>0</v>
      </c>
      <c r="J6" s="130">
        <f>'Local_Prices-UZB'!E6</f>
        <v>0</v>
      </c>
      <c r="K6" s="109" t="str">
        <f>'Local_Prices-KZK'!B6</f>
        <v>LPG</v>
      </c>
      <c r="L6" s="134"/>
    </row>
    <row r="7" spans="1:12" x14ac:dyDescent="0.25">
      <c r="C7" s="109" t="str">
        <f t="shared" si="0"/>
        <v>FLO_SUB</v>
      </c>
      <c r="D7" s="108">
        <f t="shared" si="1"/>
        <v>2017</v>
      </c>
      <c r="F7" s="109" t="str">
        <f t="shared" si="3"/>
        <v>FT-RSDGASNAT*</v>
      </c>
      <c r="G7" s="109" t="str">
        <f>'Local_Prices-KZK'!F7</f>
        <v>RSDGASNAT</v>
      </c>
      <c r="H7" s="130">
        <f>ABS(J7)</f>
        <v>2.9</v>
      </c>
      <c r="J7" s="130">
        <f>'Local_Prices-UZB'!E7</f>
        <v>-2.9</v>
      </c>
      <c r="K7" s="109" t="str">
        <f>'Local_Prices-KZK'!B7</f>
        <v>Natural Gas</v>
      </c>
      <c r="L7" s="134"/>
    </row>
    <row r="8" spans="1:12" x14ac:dyDescent="0.25">
      <c r="C8" s="109" t="str">
        <f t="shared" si="0"/>
        <v>*</v>
      </c>
      <c r="D8" s="108">
        <f t="shared" si="1"/>
        <v>2017</v>
      </c>
      <c r="F8" s="109" t="str">
        <f t="shared" si="3"/>
        <v>FT-RSDCOABIC*</v>
      </c>
      <c r="G8" s="109" t="str">
        <f>'Local_Prices-KZK'!F8</f>
        <v>RSDCOABIC</v>
      </c>
      <c r="H8" s="130">
        <f t="shared" si="2"/>
        <v>0</v>
      </c>
      <c r="J8" s="130">
        <f>'Local_Prices-UZB'!E8</f>
        <v>0</v>
      </c>
      <c r="K8" s="109" t="str">
        <f>'Local_Prices-KZK'!B8</f>
        <v>Coal</v>
      </c>
      <c r="L8" s="134"/>
    </row>
    <row r="9" spans="1:12" x14ac:dyDescent="0.25">
      <c r="C9" s="109" t="str">
        <f t="shared" si="0"/>
        <v>*</v>
      </c>
      <c r="D9" s="108">
        <f t="shared" si="1"/>
        <v>2017</v>
      </c>
      <c r="F9" s="109" t="str">
        <f t="shared" si="3"/>
        <v>FT-RSDCOABCO*</v>
      </c>
      <c r="G9" s="109" t="str">
        <f>'Local_Prices-KZK'!F9</f>
        <v>RSDCOABCO</v>
      </c>
      <c r="H9" s="130">
        <f t="shared" si="2"/>
        <v>0</v>
      </c>
      <c r="J9" s="130">
        <f>'Local_Prices-UZB'!E9</f>
        <v>0</v>
      </c>
      <c r="K9" s="109" t="str">
        <f>'Local_Prices-KZK'!B9</f>
        <v>Lignite</v>
      </c>
      <c r="L9" s="134"/>
    </row>
    <row r="10" spans="1:12" x14ac:dyDescent="0.25">
      <c r="C10" s="109" t="str">
        <f t="shared" si="0"/>
        <v>*</v>
      </c>
      <c r="D10" s="108">
        <f t="shared" si="1"/>
        <v>2017</v>
      </c>
      <c r="F10" s="109" t="str">
        <f t="shared" si="3"/>
        <v>FT-RSDBIOCHR*</v>
      </c>
      <c r="G10" s="109" t="str">
        <f>'Local_Prices-KZK'!F10</f>
        <v>RSDBIOCHR</v>
      </c>
      <c r="H10" s="130">
        <v>0</v>
      </c>
      <c r="J10" s="130">
        <f>'Local_Prices-UZB'!E10</f>
        <v>0</v>
      </c>
      <c r="K10" s="109" t="str">
        <f>'Local_Prices-KZK'!B10</f>
        <v>CHR</v>
      </c>
      <c r="L10" s="134"/>
    </row>
    <row r="11" spans="1:12" x14ac:dyDescent="0.25">
      <c r="C11" s="109" t="str">
        <f t="shared" si="0"/>
        <v>*</v>
      </c>
      <c r="D11" s="108">
        <f t="shared" si="1"/>
        <v>2017</v>
      </c>
      <c r="F11" s="109" t="str">
        <f t="shared" si="3"/>
        <v>FT-RSDBIOLOG*</v>
      </c>
      <c r="G11" s="109" t="str">
        <f>'Local_Prices-KZK'!F11</f>
        <v>RSDBIOLOG</v>
      </c>
      <c r="H11" s="130">
        <f t="shared" si="2"/>
        <v>0</v>
      </c>
      <c r="J11" s="130">
        <f>'Local_Prices-UZB'!E11</f>
        <v>0</v>
      </c>
      <c r="K11" s="109" t="str">
        <f>'Local_Prices-KZK'!B11</f>
        <v>Solid Biomass</v>
      </c>
      <c r="L11" s="134"/>
    </row>
    <row r="12" spans="1:12" x14ac:dyDescent="0.25">
      <c r="C12" s="109" t="str">
        <f t="shared" si="0"/>
        <v>*</v>
      </c>
      <c r="D12" s="108">
        <f t="shared" si="1"/>
        <v>2017</v>
      </c>
      <c r="F12" s="109" t="str">
        <f t="shared" si="3"/>
        <v>FT-RSDBIOPLT*</v>
      </c>
      <c r="G12" s="109" t="str">
        <f>'Local_Prices-KZK'!F12</f>
        <v>RSDBIOPLT</v>
      </c>
      <c r="H12" s="130">
        <f t="shared" si="2"/>
        <v>0</v>
      </c>
      <c r="J12" s="130">
        <f>'Local_Prices-UZB'!E12</f>
        <v>0</v>
      </c>
      <c r="K12" s="109" t="str">
        <f>'Local_Prices-KZK'!B12</f>
        <v>Pellets</v>
      </c>
      <c r="L12" s="134"/>
    </row>
    <row r="13" spans="1:12" x14ac:dyDescent="0.25">
      <c r="C13" s="109" t="str">
        <f t="shared" si="0"/>
        <v>FLO_SUB</v>
      </c>
      <c r="D13" s="108">
        <f t="shared" si="1"/>
        <v>2017</v>
      </c>
      <c r="F13" s="109" t="str">
        <f t="shared" si="3"/>
        <v>FT-RSDLTH*</v>
      </c>
      <c r="G13" s="109" t="str">
        <f>'Local_Prices-KZK'!F13</f>
        <v>RSDLTH</v>
      </c>
      <c r="H13" s="130">
        <f t="shared" ref="H13:H14" si="4">ABS(J13)</f>
        <v>2.1</v>
      </c>
      <c r="J13" s="130">
        <f>'Local_Prices-UZB'!E13</f>
        <v>-2.1</v>
      </c>
      <c r="K13" s="109" t="str">
        <f>'Local_Prices-KZK'!B13</f>
        <v>Heat</v>
      </c>
      <c r="L13" s="134"/>
    </row>
    <row r="14" spans="1:12" x14ac:dyDescent="0.25">
      <c r="C14" s="109" t="str">
        <f t="shared" si="0"/>
        <v>FLO_SUB</v>
      </c>
      <c r="D14" s="108">
        <f t="shared" si="1"/>
        <v>2017</v>
      </c>
      <c r="F14" s="109" t="str">
        <f t="shared" si="3"/>
        <v>FT-RSDELC*</v>
      </c>
      <c r="G14" s="109" t="str">
        <f>'Local_Prices-KZK'!F14</f>
        <v>RSDELC</v>
      </c>
      <c r="H14" s="130">
        <f t="shared" si="4"/>
        <v>13</v>
      </c>
      <c r="J14" s="130">
        <f>'Local_Prices-UZB'!E14</f>
        <v>-13</v>
      </c>
      <c r="K14" s="109" t="str">
        <f>'Local_Prices-KZK'!B14</f>
        <v>Electricity</v>
      </c>
      <c r="L14" s="134"/>
    </row>
    <row r="15" spans="1:12" x14ac:dyDescent="0.25">
      <c r="C15" s="109" t="str">
        <f t="shared" si="0"/>
        <v>*</v>
      </c>
      <c r="D15" s="108">
        <f t="shared" si="1"/>
        <v>2017</v>
      </c>
      <c r="F15" s="109" t="str">
        <f t="shared" si="3"/>
        <v>FT-TEROILDSL*</v>
      </c>
      <c r="G15" s="109" t="str">
        <f>'Local_Prices-KZK'!F15</f>
        <v>TEROILDSL</v>
      </c>
      <c r="H15" s="130">
        <f t="shared" si="2"/>
        <v>0</v>
      </c>
      <c r="J15" s="130">
        <f>'Local_Prices-UZB'!E15</f>
        <v>0</v>
      </c>
      <c r="K15" s="109" t="str">
        <f>'Local_Prices-KZK'!B15</f>
        <v>Diesel</v>
      </c>
      <c r="L15" s="134" t="s">
        <v>195</v>
      </c>
    </row>
    <row r="16" spans="1:12" x14ac:dyDescent="0.25">
      <c r="C16" s="109" t="str">
        <f t="shared" si="0"/>
        <v>*</v>
      </c>
      <c r="D16" s="108">
        <f t="shared" si="1"/>
        <v>2017</v>
      </c>
      <c r="F16" s="109" t="str">
        <f t="shared" si="3"/>
        <v>FT-TEROILHFO*</v>
      </c>
      <c r="G16" s="109" t="str">
        <f>'Local_Prices-KZK'!F16</f>
        <v>TEROILHFO</v>
      </c>
      <c r="H16" s="130">
        <f t="shared" si="2"/>
        <v>0</v>
      </c>
      <c r="J16" s="130">
        <f>'Local_Prices-UZB'!E16</f>
        <v>0</v>
      </c>
      <c r="K16" s="109" t="str">
        <f>'Local_Prices-KZK'!B16</f>
        <v>HFO</v>
      </c>
      <c r="L16" s="134"/>
    </row>
    <row r="17" spans="3:12" x14ac:dyDescent="0.25">
      <c r="C17" s="109" t="str">
        <f t="shared" si="0"/>
        <v>*</v>
      </c>
      <c r="D17" s="108">
        <f t="shared" si="1"/>
        <v>2017</v>
      </c>
      <c r="F17" s="109" t="str">
        <f t="shared" si="3"/>
        <v>FT-TEROILLPG*</v>
      </c>
      <c r="G17" s="109" t="str">
        <f>'Local_Prices-KZK'!F17</f>
        <v>TEROILLPG</v>
      </c>
      <c r="H17" s="130">
        <f t="shared" si="2"/>
        <v>0</v>
      </c>
      <c r="J17" s="130">
        <f>'Local_Prices-UZB'!E17</f>
        <v>0</v>
      </c>
      <c r="K17" s="109" t="str">
        <f>'Local_Prices-KZK'!B17</f>
        <v>LPG</v>
      </c>
      <c r="L17" s="134"/>
    </row>
    <row r="18" spans="3:12" x14ac:dyDescent="0.25">
      <c r="C18" s="109" t="str">
        <f t="shared" si="0"/>
        <v>*</v>
      </c>
      <c r="D18" s="108">
        <f t="shared" si="1"/>
        <v>2017</v>
      </c>
      <c r="F18" s="109" t="str">
        <f t="shared" si="3"/>
        <v>FT-TERGASNAT*</v>
      </c>
      <c r="G18" s="109" t="str">
        <f>'Local_Prices-KZK'!F18</f>
        <v>TERGASNAT</v>
      </c>
      <c r="H18" s="130">
        <f t="shared" si="2"/>
        <v>0</v>
      </c>
      <c r="J18" s="130">
        <f>'Local_Prices-UZB'!E18</f>
        <v>0</v>
      </c>
      <c r="K18" s="109" t="str">
        <f>'Local_Prices-KZK'!B18</f>
        <v>Natural Gas</v>
      </c>
      <c r="L18" s="134"/>
    </row>
    <row r="19" spans="3:12" x14ac:dyDescent="0.25">
      <c r="C19" s="109" t="str">
        <f t="shared" si="0"/>
        <v>*</v>
      </c>
      <c r="D19" s="108">
        <f t="shared" si="1"/>
        <v>2017</v>
      </c>
      <c r="F19" s="109" t="str">
        <f t="shared" si="3"/>
        <v>FT-TERCOABIC*</v>
      </c>
      <c r="G19" s="109" t="str">
        <f>'Local_Prices-KZK'!F19</f>
        <v>TERCOABIC</v>
      </c>
      <c r="H19" s="130">
        <f t="shared" si="2"/>
        <v>0</v>
      </c>
      <c r="J19" s="130">
        <f>'Local_Prices-UZB'!E19</f>
        <v>0</v>
      </c>
      <c r="K19" s="109" t="str">
        <f>'Local_Prices-KZK'!B19</f>
        <v>Coal</v>
      </c>
      <c r="L19" s="134"/>
    </row>
    <row r="20" spans="3:12" x14ac:dyDescent="0.25">
      <c r="C20" s="109" t="str">
        <f t="shared" si="0"/>
        <v>*</v>
      </c>
      <c r="D20" s="108">
        <f t="shared" si="1"/>
        <v>2017</v>
      </c>
      <c r="F20" s="109" t="str">
        <f t="shared" si="3"/>
        <v>FT-TERCOABCO*</v>
      </c>
      <c r="G20" s="109" t="str">
        <f>'Local_Prices-KZK'!F20</f>
        <v>TERCOABCO</v>
      </c>
      <c r="H20" s="130">
        <f t="shared" si="2"/>
        <v>0</v>
      </c>
      <c r="J20" s="130">
        <f>'Local_Prices-UZB'!E20</f>
        <v>0</v>
      </c>
      <c r="K20" s="109" t="str">
        <f>'Local_Prices-KZK'!B20</f>
        <v>Lignite</v>
      </c>
      <c r="L20" s="134"/>
    </row>
    <row r="21" spans="3:12" x14ac:dyDescent="0.25">
      <c r="C21" s="109" t="str">
        <f t="shared" si="0"/>
        <v>*</v>
      </c>
      <c r="D21" s="108">
        <f t="shared" si="1"/>
        <v>2017</v>
      </c>
      <c r="F21" s="109" t="str">
        <f t="shared" si="3"/>
        <v>FT-TERBIOCHR*</v>
      </c>
      <c r="G21" s="109" t="str">
        <f>'Local_Prices-KZK'!F21</f>
        <v>TERBIOCHR</v>
      </c>
      <c r="H21" s="130">
        <f t="shared" si="2"/>
        <v>0</v>
      </c>
      <c r="J21" s="130">
        <f>'Local_Prices-UZB'!E21</f>
        <v>0</v>
      </c>
      <c r="K21" s="109" t="str">
        <f>'Local_Prices-KZK'!B21</f>
        <v>CHR</v>
      </c>
      <c r="L21" s="134"/>
    </row>
    <row r="22" spans="3:12" x14ac:dyDescent="0.25">
      <c r="C22" s="109" t="str">
        <f t="shared" si="0"/>
        <v>*</v>
      </c>
      <c r="D22" s="108">
        <f t="shared" si="1"/>
        <v>2017</v>
      </c>
      <c r="F22" s="109" t="str">
        <f t="shared" si="3"/>
        <v>FT-TERBIOLOG*</v>
      </c>
      <c r="G22" s="109" t="str">
        <f>'Local_Prices-KZK'!F22</f>
        <v>TERBIOLOG</v>
      </c>
      <c r="H22" s="130">
        <f t="shared" si="2"/>
        <v>0</v>
      </c>
      <c r="J22" s="130">
        <f>'Local_Prices-UZB'!E22</f>
        <v>0</v>
      </c>
      <c r="K22" s="109" t="str">
        <f>'Local_Prices-KZK'!B22</f>
        <v>Solid Biomass</v>
      </c>
      <c r="L22" s="134"/>
    </row>
    <row r="23" spans="3:12" x14ac:dyDescent="0.25">
      <c r="C23" s="109" t="str">
        <f t="shared" si="0"/>
        <v>*</v>
      </c>
      <c r="D23" s="108">
        <f t="shared" si="1"/>
        <v>2017</v>
      </c>
      <c r="F23" s="109" t="str">
        <f t="shared" si="3"/>
        <v>FT-TERBIOPLT*</v>
      </c>
      <c r="G23" s="109" t="str">
        <f>'Local_Prices-KZK'!F23</f>
        <v>TERBIOPLT</v>
      </c>
      <c r="H23" s="130">
        <f t="shared" si="2"/>
        <v>0</v>
      </c>
      <c r="J23" s="130">
        <f>'Local_Prices-UZB'!E23</f>
        <v>0</v>
      </c>
      <c r="K23" s="109" t="str">
        <f>'Local_Prices-KZK'!B23</f>
        <v>Pellets</v>
      </c>
      <c r="L23" s="134"/>
    </row>
    <row r="24" spans="3:12" x14ac:dyDescent="0.25">
      <c r="C24" s="109" t="str">
        <f t="shared" si="0"/>
        <v>*</v>
      </c>
      <c r="D24" s="108">
        <f t="shared" si="1"/>
        <v>2017</v>
      </c>
      <c r="F24" s="109" t="str">
        <f t="shared" si="3"/>
        <v>FT-0*</v>
      </c>
      <c r="G24" s="109">
        <f>'Local_Prices-KZK'!F24</f>
        <v>0</v>
      </c>
      <c r="H24" s="130">
        <f t="shared" si="2"/>
        <v>0</v>
      </c>
      <c r="J24" s="130">
        <f>'Local_Prices-UZB'!E24</f>
        <v>0</v>
      </c>
      <c r="K24" s="109">
        <f>'Local_Prices-KZK'!B24</f>
        <v>0</v>
      </c>
      <c r="L24" s="134"/>
    </row>
    <row r="25" spans="3:12" x14ac:dyDescent="0.25">
      <c r="C25" s="109" t="str">
        <f t="shared" si="0"/>
        <v>*</v>
      </c>
      <c r="D25" s="108">
        <f t="shared" si="1"/>
        <v>2017</v>
      </c>
      <c r="F25" s="109" t="str">
        <f t="shared" si="3"/>
        <v>FT-TERLTH*</v>
      </c>
      <c r="G25" s="109" t="str">
        <f>'Local_Prices-KZK'!F25</f>
        <v>TERLTH</v>
      </c>
      <c r="H25" s="130">
        <f t="shared" si="2"/>
        <v>0</v>
      </c>
      <c r="J25" s="130">
        <f>'Local_Prices-UZB'!E25</f>
        <v>0</v>
      </c>
      <c r="K25" s="109" t="str">
        <f>'Local_Prices-KZK'!B25</f>
        <v>Heat</v>
      </c>
      <c r="L25" s="134"/>
    </row>
    <row r="26" spans="3:12" x14ac:dyDescent="0.25">
      <c r="C26" s="109" t="str">
        <f t="shared" si="0"/>
        <v>*</v>
      </c>
      <c r="D26" s="108">
        <f t="shared" si="1"/>
        <v>2017</v>
      </c>
      <c r="F26" s="109" t="str">
        <f t="shared" si="3"/>
        <v>FT-TERELC*</v>
      </c>
      <c r="G26" s="109" t="str">
        <f>'Local_Prices-KZK'!F26</f>
        <v>TERELC</v>
      </c>
      <c r="H26" s="130">
        <f t="shared" si="2"/>
        <v>0</v>
      </c>
      <c r="J26" s="130">
        <f>'Local_Prices-UZB'!E26</f>
        <v>0</v>
      </c>
      <c r="K26" s="109" t="str">
        <f>'Local_Prices-KZK'!B26</f>
        <v>Electricity</v>
      </c>
      <c r="L26" s="134"/>
    </row>
    <row r="27" spans="3:12" x14ac:dyDescent="0.25">
      <c r="C27" s="109" t="str">
        <f t="shared" si="0"/>
        <v>*</v>
      </c>
      <c r="D27" s="108">
        <f t="shared" si="1"/>
        <v>2017</v>
      </c>
      <c r="F27" s="109" t="str">
        <f t="shared" si="3"/>
        <v>FT-INDOILDSL*</v>
      </c>
      <c r="G27" s="109" t="s">
        <v>241</v>
      </c>
      <c r="H27" s="130">
        <f t="shared" si="2"/>
        <v>0</v>
      </c>
      <c r="J27" s="130">
        <f>'Local_Prices-UZB'!E27</f>
        <v>0</v>
      </c>
      <c r="K27" s="109" t="str">
        <f>'Local_Prices-KZK'!B27</f>
        <v>Diesel</v>
      </c>
      <c r="L27" s="134" t="s">
        <v>218</v>
      </c>
    </row>
    <row r="28" spans="3:12" x14ac:dyDescent="0.25">
      <c r="C28" s="109" t="str">
        <f t="shared" si="0"/>
        <v>*</v>
      </c>
      <c r="D28" s="108">
        <f t="shared" si="1"/>
        <v>2017</v>
      </c>
      <c r="F28" s="109" t="str">
        <f t="shared" si="3"/>
        <v>FT-INDOILHFO*</v>
      </c>
      <c r="G28" s="109" t="s">
        <v>268</v>
      </c>
      <c r="H28" s="130">
        <f t="shared" si="2"/>
        <v>0</v>
      </c>
      <c r="J28" s="130">
        <f>'Local_Prices-UZB'!E28</f>
        <v>0</v>
      </c>
      <c r="K28" s="109" t="str">
        <f>'Local_Prices-KZK'!B28</f>
        <v>Fuel Oil</v>
      </c>
      <c r="L28" s="134"/>
    </row>
    <row r="29" spans="3:12" x14ac:dyDescent="0.25">
      <c r="C29" s="109" t="str">
        <f t="shared" si="0"/>
        <v>*</v>
      </c>
      <c r="D29" s="108">
        <f t="shared" si="1"/>
        <v>2017</v>
      </c>
      <c r="F29" s="109" t="str">
        <f t="shared" si="3"/>
        <v>FT-INDOILOTH*</v>
      </c>
      <c r="G29" s="109" t="s">
        <v>242</v>
      </c>
      <c r="H29" s="130">
        <f t="shared" si="2"/>
        <v>0</v>
      </c>
      <c r="J29" s="130">
        <f>J28</f>
        <v>0</v>
      </c>
      <c r="L29" s="134"/>
    </row>
    <row r="30" spans="3:12" x14ac:dyDescent="0.25">
      <c r="C30" s="109" t="str">
        <f t="shared" si="0"/>
        <v>*</v>
      </c>
      <c r="D30" s="108">
        <f t="shared" si="1"/>
        <v>2017</v>
      </c>
      <c r="F30" s="109" t="str">
        <f t="shared" si="3"/>
        <v>FT-INDOILLPG*</v>
      </c>
      <c r="G30" s="109" t="str">
        <f>'Local_Prices-KZK'!F29</f>
        <v>INDOILLPG</v>
      </c>
      <c r="H30" s="130">
        <f t="shared" si="2"/>
        <v>0</v>
      </c>
      <c r="J30" s="130">
        <f>'Local_Prices-UZB'!E29</f>
        <v>0</v>
      </c>
      <c r="K30" s="109" t="str">
        <f>'Local_Prices-KZK'!B29</f>
        <v>LPG</v>
      </c>
      <c r="L30" s="134"/>
    </row>
    <row r="31" spans="3:12" x14ac:dyDescent="0.25">
      <c r="C31" s="109" t="str">
        <f t="shared" si="0"/>
        <v>*</v>
      </c>
      <c r="D31" s="108">
        <f t="shared" si="1"/>
        <v>2017</v>
      </c>
      <c r="F31" s="109" t="str">
        <f t="shared" si="3"/>
        <v>FT-INDOILGSL*</v>
      </c>
      <c r="G31" s="109" t="str">
        <f>'Local_Prices-KZK'!F30</f>
        <v>INDOILGSL</v>
      </c>
      <c r="H31" s="130">
        <f t="shared" si="2"/>
        <v>0</v>
      </c>
      <c r="J31" s="130">
        <f>'Local_Prices-UZB'!E30</f>
        <v>0</v>
      </c>
      <c r="K31" s="109" t="str">
        <f>'Local_Prices-KZK'!B30</f>
        <v>Gasoline</v>
      </c>
      <c r="L31" s="134"/>
    </row>
    <row r="32" spans="3:12" x14ac:dyDescent="0.25">
      <c r="C32" s="109" t="str">
        <f t="shared" si="0"/>
        <v>*</v>
      </c>
      <c r="D32" s="108">
        <f t="shared" si="1"/>
        <v>2017</v>
      </c>
      <c r="F32" s="109" t="str">
        <f t="shared" si="3"/>
        <v>FT-INDGASNAT*</v>
      </c>
      <c r="G32" s="109" t="str">
        <f>'Local_Prices-KZK'!F31</f>
        <v>INDGASNAT</v>
      </c>
      <c r="H32" s="130">
        <f t="shared" si="2"/>
        <v>0</v>
      </c>
      <c r="J32" s="130">
        <f>'Local_Prices-UZB'!E31</f>
        <v>0</v>
      </c>
      <c r="K32" s="109" t="str">
        <f>'Local_Prices-KZK'!B31</f>
        <v>Natural Gas</v>
      </c>
      <c r="L32" s="134"/>
    </row>
    <row r="33" spans="3:12" x14ac:dyDescent="0.25">
      <c r="C33" s="109" t="str">
        <f t="shared" si="0"/>
        <v>*</v>
      </c>
      <c r="D33" s="108">
        <f t="shared" si="1"/>
        <v>2017</v>
      </c>
      <c r="F33" s="109" t="str">
        <f t="shared" si="3"/>
        <v>FT-INDCOASUB*</v>
      </c>
      <c r="G33" s="109" t="str">
        <f>'Local_Prices-KZK'!F32</f>
        <v>INDCOASUB</v>
      </c>
      <c r="H33" s="130">
        <f t="shared" si="2"/>
        <v>0</v>
      </c>
      <c r="J33" s="130">
        <f>'Local_Prices-UZB'!E32</f>
        <v>0</v>
      </c>
      <c r="K33" s="109" t="str">
        <f>'Local_Prices-KZK'!B32</f>
        <v>Coal</v>
      </c>
      <c r="L33" s="134"/>
    </row>
    <row r="34" spans="3:12" x14ac:dyDescent="0.25">
      <c r="C34" s="109" t="str">
        <f t="shared" si="0"/>
        <v>*</v>
      </c>
      <c r="D34" s="108">
        <f t="shared" si="1"/>
        <v>2017</v>
      </c>
      <c r="F34" s="109" t="str">
        <f t="shared" si="3"/>
        <v>FT-INDCOABCO*</v>
      </c>
      <c r="G34" s="109" t="str">
        <f>'Local_Prices-KZK'!F33</f>
        <v>INDCOABCO</v>
      </c>
      <c r="H34" s="130">
        <f t="shared" si="2"/>
        <v>0</v>
      </c>
      <c r="J34" s="130">
        <f>'Local_Prices-UZB'!E33</f>
        <v>0</v>
      </c>
      <c r="K34" s="109" t="str">
        <f>'Local_Prices-KZK'!B33</f>
        <v>Lignite</v>
      </c>
      <c r="L34" s="134"/>
    </row>
    <row r="35" spans="3:12" x14ac:dyDescent="0.25">
      <c r="C35" s="109" t="str">
        <f t="shared" si="0"/>
        <v>*</v>
      </c>
      <c r="D35" s="108">
        <f t="shared" si="1"/>
        <v>2017</v>
      </c>
      <c r="F35" s="109" t="str">
        <f t="shared" si="3"/>
        <v>FT-INDCOABIC*</v>
      </c>
      <c r="G35" s="109" t="str">
        <f>'Local_Prices-KZK'!F34</f>
        <v>INDCOABIC</v>
      </c>
      <c r="H35" s="130">
        <f t="shared" si="2"/>
        <v>0</v>
      </c>
      <c r="J35" s="130">
        <f>'Local_Prices-UZB'!E34</f>
        <v>0</v>
      </c>
      <c r="K35" s="109" t="str">
        <f>'Local_Prices-KZK'!B34</f>
        <v>Other bituminous</v>
      </c>
      <c r="L35" s="134"/>
    </row>
    <row r="36" spans="3:12" x14ac:dyDescent="0.25">
      <c r="C36" s="109" t="str">
        <f t="shared" si="0"/>
        <v>*</v>
      </c>
      <c r="D36" s="108">
        <f t="shared" si="1"/>
        <v>2017</v>
      </c>
      <c r="F36" s="109" t="str">
        <f t="shared" si="3"/>
        <v>FT-INDCOACOK*</v>
      </c>
      <c r="G36" s="109" t="str">
        <f>'Local_Prices-KZK'!F35</f>
        <v>INDCOACOK</v>
      </c>
      <c r="H36" s="130">
        <f t="shared" si="2"/>
        <v>0</v>
      </c>
      <c r="J36" s="130">
        <f>'Local_Prices-UZB'!E35</f>
        <v>0</v>
      </c>
      <c r="K36" s="109" t="str">
        <f>'Local_Prices-KZK'!B35</f>
        <v>Coke</v>
      </c>
      <c r="L36" s="134"/>
    </row>
    <row r="37" spans="3:12" x14ac:dyDescent="0.25">
      <c r="C37" s="109" t="str">
        <f t="shared" ref="C37:C68" si="5">IF(J37=0,"*",IF(J37&lt;0,"FLO_SUB","FLO_TAX"))</f>
        <v>*</v>
      </c>
      <c r="D37" s="108">
        <f t="shared" si="1"/>
        <v>2017</v>
      </c>
      <c r="F37" s="109" t="str">
        <f t="shared" si="3"/>
        <v>FT-INDCOABKB*</v>
      </c>
      <c r="G37" s="109" t="str">
        <f>'Local_Prices-KZK'!F36</f>
        <v>INDCOABKB</v>
      </c>
      <c r="H37" s="130">
        <f t="shared" ref="H37:H68" si="6">J37</f>
        <v>0</v>
      </c>
      <c r="J37" s="130">
        <f>'Local_Prices-UZB'!E36</f>
        <v>0</v>
      </c>
      <c r="K37" s="109" t="str">
        <f>'Local_Prices-KZK'!B36</f>
        <v>BKB</v>
      </c>
      <c r="L37" s="134"/>
    </row>
    <row r="38" spans="3:12" x14ac:dyDescent="0.25">
      <c r="C38" s="109" t="str">
        <f t="shared" si="5"/>
        <v>*</v>
      </c>
      <c r="D38" s="108">
        <f t="shared" si="1"/>
        <v>2017</v>
      </c>
      <c r="F38" s="109" t="str">
        <f t="shared" si="3"/>
        <v>FT-INDBIOLOG*</v>
      </c>
      <c r="G38" s="109" t="str">
        <f>'Local_Prices-KZK'!F37</f>
        <v>INDBIOLOG</v>
      </c>
      <c r="H38" s="130">
        <f t="shared" si="6"/>
        <v>0</v>
      </c>
      <c r="J38" s="130">
        <f>'Local_Prices-UZB'!E37</f>
        <v>0</v>
      </c>
      <c r="K38" s="109" t="str">
        <f>'Local_Prices-KZK'!B37</f>
        <v>Solid Biomass</v>
      </c>
      <c r="L38" s="134"/>
    </row>
    <row r="39" spans="3:12" x14ac:dyDescent="0.25">
      <c r="C39" s="109" t="str">
        <f t="shared" si="5"/>
        <v>*</v>
      </c>
      <c r="D39" s="108">
        <v>2030</v>
      </c>
      <c r="F39" s="109" t="str">
        <f>F38</f>
        <v>FT-INDBIOLOG*</v>
      </c>
      <c r="G39" s="109" t="str">
        <f>G38</f>
        <v>INDBIOLOG</v>
      </c>
      <c r="H39" s="130">
        <f t="shared" si="6"/>
        <v>0</v>
      </c>
      <c r="J39" s="130">
        <f>J38</f>
        <v>0</v>
      </c>
      <c r="L39" s="134"/>
    </row>
    <row r="40" spans="3:12" x14ac:dyDescent="0.25">
      <c r="C40" s="109" t="str">
        <f t="shared" si="5"/>
        <v>*</v>
      </c>
      <c r="D40" s="108">
        <f>BASE_YEAR</f>
        <v>2017</v>
      </c>
      <c r="F40" s="109" t="str">
        <f t="shared" si="3"/>
        <v>FT-INDBIOCHR*</v>
      </c>
      <c r="G40" s="109" t="s">
        <v>257</v>
      </c>
      <c r="H40" s="130">
        <f t="shared" si="6"/>
        <v>0</v>
      </c>
      <c r="J40" s="130">
        <f t="shared" ref="J40:J43" si="7">J39</f>
        <v>0</v>
      </c>
      <c r="L40" s="134"/>
    </row>
    <row r="41" spans="3:12" x14ac:dyDescent="0.25">
      <c r="C41" s="109" t="str">
        <f t="shared" si="5"/>
        <v>*</v>
      </c>
      <c r="D41" s="108">
        <v>2030</v>
      </c>
      <c r="F41" s="109" t="str">
        <f>F40</f>
        <v>FT-INDBIOCHR*</v>
      </c>
      <c r="G41" s="109" t="str">
        <f>G40</f>
        <v>INDBIOCHR</v>
      </c>
      <c r="H41" s="130">
        <f t="shared" si="6"/>
        <v>0</v>
      </c>
      <c r="J41" s="130">
        <f t="shared" si="7"/>
        <v>0</v>
      </c>
      <c r="L41" s="134"/>
    </row>
    <row r="42" spans="3:12" x14ac:dyDescent="0.25">
      <c r="C42" s="109" t="str">
        <f t="shared" si="5"/>
        <v>*</v>
      </c>
      <c r="D42" s="108">
        <f>BASE_YEAR</f>
        <v>2017</v>
      </c>
      <c r="F42" s="109" t="str">
        <f t="shared" ref="F42" si="8">"FT-"&amp;G42&amp;"*"</f>
        <v>FT-INDBIOPLT*</v>
      </c>
      <c r="G42" s="109" t="s">
        <v>258</v>
      </c>
      <c r="H42" s="130">
        <f t="shared" si="6"/>
        <v>0</v>
      </c>
      <c r="J42" s="130">
        <f t="shared" si="7"/>
        <v>0</v>
      </c>
      <c r="L42" s="134"/>
    </row>
    <row r="43" spans="3:12" x14ac:dyDescent="0.25">
      <c r="C43" s="109" t="str">
        <f t="shared" si="5"/>
        <v>*</v>
      </c>
      <c r="D43" s="108">
        <v>2030</v>
      </c>
      <c r="F43" s="109" t="str">
        <f>F42</f>
        <v>FT-INDBIOPLT*</v>
      </c>
      <c r="G43" s="109" t="str">
        <f>G42</f>
        <v>INDBIOPLT</v>
      </c>
      <c r="H43" s="130">
        <f t="shared" si="6"/>
        <v>0</v>
      </c>
      <c r="J43" s="130">
        <f t="shared" si="7"/>
        <v>0</v>
      </c>
      <c r="L43" s="134"/>
    </row>
    <row r="44" spans="3:12" x14ac:dyDescent="0.25">
      <c r="C44" s="109" t="str">
        <f t="shared" si="5"/>
        <v>*</v>
      </c>
      <c r="D44" s="108">
        <f t="shared" si="1"/>
        <v>2017</v>
      </c>
      <c r="F44" s="109" t="str">
        <f t="shared" si="3"/>
        <v>FT-INDHTH*</v>
      </c>
      <c r="G44" s="109" t="str">
        <f>'Local_Prices-KZK'!F38</f>
        <v>INDHTH</v>
      </c>
      <c r="H44" s="130">
        <f t="shared" si="6"/>
        <v>0</v>
      </c>
      <c r="J44" s="130">
        <f>'Local_Prices-UZB'!E38</f>
        <v>0</v>
      </c>
      <c r="K44" s="109" t="str">
        <f>'Local_Prices-KZK'!B38</f>
        <v>Heat</v>
      </c>
      <c r="L44" s="134"/>
    </row>
    <row r="45" spans="3:12" x14ac:dyDescent="0.25">
      <c r="C45" s="109" t="str">
        <f t="shared" si="5"/>
        <v>*</v>
      </c>
      <c r="D45" s="108">
        <f t="shared" si="1"/>
        <v>2017</v>
      </c>
      <c r="F45" s="109" t="str">
        <f t="shared" si="3"/>
        <v>FT-INDELC*</v>
      </c>
      <c r="G45" s="109" t="str">
        <f>'Local_Prices-KZK'!F39</f>
        <v>INDELC</v>
      </c>
      <c r="H45" s="130">
        <f t="shared" si="6"/>
        <v>0</v>
      </c>
      <c r="J45" s="130">
        <f>'Local_Prices-UZB'!E39</f>
        <v>0</v>
      </c>
      <c r="K45" s="109" t="str">
        <f>'Local_Prices-KZK'!B39</f>
        <v>Electricity</v>
      </c>
      <c r="L45" s="134"/>
    </row>
    <row r="46" spans="3:12" x14ac:dyDescent="0.25">
      <c r="C46" s="109" t="str">
        <f t="shared" si="5"/>
        <v>FLO_TAX</v>
      </c>
      <c r="D46" s="108">
        <f t="shared" si="1"/>
        <v>2017</v>
      </c>
      <c r="F46" s="109" t="str">
        <f t="shared" si="3"/>
        <v>FT-ELEOILDSL*</v>
      </c>
      <c r="G46" s="109" t="s">
        <v>243</v>
      </c>
      <c r="H46" s="130">
        <f t="shared" si="6"/>
        <v>0.10000000000000009</v>
      </c>
      <c r="J46" s="130">
        <f>'Local_Prices-UZB'!E52</f>
        <v>0.10000000000000009</v>
      </c>
      <c r="K46" s="109" t="str">
        <f>'Local_Prices-KZK'!B52</f>
        <v>Diesel</v>
      </c>
      <c r="L46" s="134" t="s">
        <v>196</v>
      </c>
    </row>
    <row r="47" spans="3:12" x14ac:dyDescent="0.25">
      <c r="C47" s="109" t="str">
        <f t="shared" si="5"/>
        <v>FLO_TAX</v>
      </c>
      <c r="D47" s="108">
        <f t="shared" si="1"/>
        <v>2017</v>
      </c>
      <c r="F47" s="109" t="str">
        <f t="shared" si="3"/>
        <v>FT-HETOILDSL*</v>
      </c>
      <c r="G47" s="109" t="s">
        <v>244</v>
      </c>
      <c r="H47" s="130">
        <v>0</v>
      </c>
      <c r="J47" s="130">
        <f>J46</f>
        <v>0.10000000000000009</v>
      </c>
      <c r="L47" s="134"/>
    </row>
    <row r="48" spans="3:12" x14ac:dyDescent="0.25">
      <c r="C48" s="109" t="str">
        <f t="shared" si="5"/>
        <v>FLO_TAX</v>
      </c>
      <c r="D48" s="108">
        <f t="shared" si="1"/>
        <v>2017</v>
      </c>
      <c r="F48" s="109" t="str">
        <f t="shared" si="3"/>
        <v>FT-ELEOILHFO*</v>
      </c>
      <c r="G48" s="109" t="s">
        <v>269</v>
      </c>
      <c r="H48" s="130">
        <f t="shared" si="6"/>
        <v>0.10000000000000009</v>
      </c>
      <c r="J48" s="130">
        <f>'Local_Prices-UZB'!E53</f>
        <v>0.10000000000000009</v>
      </c>
      <c r="K48" s="109" t="str">
        <f>'Local_Prices-KZK'!B53</f>
        <v>Fuel Oil</v>
      </c>
      <c r="L48" s="134"/>
    </row>
    <row r="49" spans="3:12" x14ac:dyDescent="0.25">
      <c r="C49" s="109" t="str">
        <f t="shared" si="5"/>
        <v>FLO_TAX</v>
      </c>
      <c r="D49" s="108">
        <f t="shared" si="1"/>
        <v>2017</v>
      </c>
      <c r="F49" s="109" t="str">
        <f t="shared" si="3"/>
        <v>FT-HETOILHFO*</v>
      </c>
      <c r="G49" s="109" t="s">
        <v>270</v>
      </c>
      <c r="H49" s="130">
        <f t="shared" si="6"/>
        <v>0.10000000000000009</v>
      </c>
      <c r="J49" s="130">
        <f>J48</f>
        <v>0.10000000000000009</v>
      </c>
      <c r="L49" s="134"/>
    </row>
    <row r="50" spans="3:12" x14ac:dyDescent="0.25">
      <c r="C50" s="109" t="str">
        <f t="shared" si="5"/>
        <v>FLO_TAX</v>
      </c>
      <c r="D50" s="108">
        <f t="shared" si="1"/>
        <v>2017</v>
      </c>
      <c r="F50" s="109" t="str">
        <f t="shared" si="3"/>
        <v>FT-ELEGASNAT*</v>
      </c>
      <c r="G50" s="109" t="s">
        <v>245</v>
      </c>
      <c r="H50" s="130">
        <f t="shared" si="6"/>
        <v>0.10000000000000009</v>
      </c>
      <c r="J50" s="130">
        <f>'Local_Prices-UZB'!E54</f>
        <v>0.10000000000000009</v>
      </c>
      <c r="K50" s="109" t="str">
        <f>'Local_Prices-KZK'!B54</f>
        <v>Natural Gas</v>
      </c>
      <c r="L50" s="134"/>
    </row>
    <row r="51" spans="3:12" x14ac:dyDescent="0.25">
      <c r="C51" s="109" t="str">
        <f t="shared" si="5"/>
        <v>FLO_TAX</v>
      </c>
      <c r="D51" s="108">
        <f t="shared" si="1"/>
        <v>2017</v>
      </c>
      <c r="F51" s="109" t="str">
        <f t="shared" si="3"/>
        <v>FT-HETGASNAT*</v>
      </c>
      <c r="G51" s="109" t="s">
        <v>246</v>
      </c>
      <c r="H51" s="130">
        <f t="shared" si="6"/>
        <v>0.10000000000000009</v>
      </c>
      <c r="J51" s="130">
        <f>J50</f>
        <v>0.10000000000000009</v>
      </c>
      <c r="L51" s="134"/>
    </row>
    <row r="52" spans="3:12" x14ac:dyDescent="0.25">
      <c r="C52" s="109" t="str">
        <f t="shared" si="5"/>
        <v>FLO_TAX</v>
      </c>
      <c r="D52" s="108">
        <f t="shared" si="1"/>
        <v>2017</v>
      </c>
      <c r="F52" s="109" t="str">
        <f t="shared" si="3"/>
        <v>FT-ELECOASUB*</v>
      </c>
      <c r="G52" s="109" t="s">
        <v>316</v>
      </c>
      <c r="H52" s="130">
        <f t="shared" si="6"/>
        <v>3.3333333333333361E-2</v>
      </c>
      <c r="J52" s="130">
        <f>'Local_Prices-UZB'!E55</f>
        <v>3.3333333333333361E-2</v>
      </c>
      <c r="K52" s="109" t="str">
        <f>'Local_Prices-KZK'!B55</f>
        <v>Coal</v>
      </c>
      <c r="L52" s="134"/>
    </row>
    <row r="53" spans="3:12" x14ac:dyDescent="0.25">
      <c r="C53" s="109" t="str">
        <f t="shared" si="5"/>
        <v>FLO_TAX</v>
      </c>
      <c r="D53" s="108">
        <f t="shared" si="1"/>
        <v>2017</v>
      </c>
      <c r="F53" s="109" t="str">
        <f t="shared" si="3"/>
        <v>FT-HETCOASUB*</v>
      </c>
      <c r="G53" s="109" t="s">
        <v>317</v>
      </c>
      <c r="H53" s="130">
        <f t="shared" si="6"/>
        <v>3.3333333333333361E-2</v>
      </c>
      <c r="J53" s="130">
        <f>J52</f>
        <v>3.3333333333333361E-2</v>
      </c>
      <c r="L53" s="134"/>
    </row>
    <row r="54" spans="3:12" x14ac:dyDescent="0.25">
      <c r="C54" s="109" t="str">
        <f t="shared" si="5"/>
        <v>FLO_TAX</v>
      </c>
      <c r="D54" s="108">
        <f t="shared" si="1"/>
        <v>2017</v>
      </c>
      <c r="F54" s="109" t="str">
        <f t="shared" si="3"/>
        <v>FT-ELEBIOLOG*</v>
      </c>
      <c r="G54" s="109" t="s">
        <v>247</v>
      </c>
      <c r="H54" s="130">
        <f t="shared" si="6"/>
        <v>3.3333333333333361E-2</v>
      </c>
      <c r="J54" s="130">
        <f>'Local_Prices-UZB'!E57</f>
        <v>3.3333333333333361E-2</v>
      </c>
      <c r="K54" s="109" t="str">
        <f>'Local_Prices-KZK'!B57</f>
        <v>Solid Biomass</v>
      </c>
      <c r="L54" s="134"/>
    </row>
    <row r="55" spans="3:12" x14ac:dyDescent="0.25">
      <c r="C55" s="109" t="str">
        <f t="shared" si="5"/>
        <v>FLO_TAX</v>
      </c>
      <c r="D55" s="108">
        <f t="shared" si="1"/>
        <v>2017</v>
      </c>
      <c r="F55" s="109" t="str">
        <f t="shared" si="3"/>
        <v>FT-HETBIOLOG*</v>
      </c>
      <c r="G55" s="109" t="s">
        <v>255</v>
      </c>
      <c r="H55" s="130">
        <f t="shared" si="6"/>
        <v>3.3333333333333361E-2</v>
      </c>
      <c r="J55" s="130">
        <f>J54</f>
        <v>3.3333333333333361E-2</v>
      </c>
      <c r="L55" s="134"/>
    </row>
    <row r="56" spans="3:12" x14ac:dyDescent="0.25">
      <c r="C56" s="109" t="str">
        <f t="shared" si="5"/>
        <v>FLO_TAX</v>
      </c>
      <c r="D56" s="108">
        <f t="shared" si="1"/>
        <v>2017</v>
      </c>
      <c r="F56" s="109" t="str">
        <f t="shared" si="3"/>
        <v>FT-HETBIOPLT*</v>
      </c>
      <c r="G56" s="109" t="s">
        <v>256</v>
      </c>
      <c r="H56" s="130">
        <f t="shared" si="6"/>
        <v>3.3333333333333361E-2</v>
      </c>
      <c r="J56" s="130">
        <f>J55</f>
        <v>3.3333333333333361E-2</v>
      </c>
      <c r="L56" s="134"/>
    </row>
    <row r="57" spans="3:12" x14ac:dyDescent="0.25">
      <c r="C57" s="109" t="str">
        <f t="shared" si="5"/>
        <v>FLO_TAX</v>
      </c>
      <c r="D57" s="108">
        <f t="shared" si="1"/>
        <v>2017</v>
      </c>
      <c r="F57" s="109" t="str">
        <f t="shared" si="3"/>
        <v>FT-TRAOILDSL*</v>
      </c>
      <c r="G57" s="109" t="str">
        <f>'Local_Prices-KZK'!F58</f>
        <v>TRAOILDSL</v>
      </c>
      <c r="H57" s="130">
        <f t="shared" si="6"/>
        <v>1.3000000000000007</v>
      </c>
      <c r="J57" s="130">
        <f>'Local_Prices-UZB'!E58</f>
        <v>1.3000000000000007</v>
      </c>
      <c r="K57" s="109" t="str">
        <f>'Local_Prices-KZK'!B58</f>
        <v>Diesel Cars</v>
      </c>
      <c r="L57" s="134" t="s">
        <v>124</v>
      </c>
    </row>
    <row r="58" spans="3:12" x14ac:dyDescent="0.25">
      <c r="C58" s="109" t="str">
        <f t="shared" si="5"/>
        <v>FLO_TAX</v>
      </c>
      <c r="D58" s="108">
        <f t="shared" si="1"/>
        <v>2017</v>
      </c>
      <c r="F58" s="109" t="s">
        <v>232</v>
      </c>
      <c r="G58" s="109" t="str">
        <f>'Local_Prices-KZK'!F59</f>
        <v>TRAOILDSL</v>
      </c>
      <c r="H58" s="130">
        <f t="shared" si="6"/>
        <v>1.3000000000000007</v>
      </c>
      <c r="J58" s="130">
        <f>'Local_Prices-UZB'!E59</f>
        <v>1.3000000000000007</v>
      </c>
      <c r="K58" s="109" t="str">
        <f>'Local_Prices-KZK'!B59</f>
        <v>Diesel Rail</v>
      </c>
      <c r="L58" s="134"/>
    </row>
    <row r="59" spans="3:12" x14ac:dyDescent="0.25">
      <c r="C59" s="109" t="str">
        <f t="shared" si="5"/>
        <v>FLO_TAX</v>
      </c>
      <c r="D59" s="108">
        <f t="shared" si="1"/>
        <v>2017</v>
      </c>
      <c r="F59" s="109" t="s">
        <v>233</v>
      </c>
      <c r="G59" s="109" t="str">
        <f>'Local_Prices-KZK'!F60</f>
        <v>TRAOILDSL</v>
      </c>
      <c r="H59" s="130">
        <f t="shared" si="6"/>
        <v>1.3000000000000007</v>
      </c>
      <c r="J59" s="130">
        <f>'Local_Prices-UZB'!E60</f>
        <v>1.3000000000000007</v>
      </c>
      <c r="K59" s="109" t="str">
        <f>'Local_Prices-KZK'!B60</f>
        <v>Diesel Navigation</v>
      </c>
      <c r="L59" s="134"/>
    </row>
    <row r="60" spans="3:12" x14ac:dyDescent="0.25">
      <c r="C60" s="109" t="str">
        <f t="shared" si="5"/>
        <v>FLO_TAX</v>
      </c>
      <c r="D60" s="108">
        <f t="shared" si="1"/>
        <v>2017</v>
      </c>
      <c r="F60" s="109" t="str">
        <f t="shared" ref="F60:F71" si="9">"FT-"&amp;G60&amp;"*"</f>
        <v>FT-TRAOILGSL*</v>
      </c>
      <c r="G60" s="109" t="str">
        <f>'Local_Prices-KZK'!F61</f>
        <v>TRAOILGSL</v>
      </c>
      <c r="H60" s="130">
        <f t="shared" si="6"/>
        <v>16.600000000000001</v>
      </c>
      <c r="J60" s="130">
        <f>'Local_Prices-UZB'!E61</f>
        <v>16.600000000000001</v>
      </c>
      <c r="K60" s="109" t="str">
        <f>'Local_Prices-KZK'!B61</f>
        <v>Gasoline Cars</v>
      </c>
      <c r="L60" s="134"/>
    </row>
    <row r="61" spans="3:12" x14ac:dyDescent="0.25">
      <c r="C61" s="109" t="str">
        <f t="shared" si="5"/>
        <v>FLO_TAX</v>
      </c>
      <c r="D61" s="108">
        <f t="shared" si="1"/>
        <v>2017</v>
      </c>
      <c r="F61" s="109" t="str">
        <f t="shared" si="9"/>
        <v>FT-TRAOILLPG*</v>
      </c>
      <c r="G61" s="109" t="str">
        <f>'Local_Prices-KZK'!F62</f>
        <v>TRAOILLPG</v>
      </c>
      <c r="H61" s="130">
        <f t="shared" si="6"/>
        <v>16.600000000000001</v>
      </c>
      <c r="J61" s="130">
        <f>'Local_Prices-UZB'!E62</f>
        <v>16.600000000000001</v>
      </c>
      <c r="K61" s="109" t="str">
        <f>'Local_Prices-KZK'!B62</f>
        <v>LPG Cars</v>
      </c>
      <c r="L61" s="134"/>
    </row>
    <row r="62" spans="3:12" x14ac:dyDescent="0.25">
      <c r="C62" s="109" t="str">
        <f t="shared" si="5"/>
        <v>FLO_TAX</v>
      </c>
      <c r="D62" s="108">
        <f t="shared" si="1"/>
        <v>2017</v>
      </c>
      <c r="F62" s="109" t="str">
        <f t="shared" si="9"/>
        <v>FT-TRAGASNAT*</v>
      </c>
      <c r="G62" s="109" t="s">
        <v>248</v>
      </c>
      <c r="H62" s="130">
        <f t="shared" si="6"/>
        <v>1</v>
      </c>
      <c r="J62" s="130">
        <f>'Local_Prices-UZB'!E63</f>
        <v>1</v>
      </c>
      <c r="K62" s="109" t="str">
        <f>'Local_Prices-KZK'!B63</f>
        <v>CNG Cars</v>
      </c>
      <c r="L62" s="134"/>
    </row>
    <row r="63" spans="3:12" ht="12.75" customHeight="1" x14ac:dyDescent="0.25">
      <c r="C63" s="109" t="str">
        <f t="shared" si="5"/>
        <v>FLO_TAX</v>
      </c>
      <c r="D63" s="108">
        <f t="shared" si="1"/>
        <v>2017</v>
      </c>
      <c r="F63" s="109" t="str">
        <f t="shared" si="9"/>
        <v>FT-TRABIOBGS*</v>
      </c>
      <c r="G63" s="109" t="s">
        <v>249</v>
      </c>
      <c r="H63" s="130">
        <f t="shared" si="6"/>
        <v>1</v>
      </c>
      <c r="J63" s="130">
        <f>J62</f>
        <v>1</v>
      </c>
      <c r="L63" s="134"/>
    </row>
    <row r="64" spans="3:12" ht="12.75" customHeight="1" x14ac:dyDescent="0.25">
      <c r="C64" s="109" t="str">
        <f t="shared" si="5"/>
        <v>FLO_TAX</v>
      </c>
      <c r="D64" s="108">
        <f t="shared" si="1"/>
        <v>2017</v>
      </c>
      <c r="F64" s="109" t="str">
        <f t="shared" si="9"/>
        <v>FT-TRAOILKER*</v>
      </c>
      <c r="G64" s="109" t="s">
        <v>252</v>
      </c>
      <c r="H64" s="130">
        <f t="shared" si="6"/>
        <v>5.5333333333333341</v>
      </c>
      <c r="J64" s="130">
        <f>'Local_Prices-UZB'!E64</f>
        <v>5.5333333333333341</v>
      </c>
      <c r="K64" s="109" t="str">
        <f>'Local_Prices-KZK'!B64</f>
        <v>Kerosene</v>
      </c>
      <c r="L64" s="134"/>
    </row>
    <row r="65" spans="1:16" x14ac:dyDescent="0.25">
      <c r="C65" s="109" t="str">
        <f t="shared" si="5"/>
        <v>FLO_TAX</v>
      </c>
      <c r="D65" s="108">
        <f t="shared" si="1"/>
        <v>2017</v>
      </c>
      <c r="F65" s="109" t="str">
        <f t="shared" si="9"/>
        <v>FT-TRABIOKER*</v>
      </c>
      <c r="G65" s="109" t="s">
        <v>253</v>
      </c>
      <c r="H65" s="130">
        <f t="shared" si="6"/>
        <v>4.4266666666666676</v>
      </c>
      <c r="J65" s="130">
        <f>J64*0.8</f>
        <v>4.4266666666666676</v>
      </c>
      <c r="L65" s="134"/>
    </row>
    <row r="66" spans="1:16" x14ac:dyDescent="0.25">
      <c r="C66" s="109" t="str">
        <f t="shared" si="5"/>
        <v>FLO_TAX</v>
      </c>
      <c r="D66" s="108">
        <f t="shared" si="1"/>
        <v>2017</v>
      </c>
      <c r="F66" s="109" t="str">
        <f t="shared" si="9"/>
        <v>FT-TRAOILGSA*</v>
      </c>
      <c r="G66" s="109" t="s">
        <v>254</v>
      </c>
      <c r="H66" s="130">
        <f t="shared" si="6"/>
        <v>5.5333333333333341</v>
      </c>
      <c r="J66" s="130">
        <f>'Local_Prices-UZB'!E66</f>
        <v>5.5333333333333341</v>
      </c>
      <c r="L66" s="134"/>
    </row>
    <row r="67" spans="1:16" x14ac:dyDescent="0.25">
      <c r="C67" s="109" t="str">
        <f t="shared" si="5"/>
        <v>FLO_TAX</v>
      </c>
      <c r="D67" s="108">
        <f t="shared" si="1"/>
        <v>2017</v>
      </c>
      <c r="F67" s="109" t="str">
        <f t="shared" si="9"/>
        <v>FT-TRABIOE**</v>
      </c>
      <c r="G67" s="109" t="str">
        <f>'Local_Prices-KZK'!F65</f>
        <v>TRABIOE*</v>
      </c>
      <c r="H67" s="130">
        <f t="shared" si="6"/>
        <v>5.5333333333333341</v>
      </c>
      <c r="J67" s="130">
        <f>'Local_Prices-UZB'!E65</f>
        <v>5.5333333333333341</v>
      </c>
      <c r="L67" s="134"/>
    </row>
    <row r="68" spans="1:16" x14ac:dyDescent="0.25">
      <c r="C68" s="109" t="str">
        <f t="shared" si="5"/>
        <v>FLO_TAX</v>
      </c>
      <c r="D68" s="108">
        <f t="shared" si="1"/>
        <v>2017</v>
      </c>
      <c r="F68" s="109" t="str">
        <f t="shared" si="9"/>
        <v>FT-TRABIODSL**</v>
      </c>
      <c r="G68" s="109" t="s">
        <v>250</v>
      </c>
      <c r="H68" s="130">
        <f t="shared" si="6"/>
        <v>5.5333333333333341</v>
      </c>
      <c r="J68" s="130">
        <f>'Local_Prices-UZB'!E66</f>
        <v>5.5333333333333341</v>
      </c>
      <c r="L68" s="134"/>
    </row>
    <row r="69" spans="1:16" x14ac:dyDescent="0.25">
      <c r="C69" s="109" t="str">
        <f t="shared" ref="C69:C78" si="10">IF(J69=0,"*",IF(J69&lt;0,"FLO_SUB","FLO_TAX"))</f>
        <v>FLO_TAX</v>
      </c>
      <c r="D69" s="108">
        <f t="shared" si="1"/>
        <v>2017</v>
      </c>
      <c r="F69" s="109" t="str">
        <f t="shared" si="9"/>
        <v>FT-TRABIOB20*</v>
      </c>
      <c r="G69" s="109" t="s">
        <v>251</v>
      </c>
      <c r="H69" s="130">
        <f t="shared" ref="H69:H132" si="11">J69</f>
        <v>5.5333333333333341</v>
      </c>
      <c r="J69" s="130">
        <f>J68</f>
        <v>5.5333333333333341</v>
      </c>
      <c r="L69" s="134"/>
    </row>
    <row r="70" spans="1:16" x14ac:dyDescent="0.25">
      <c r="C70" s="109" t="str">
        <f t="shared" si="10"/>
        <v>FLO_TAX</v>
      </c>
      <c r="D70" s="108">
        <f t="shared" si="1"/>
        <v>2017</v>
      </c>
      <c r="E70" s="109" t="str">
        <f>'Local_Prices-KZK'!F67</f>
        <v>TRAELC</v>
      </c>
      <c r="F70" s="174" t="s">
        <v>234</v>
      </c>
      <c r="G70" s="109" t="str">
        <f t="shared" ref="G70" si="12">E70</f>
        <v>TRAELC</v>
      </c>
      <c r="H70" s="130">
        <f t="shared" si="11"/>
        <v>7</v>
      </c>
      <c r="J70" s="130">
        <f>'Local_Prices-UZB'!E67</f>
        <v>7</v>
      </c>
      <c r="K70" s="109" t="str">
        <f>'Local_Prices-KZK'!B67</f>
        <v>Electricity-Private</v>
      </c>
      <c r="L70" s="134"/>
    </row>
    <row r="71" spans="1:16" x14ac:dyDescent="0.25">
      <c r="C71" s="109" t="str">
        <f t="shared" si="10"/>
        <v>*</v>
      </c>
      <c r="D71" s="108">
        <f t="shared" si="1"/>
        <v>2017</v>
      </c>
      <c r="F71" s="109" t="str">
        <f t="shared" si="9"/>
        <v>FT-TRAELC*</v>
      </c>
      <c r="G71" s="109" t="str">
        <f>'Local_Prices-KZK'!F68</f>
        <v>TRAELC</v>
      </c>
      <c r="H71" s="130">
        <f t="shared" si="11"/>
        <v>0</v>
      </c>
      <c r="J71" s="130">
        <f>'Local_Prices-UZB'!E68</f>
        <v>0</v>
      </c>
      <c r="K71" s="109" t="str">
        <f>'Local_Prices-KZK'!B68</f>
        <v>Electricity-Rail</v>
      </c>
      <c r="L71" s="134"/>
    </row>
    <row r="72" spans="1:16" x14ac:dyDescent="0.25">
      <c r="C72" s="109" t="str">
        <f t="shared" si="10"/>
        <v>FLO_TAX</v>
      </c>
      <c r="D72" s="108">
        <f t="shared" si="1"/>
        <v>2017</v>
      </c>
      <c r="F72" s="109" t="str">
        <f>"FT-"&amp;LEFT(G72,5)&amp;"*"</f>
        <v>FT-TRAH2*</v>
      </c>
      <c r="G72" s="109" t="s">
        <v>273</v>
      </c>
      <c r="H72" s="130">
        <f t="shared" si="11"/>
        <v>1</v>
      </c>
      <c r="J72" s="130">
        <f>'Local_Prices-UZB'!E63</f>
        <v>1</v>
      </c>
      <c r="L72" s="134"/>
    </row>
    <row r="73" spans="1:16" x14ac:dyDescent="0.25">
      <c r="C73" s="109" t="str">
        <f t="shared" si="10"/>
        <v>*</v>
      </c>
      <c r="D73" s="108">
        <f t="shared" si="1"/>
        <v>2017</v>
      </c>
      <c r="F73" s="109" t="str">
        <f t="shared" ref="F73:F76" si="13">"FT-"&amp;G73&amp;"*"</f>
        <v>FT-AGRELC*</v>
      </c>
      <c r="G73" s="109" t="str">
        <f>'Local_Prices-KZK'!F69</f>
        <v>AGRELC</v>
      </c>
      <c r="H73" s="130">
        <f t="shared" si="11"/>
        <v>0</v>
      </c>
      <c r="J73" s="130">
        <f>'Local_Prices-UZB'!E69</f>
        <v>0</v>
      </c>
      <c r="K73" s="109" t="str">
        <f>'Local_Prices-KZK'!B69</f>
        <v>Electricity</v>
      </c>
      <c r="L73" s="134" t="s">
        <v>237</v>
      </c>
    </row>
    <row r="74" spans="1:16" x14ac:dyDescent="0.25">
      <c r="C74" s="109" t="str">
        <f t="shared" si="10"/>
        <v>FLO_TAX</v>
      </c>
      <c r="D74" s="108">
        <f t="shared" si="1"/>
        <v>2017</v>
      </c>
      <c r="F74" s="109" t="str">
        <f t="shared" si="13"/>
        <v>FT-AGROILDSL*</v>
      </c>
      <c r="G74" s="109" t="str">
        <f>'Local_Prices-KZK'!F70</f>
        <v>AGROILDSL</v>
      </c>
      <c r="H74" s="130">
        <f t="shared" si="11"/>
        <v>1.3000000000000007</v>
      </c>
      <c r="J74" s="130">
        <f>'Local_Prices-UZB'!E70</f>
        <v>1.3000000000000007</v>
      </c>
      <c r="K74" s="109" t="str">
        <f>'Local_Prices-KZK'!B70</f>
        <v>Diesel</v>
      </c>
      <c r="L74" s="117"/>
    </row>
    <row r="75" spans="1:16" x14ac:dyDescent="0.25">
      <c r="C75" s="109" t="str">
        <f t="shared" si="10"/>
        <v>*</v>
      </c>
      <c r="D75" s="108">
        <f t="shared" si="1"/>
        <v>2017</v>
      </c>
      <c r="F75" s="109" t="str">
        <f t="shared" si="13"/>
        <v>FT-AGRGASNAT*</v>
      </c>
      <c r="G75" s="109" t="str">
        <f>'Local_Prices-KZK'!F71</f>
        <v>AGRGASNAT</v>
      </c>
      <c r="H75" s="130">
        <f t="shared" si="11"/>
        <v>0</v>
      </c>
      <c r="J75" s="130">
        <f>'Local_Prices-UZB'!E71</f>
        <v>0</v>
      </c>
      <c r="K75" s="109" t="str">
        <f>'Local_Prices-KZK'!B71</f>
        <v>Natural Gas</v>
      </c>
      <c r="L75" s="117"/>
    </row>
    <row r="76" spans="1:16" x14ac:dyDescent="0.25">
      <c r="A76" s="169"/>
      <c r="B76" s="169"/>
      <c r="C76" s="109" t="str">
        <f t="shared" si="10"/>
        <v>*</v>
      </c>
      <c r="D76" s="151">
        <f t="shared" ref="D76" si="14">BASE_YEAR</f>
        <v>2017</v>
      </c>
      <c r="E76" s="169"/>
      <c r="F76" s="169" t="str">
        <f t="shared" si="13"/>
        <v>FT-AGRCOABIC*</v>
      </c>
      <c r="G76" s="169" t="str">
        <f>'Local_Prices-KZK'!F72</f>
        <v>AGRCOABIC</v>
      </c>
      <c r="H76" s="175">
        <f t="shared" si="11"/>
        <v>0</v>
      </c>
      <c r="I76" s="169"/>
      <c r="J76" s="175">
        <f>'Local_Prices-UZB'!E72</f>
        <v>0</v>
      </c>
      <c r="K76" s="169" t="str">
        <f>'Local_Prices-KZK'!B72</f>
        <v>Other bituminous</v>
      </c>
      <c r="L76" s="169"/>
      <c r="M76" s="169"/>
      <c r="N76" s="169"/>
      <c r="O76" s="169"/>
      <c r="P76" s="169"/>
    </row>
    <row r="77" spans="1:16" x14ac:dyDescent="0.25">
      <c r="C77" s="109" t="str">
        <f t="shared" si="10"/>
        <v>*</v>
      </c>
      <c r="D77" s="108">
        <f t="shared" ref="D77:D108" si="15">END_YEAR</f>
        <v>2050</v>
      </c>
      <c r="F77" s="109" t="str">
        <f t="shared" ref="F77:K92" si="16">F5</f>
        <v>FT-RSDOILDSL*</v>
      </c>
      <c r="G77" s="109" t="str">
        <f t="shared" si="16"/>
        <v>RSDOILDSL</v>
      </c>
      <c r="H77" s="130">
        <f t="shared" si="11"/>
        <v>0</v>
      </c>
      <c r="J77" s="176">
        <f>J5*O77</f>
        <v>0</v>
      </c>
      <c r="K77" s="109" t="str">
        <f t="shared" si="16"/>
        <v>Diesel</v>
      </c>
      <c r="O77" s="109">
        <v>2</v>
      </c>
      <c r="P77" s="109" t="s">
        <v>343</v>
      </c>
    </row>
    <row r="78" spans="1:16" x14ac:dyDescent="0.25">
      <c r="C78" s="109" t="str">
        <f t="shared" si="10"/>
        <v>*</v>
      </c>
      <c r="D78" s="108">
        <f t="shared" si="15"/>
        <v>2050</v>
      </c>
      <c r="F78" s="109" t="str">
        <f t="shared" si="16"/>
        <v>FT-RSDOILLPG*</v>
      </c>
      <c r="G78" s="109" t="str">
        <f t="shared" si="16"/>
        <v>RSDOILLPG</v>
      </c>
      <c r="H78" s="130">
        <f t="shared" si="11"/>
        <v>0</v>
      </c>
      <c r="J78" s="176">
        <f t="shared" ref="J78:J141" si="17">J6*O78</f>
        <v>0</v>
      </c>
      <c r="K78" s="109" t="str">
        <f t="shared" si="16"/>
        <v>LPG</v>
      </c>
      <c r="O78" s="109">
        <v>2</v>
      </c>
    </row>
    <row r="79" spans="1:16" x14ac:dyDescent="0.25">
      <c r="C79" s="109" t="s">
        <v>355</v>
      </c>
      <c r="D79" s="108">
        <f t="shared" si="15"/>
        <v>2050</v>
      </c>
      <c r="F79" s="109" t="str">
        <f t="shared" si="16"/>
        <v>FT-RSDGASNAT*</v>
      </c>
      <c r="G79" s="109" t="str">
        <f t="shared" si="16"/>
        <v>RSDGASNAT</v>
      </c>
      <c r="H79" s="130">
        <f>ABS(J79)</f>
        <v>5.8</v>
      </c>
      <c r="J79" s="176">
        <f t="shared" si="17"/>
        <v>-5.8</v>
      </c>
      <c r="K79" s="109" t="str">
        <f t="shared" si="16"/>
        <v>Natural Gas</v>
      </c>
      <c r="O79" s="109">
        <v>2</v>
      </c>
    </row>
    <row r="80" spans="1:16" x14ac:dyDescent="0.25">
      <c r="C80" s="109" t="str">
        <f>IF(J80=0,"*",IF(J80&lt;0,"FLO_SUB","FLO_TAX"))</f>
        <v>*</v>
      </c>
      <c r="D80" s="108">
        <f t="shared" si="15"/>
        <v>2050</v>
      </c>
      <c r="F80" s="109" t="str">
        <f t="shared" si="16"/>
        <v>FT-RSDCOABIC*</v>
      </c>
      <c r="G80" s="109" t="str">
        <f t="shared" si="16"/>
        <v>RSDCOABIC</v>
      </c>
      <c r="H80" s="130">
        <f t="shared" si="11"/>
        <v>0</v>
      </c>
      <c r="J80" s="176">
        <f t="shared" si="17"/>
        <v>0</v>
      </c>
      <c r="K80" s="109" t="str">
        <f t="shared" si="16"/>
        <v>Coal</v>
      </c>
      <c r="O80" s="109">
        <v>2</v>
      </c>
    </row>
    <row r="81" spans="3:15" x14ac:dyDescent="0.25">
      <c r="C81" s="109" t="str">
        <f>IF(J81=0,"*",IF(J81&lt;0,"FLO_SUB","FLO_TAX"))</f>
        <v>*</v>
      </c>
      <c r="D81" s="108">
        <f t="shared" si="15"/>
        <v>2050</v>
      </c>
      <c r="F81" s="109" t="str">
        <f t="shared" si="16"/>
        <v>FT-RSDCOABCO*</v>
      </c>
      <c r="G81" s="109" t="str">
        <f t="shared" si="16"/>
        <v>RSDCOABCO</v>
      </c>
      <c r="H81" s="130">
        <f t="shared" si="11"/>
        <v>0</v>
      </c>
      <c r="J81" s="176">
        <f t="shared" si="17"/>
        <v>0</v>
      </c>
      <c r="K81" s="109" t="str">
        <f t="shared" si="16"/>
        <v>Lignite</v>
      </c>
      <c r="O81" s="109">
        <v>2</v>
      </c>
    </row>
    <row r="82" spans="3:15" x14ac:dyDescent="0.25">
      <c r="C82" s="109" t="str">
        <f>IF(J82=0,"*",IF(J82&lt;0,"FLO_SUB","FLO_TAX"))</f>
        <v>*</v>
      </c>
      <c r="D82" s="108">
        <f t="shared" si="15"/>
        <v>2050</v>
      </c>
      <c r="F82" s="109" t="str">
        <f t="shared" si="16"/>
        <v>FT-RSDBIOCHR*</v>
      </c>
      <c r="G82" s="109" t="str">
        <f t="shared" si="16"/>
        <v>RSDBIOCHR</v>
      </c>
      <c r="H82" s="130">
        <v>0</v>
      </c>
      <c r="J82" s="176">
        <f t="shared" si="17"/>
        <v>0</v>
      </c>
      <c r="K82" s="109" t="str">
        <f t="shared" si="16"/>
        <v>CHR</v>
      </c>
      <c r="O82" s="109">
        <v>2</v>
      </c>
    </row>
    <row r="83" spans="3:15" x14ac:dyDescent="0.25">
      <c r="C83" s="109" t="str">
        <f>IF(J83=0,"*",IF(J83&lt;0,"FLO_SUB","FLO_TAX"))</f>
        <v>*</v>
      </c>
      <c r="D83" s="108">
        <f t="shared" si="15"/>
        <v>2050</v>
      </c>
      <c r="F83" s="109" t="str">
        <f t="shared" si="16"/>
        <v>FT-RSDBIOLOG*</v>
      </c>
      <c r="G83" s="109" t="str">
        <f t="shared" si="16"/>
        <v>RSDBIOLOG</v>
      </c>
      <c r="H83" s="130">
        <f t="shared" si="11"/>
        <v>0</v>
      </c>
      <c r="J83" s="176">
        <f t="shared" si="17"/>
        <v>0</v>
      </c>
      <c r="K83" s="109" t="str">
        <f t="shared" si="16"/>
        <v>Solid Biomass</v>
      </c>
      <c r="O83" s="109">
        <v>2</v>
      </c>
    </row>
    <row r="84" spans="3:15" x14ac:dyDescent="0.25">
      <c r="C84" s="109" t="str">
        <f>IF(J84=0,"*",IF(J84&lt;0,"FLO_SUB","FLO_TAX"))</f>
        <v>*</v>
      </c>
      <c r="D84" s="108">
        <f t="shared" si="15"/>
        <v>2050</v>
      </c>
      <c r="F84" s="109" t="str">
        <f t="shared" si="16"/>
        <v>FT-RSDBIOPLT*</v>
      </c>
      <c r="G84" s="109" t="str">
        <f t="shared" si="16"/>
        <v>RSDBIOPLT</v>
      </c>
      <c r="H84" s="130">
        <f t="shared" si="11"/>
        <v>0</v>
      </c>
      <c r="J84" s="176">
        <f t="shared" si="17"/>
        <v>0</v>
      </c>
      <c r="K84" s="109" t="str">
        <f t="shared" si="16"/>
        <v>Pellets</v>
      </c>
      <c r="O84" s="109">
        <v>2</v>
      </c>
    </row>
    <row r="85" spans="3:15" x14ac:dyDescent="0.25">
      <c r="C85" s="109" t="s">
        <v>355</v>
      </c>
      <c r="D85" s="108">
        <f t="shared" si="15"/>
        <v>2050</v>
      </c>
      <c r="F85" s="109" t="str">
        <f t="shared" si="16"/>
        <v>FT-RSDLTH*</v>
      </c>
      <c r="G85" s="109" t="str">
        <f t="shared" si="16"/>
        <v>RSDLTH</v>
      </c>
      <c r="H85" s="130">
        <f>ABS(J85)</f>
        <v>4.2</v>
      </c>
      <c r="J85" s="176">
        <f t="shared" si="17"/>
        <v>-4.2</v>
      </c>
      <c r="K85" s="109" t="str">
        <f t="shared" si="16"/>
        <v>Heat</v>
      </c>
      <c r="O85" s="109">
        <v>2</v>
      </c>
    </row>
    <row r="86" spans="3:15" x14ac:dyDescent="0.25">
      <c r="C86" s="109" t="s">
        <v>355</v>
      </c>
      <c r="D86" s="108">
        <f t="shared" si="15"/>
        <v>2050</v>
      </c>
      <c r="F86" s="109" t="str">
        <f t="shared" si="16"/>
        <v>FT-RSDELC*</v>
      </c>
      <c r="G86" s="109" t="str">
        <f t="shared" si="16"/>
        <v>RSDELC</v>
      </c>
      <c r="H86" s="130">
        <f>ABS(J86)</f>
        <v>26</v>
      </c>
      <c r="J86" s="176">
        <f t="shared" si="17"/>
        <v>-26</v>
      </c>
      <c r="K86" s="109" t="str">
        <f t="shared" si="16"/>
        <v>Electricity</v>
      </c>
      <c r="O86" s="109">
        <v>2</v>
      </c>
    </row>
    <row r="87" spans="3:15" x14ac:dyDescent="0.25">
      <c r="C87" s="109" t="str">
        <f t="shared" ref="C87:C118" si="18">IF(J87=0,"*",IF(J87&lt;0,"FLO_SUB","FLO_TAX"))</f>
        <v>*</v>
      </c>
      <c r="D87" s="108">
        <f t="shared" si="15"/>
        <v>2050</v>
      </c>
      <c r="F87" s="109" t="str">
        <f t="shared" si="16"/>
        <v>FT-TEROILDSL*</v>
      </c>
      <c r="G87" s="109" t="str">
        <f t="shared" si="16"/>
        <v>TEROILDSL</v>
      </c>
      <c r="H87" s="130">
        <f t="shared" si="11"/>
        <v>0</v>
      </c>
      <c r="J87" s="176">
        <f t="shared" si="17"/>
        <v>0</v>
      </c>
      <c r="K87" s="109" t="str">
        <f t="shared" si="16"/>
        <v>Diesel</v>
      </c>
      <c r="O87" s="109">
        <v>2</v>
      </c>
    </row>
    <row r="88" spans="3:15" x14ac:dyDescent="0.25">
      <c r="C88" s="109" t="str">
        <f t="shared" si="18"/>
        <v>*</v>
      </c>
      <c r="D88" s="108">
        <f t="shared" si="15"/>
        <v>2050</v>
      </c>
      <c r="F88" s="109" t="str">
        <f t="shared" si="16"/>
        <v>FT-TEROILHFO*</v>
      </c>
      <c r="G88" s="109" t="str">
        <f t="shared" si="16"/>
        <v>TEROILHFO</v>
      </c>
      <c r="H88" s="130">
        <f t="shared" si="11"/>
        <v>0</v>
      </c>
      <c r="J88" s="176">
        <f t="shared" si="17"/>
        <v>0</v>
      </c>
      <c r="K88" s="109" t="str">
        <f t="shared" si="16"/>
        <v>HFO</v>
      </c>
      <c r="O88" s="109">
        <v>2</v>
      </c>
    </row>
    <row r="89" spans="3:15" x14ac:dyDescent="0.25">
      <c r="C89" s="109" t="str">
        <f t="shared" si="18"/>
        <v>*</v>
      </c>
      <c r="D89" s="108">
        <f t="shared" si="15"/>
        <v>2050</v>
      </c>
      <c r="F89" s="109" t="str">
        <f t="shared" si="16"/>
        <v>FT-TEROILLPG*</v>
      </c>
      <c r="G89" s="109" t="str">
        <f t="shared" si="16"/>
        <v>TEROILLPG</v>
      </c>
      <c r="H89" s="130">
        <f t="shared" si="11"/>
        <v>0</v>
      </c>
      <c r="J89" s="176">
        <f t="shared" si="17"/>
        <v>0</v>
      </c>
      <c r="K89" s="109" t="str">
        <f t="shared" si="16"/>
        <v>LPG</v>
      </c>
      <c r="O89" s="109">
        <v>2</v>
      </c>
    </row>
    <row r="90" spans="3:15" x14ac:dyDescent="0.25">
      <c r="C90" s="109" t="str">
        <f t="shared" si="18"/>
        <v>*</v>
      </c>
      <c r="D90" s="108">
        <f t="shared" si="15"/>
        <v>2050</v>
      </c>
      <c r="F90" s="109" t="str">
        <f t="shared" si="16"/>
        <v>FT-TERGASNAT*</v>
      </c>
      <c r="G90" s="109" t="str">
        <f t="shared" si="16"/>
        <v>TERGASNAT</v>
      </c>
      <c r="H90" s="130">
        <f t="shared" si="11"/>
        <v>0</v>
      </c>
      <c r="J90" s="176">
        <f t="shared" si="17"/>
        <v>0</v>
      </c>
      <c r="K90" s="109" t="str">
        <f t="shared" si="16"/>
        <v>Natural Gas</v>
      </c>
      <c r="O90" s="109">
        <v>2</v>
      </c>
    </row>
    <row r="91" spans="3:15" x14ac:dyDescent="0.25">
      <c r="C91" s="109" t="str">
        <f t="shared" si="18"/>
        <v>*</v>
      </c>
      <c r="D91" s="108">
        <f t="shared" si="15"/>
        <v>2050</v>
      </c>
      <c r="F91" s="109" t="str">
        <f t="shared" si="16"/>
        <v>FT-TERCOABIC*</v>
      </c>
      <c r="G91" s="109" t="str">
        <f t="shared" si="16"/>
        <v>TERCOABIC</v>
      </c>
      <c r="H91" s="130">
        <f t="shared" si="11"/>
        <v>0</v>
      </c>
      <c r="J91" s="176">
        <f t="shared" si="17"/>
        <v>0</v>
      </c>
      <c r="K91" s="109" t="str">
        <f t="shared" si="16"/>
        <v>Coal</v>
      </c>
      <c r="O91" s="109">
        <v>2</v>
      </c>
    </row>
    <row r="92" spans="3:15" x14ac:dyDescent="0.25">
      <c r="C92" s="109" t="str">
        <f t="shared" si="18"/>
        <v>*</v>
      </c>
      <c r="D92" s="108">
        <f t="shared" si="15"/>
        <v>2050</v>
      </c>
      <c r="F92" s="109" t="str">
        <f t="shared" si="16"/>
        <v>FT-TERCOABCO*</v>
      </c>
      <c r="G92" s="109" t="str">
        <f t="shared" si="16"/>
        <v>TERCOABCO</v>
      </c>
      <c r="H92" s="130">
        <f t="shared" si="11"/>
        <v>0</v>
      </c>
      <c r="J92" s="176">
        <f t="shared" si="17"/>
        <v>0</v>
      </c>
      <c r="K92" s="109" t="str">
        <f t="shared" si="16"/>
        <v>Lignite</v>
      </c>
      <c r="O92" s="109">
        <v>2</v>
      </c>
    </row>
    <row r="93" spans="3:15" x14ac:dyDescent="0.25">
      <c r="C93" s="109" t="str">
        <f t="shared" si="18"/>
        <v>*</v>
      </c>
      <c r="D93" s="108">
        <f t="shared" si="15"/>
        <v>2050</v>
      </c>
      <c r="F93" s="109" t="str">
        <f t="shared" ref="F93:G108" si="19">F21</f>
        <v>FT-TERBIOCHR*</v>
      </c>
      <c r="G93" s="109" t="str">
        <f t="shared" si="19"/>
        <v>TERBIOCHR</v>
      </c>
      <c r="H93" s="130">
        <f t="shared" si="11"/>
        <v>0</v>
      </c>
      <c r="J93" s="176">
        <f t="shared" si="17"/>
        <v>0</v>
      </c>
      <c r="K93" s="109" t="str">
        <f t="shared" ref="K93:K95" si="20">K21</f>
        <v>CHR</v>
      </c>
      <c r="O93" s="109">
        <v>2</v>
      </c>
    </row>
    <row r="94" spans="3:15" x14ac:dyDescent="0.25">
      <c r="C94" s="109" t="str">
        <f t="shared" si="18"/>
        <v>*</v>
      </c>
      <c r="D94" s="108">
        <f t="shared" si="15"/>
        <v>2050</v>
      </c>
      <c r="F94" s="109" t="str">
        <f t="shared" si="19"/>
        <v>FT-TERBIOLOG*</v>
      </c>
      <c r="G94" s="109" t="str">
        <f t="shared" si="19"/>
        <v>TERBIOLOG</v>
      </c>
      <c r="H94" s="130">
        <f t="shared" si="11"/>
        <v>0</v>
      </c>
      <c r="J94" s="176">
        <f t="shared" si="17"/>
        <v>0</v>
      </c>
      <c r="K94" s="109" t="str">
        <f t="shared" si="20"/>
        <v>Solid Biomass</v>
      </c>
      <c r="O94" s="109">
        <v>2</v>
      </c>
    </row>
    <row r="95" spans="3:15" x14ac:dyDescent="0.25">
      <c r="C95" s="109" t="str">
        <f t="shared" si="18"/>
        <v>*</v>
      </c>
      <c r="D95" s="108">
        <f t="shared" si="15"/>
        <v>2050</v>
      </c>
      <c r="F95" s="109" t="str">
        <f t="shared" si="19"/>
        <v>FT-TERBIOPLT*</v>
      </c>
      <c r="G95" s="109" t="str">
        <f t="shared" si="19"/>
        <v>TERBIOPLT</v>
      </c>
      <c r="H95" s="130">
        <f t="shared" si="11"/>
        <v>0</v>
      </c>
      <c r="J95" s="176">
        <f t="shared" si="17"/>
        <v>0</v>
      </c>
      <c r="K95" s="109" t="str">
        <f t="shared" si="20"/>
        <v>Pellets</v>
      </c>
      <c r="O95" s="109">
        <v>2</v>
      </c>
    </row>
    <row r="96" spans="3:15" x14ac:dyDescent="0.25">
      <c r="C96" s="109" t="str">
        <f t="shared" si="18"/>
        <v>*</v>
      </c>
      <c r="D96" s="108">
        <f t="shared" si="15"/>
        <v>2050</v>
      </c>
      <c r="F96" s="109" t="str">
        <f t="shared" si="19"/>
        <v>FT-0*</v>
      </c>
      <c r="G96" s="109">
        <f t="shared" si="19"/>
        <v>0</v>
      </c>
      <c r="H96" s="130">
        <f t="shared" si="11"/>
        <v>0</v>
      </c>
      <c r="J96" s="176">
        <f t="shared" si="17"/>
        <v>0</v>
      </c>
      <c r="O96" s="109">
        <v>2</v>
      </c>
    </row>
    <row r="97" spans="3:15" x14ac:dyDescent="0.25">
      <c r="C97" s="109" t="str">
        <f t="shared" si="18"/>
        <v>*</v>
      </c>
      <c r="D97" s="108">
        <f t="shared" si="15"/>
        <v>2050</v>
      </c>
      <c r="F97" s="109" t="str">
        <f t="shared" si="19"/>
        <v>FT-TERLTH*</v>
      </c>
      <c r="G97" s="109" t="str">
        <f t="shared" si="19"/>
        <v>TERLTH</v>
      </c>
      <c r="H97" s="130">
        <f t="shared" si="11"/>
        <v>0</v>
      </c>
      <c r="J97" s="176">
        <f t="shared" si="17"/>
        <v>0</v>
      </c>
      <c r="K97" s="109" t="str">
        <f t="shared" ref="K97:K100" si="21">K25</f>
        <v>Heat</v>
      </c>
      <c r="O97" s="109">
        <v>2</v>
      </c>
    </row>
    <row r="98" spans="3:15" x14ac:dyDescent="0.25">
      <c r="C98" s="109" t="str">
        <f t="shared" si="18"/>
        <v>*</v>
      </c>
      <c r="D98" s="108">
        <f t="shared" si="15"/>
        <v>2050</v>
      </c>
      <c r="F98" s="109" t="str">
        <f t="shared" si="19"/>
        <v>FT-TERELC*</v>
      </c>
      <c r="G98" s="109" t="str">
        <f t="shared" si="19"/>
        <v>TERELC</v>
      </c>
      <c r="H98" s="130">
        <f t="shared" si="11"/>
        <v>0</v>
      </c>
      <c r="J98" s="176">
        <f t="shared" si="17"/>
        <v>0</v>
      </c>
      <c r="K98" s="109" t="str">
        <f t="shared" si="21"/>
        <v>Electricity</v>
      </c>
      <c r="O98" s="109">
        <v>2</v>
      </c>
    </row>
    <row r="99" spans="3:15" x14ac:dyDescent="0.25">
      <c r="C99" s="109" t="str">
        <f t="shared" si="18"/>
        <v>*</v>
      </c>
      <c r="D99" s="108">
        <f t="shared" si="15"/>
        <v>2050</v>
      </c>
      <c r="F99" s="109" t="str">
        <f t="shared" si="19"/>
        <v>FT-INDOILDSL*</v>
      </c>
      <c r="G99" s="109" t="str">
        <f t="shared" si="19"/>
        <v>INDOILDSL</v>
      </c>
      <c r="H99" s="130">
        <f t="shared" si="11"/>
        <v>0</v>
      </c>
      <c r="J99" s="176">
        <f t="shared" si="17"/>
        <v>0</v>
      </c>
      <c r="K99" s="109" t="str">
        <f t="shared" si="21"/>
        <v>Diesel</v>
      </c>
      <c r="O99" s="109">
        <v>2</v>
      </c>
    </row>
    <row r="100" spans="3:15" x14ac:dyDescent="0.25">
      <c r="C100" s="109" t="str">
        <f t="shared" si="18"/>
        <v>*</v>
      </c>
      <c r="D100" s="108">
        <f t="shared" si="15"/>
        <v>2050</v>
      </c>
      <c r="F100" s="109" t="str">
        <f t="shared" si="19"/>
        <v>FT-INDOILHFO*</v>
      </c>
      <c r="G100" s="109" t="str">
        <f t="shared" si="19"/>
        <v>INDOILHFO</v>
      </c>
      <c r="H100" s="130">
        <f t="shared" si="11"/>
        <v>0</v>
      </c>
      <c r="J100" s="176">
        <f t="shared" si="17"/>
        <v>0</v>
      </c>
      <c r="K100" s="109" t="str">
        <f t="shared" si="21"/>
        <v>Fuel Oil</v>
      </c>
      <c r="O100" s="109">
        <v>2</v>
      </c>
    </row>
    <row r="101" spans="3:15" x14ac:dyDescent="0.25">
      <c r="C101" s="109" t="str">
        <f t="shared" si="18"/>
        <v>*</v>
      </c>
      <c r="D101" s="108">
        <f t="shared" si="15"/>
        <v>2050</v>
      </c>
      <c r="F101" s="109" t="str">
        <f t="shared" si="19"/>
        <v>FT-INDOILOTH*</v>
      </c>
      <c r="G101" s="109" t="str">
        <f t="shared" si="19"/>
        <v>INDOILOTH</v>
      </c>
      <c r="H101" s="130">
        <f t="shared" si="11"/>
        <v>0</v>
      </c>
      <c r="J101" s="176">
        <f t="shared" si="17"/>
        <v>0</v>
      </c>
      <c r="O101" s="109">
        <v>2</v>
      </c>
    </row>
    <row r="102" spans="3:15" x14ac:dyDescent="0.25">
      <c r="C102" s="109" t="str">
        <f t="shared" si="18"/>
        <v>*</v>
      </c>
      <c r="D102" s="108">
        <f t="shared" si="15"/>
        <v>2050</v>
      </c>
      <c r="F102" s="109" t="str">
        <f t="shared" si="19"/>
        <v>FT-INDOILLPG*</v>
      </c>
      <c r="G102" s="109" t="str">
        <f t="shared" si="19"/>
        <v>INDOILLPG</v>
      </c>
      <c r="H102" s="130">
        <f t="shared" si="11"/>
        <v>0</v>
      </c>
      <c r="J102" s="176">
        <f t="shared" si="17"/>
        <v>0</v>
      </c>
      <c r="K102" s="109" t="str">
        <f t="shared" ref="K102:K110" si="22">K30</f>
        <v>LPG</v>
      </c>
      <c r="O102" s="109">
        <v>2</v>
      </c>
    </row>
    <row r="103" spans="3:15" x14ac:dyDescent="0.25">
      <c r="C103" s="109" t="str">
        <f t="shared" si="18"/>
        <v>*</v>
      </c>
      <c r="D103" s="108">
        <f t="shared" si="15"/>
        <v>2050</v>
      </c>
      <c r="F103" s="109" t="str">
        <f t="shared" si="19"/>
        <v>FT-INDOILGSL*</v>
      </c>
      <c r="G103" s="109" t="str">
        <f t="shared" si="19"/>
        <v>INDOILGSL</v>
      </c>
      <c r="H103" s="130">
        <f t="shared" si="11"/>
        <v>0</v>
      </c>
      <c r="J103" s="176">
        <f t="shared" si="17"/>
        <v>0</v>
      </c>
      <c r="K103" s="109" t="str">
        <f t="shared" si="22"/>
        <v>Gasoline</v>
      </c>
      <c r="O103" s="109">
        <v>2</v>
      </c>
    </row>
    <row r="104" spans="3:15" x14ac:dyDescent="0.25">
      <c r="C104" s="109" t="str">
        <f t="shared" si="18"/>
        <v>*</v>
      </c>
      <c r="D104" s="108">
        <f t="shared" si="15"/>
        <v>2050</v>
      </c>
      <c r="F104" s="109" t="str">
        <f t="shared" si="19"/>
        <v>FT-INDGASNAT*</v>
      </c>
      <c r="G104" s="109" t="str">
        <f t="shared" si="19"/>
        <v>INDGASNAT</v>
      </c>
      <c r="H104" s="130">
        <f t="shared" si="11"/>
        <v>0</v>
      </c>
      <c r="J104" s="176">
        <f t="shared" si="17"/>
        <v>0</v>
      </c>
      <c r="K104" s="109" t="str">
        <f t="shared" si="22"/>
        <v>Natural Gas</v>
      </c>
      <c r="O104" s="109">
        <v>2</v>
      </c>
    </row>
    <row r="105" spans="3:15" x14ac:dyDescent="0.25">
      <c r="C105" s="109" t="str">
        <f t="shared" si="18"/>
        <v>*</v>
      </c>
      <c r="D105" s="108">
        <f t="shared" si="15"/>
        <v>2050</v>
      </c>
      <c r="F105" s="109" t="str">
        <f t="shared" si="19"/>
        <v>FT-INDCOASUB*</v>
      </c>
      <c r="G105" s="109" t="str">
        <f t="shared" si="19"/>
        <v>INDCOASUB</v>
      </c>
      <c r="H105" s="130">
        <f t="shared" si="11"/>
        <v>0</v>
      </c>
      <c r="J105" s="176">
        <f t="shared" si="17"/>
        <v>0</v>
      </c>
      <c r="K105" s="109" t="str">
        <f t="shared" si="22"/>
        <v>Coal</v>
      </c>
      <c r="O105" s="109">
        <v>2</v>
      </c>
    </row>
    <row r="106" spans="3:15" x14ac:dyDescent="0.25">
      <c r="C106" s="109" t="str">
        <f t="shared" si="18"/>
        <v>*</v>
      </c>
      <c r="D106" s="108">
        <f t="shared" si="15"/>
        <v>2050</v>
      </c>
      <c r="F106" s="109" t="str">
        <f t="shared" si="19"/>
        <v>FT-INDCOABCO*</v>
      </c>
      <c r="G106" s="109" t="str">
        <f t="shared" si="19"/>
        <v>INDCOABCO</v>
      </c>
      <c r="H106" s="130">
        <f t="shared" si="11"/>
        <v>0</v>
      </c>
      <c r="J106" s="176">
        <f t="shared" si="17"/>
        <v>0</v>
      </c>
      <c r="K106" s="109" t="str">
        <f t="shared" si="22"/>
        <v>Lignite</v>
      </c>
      <c r="O106" s="109">
        <v>2</v>
      </c>
    </row>
    <row r="107" spans="3:15" x14ac:dyDescent="0.25">
      <c r="C107" s="109" t="str">
        <f t="shared" si="18"/>
        <v>*</v>
      </c>
      <c r="D107" s="108">
        <f t="shared" si="15"/>
        <v>2050</v>
      </c>
      <c r="F107" s="109" t="str">
        <f t="shared" si="19"/>
        <v>FT-INDCOABIC*</v>
      </c>
      <c r="G107" s="109" t="str">
        <f t="shared" si="19"/>
        <v>INDCOABIC</v>
      </c>
      <c r="H107" s="130">
        <f t="shared" si="11"/>
        <v>0</v>
      </c>
      <c r="J107" s="176">
        <f t="shared" si="17"/>
        <v>0</v>
      </c>
      <c r="K107" s="109" t="str">
        <f t="shared" si="22"/>
        <v>Other bituminous</v>
      </c>
      <c r="O107" s="109">
        <v>2</v>
      </c>
    </row>
    <row r="108" spans="3:15" x14ac:dyDescent="0.25">
      <c r="C108" s="109" t="str">
        <f t="shared" si="18"/>
        <v>*</v>
      </c>
      <c r="D108" s="108">
        <f t="shared" si="15"/>
        <v>2050</v>
      </c>
      <c r="F108" s="109" t="str">
        <f t="shared" si="19"/>
        <v>FT-INDCOACOK*</v>
      </c>
      <c r="G108" s="109" t="str">
        <f t="shared" si="19"/>
        <v>INDCOACOK</v>
      </c>
      <c r="H108" s="130">
        <f t="shared" si="11"/>
        <v>0</v>
      </c>
      <c r="J108" s="176">
        <f t="shared" si="17"/>
        <v>0</v>
      </c>
      <c r="K108" s="109" t="str">
        <f t="shared" si="22"/>
        <v>Coke</v>
      </c>
      <c r="O108" s="109">
        <v>2</v>
      </c>
    </row>
    <row r="109" spans="3:15" x14ac:dyDescent="0.25">
      <c r="C109" s="109" t="str">
        <f t="shared" si="18"/>
        <v>*</v>
      </c>
      <c r="D109" s="108">
        <f t="shared" ref="D109:D140" si="23">END_YEAR</f>
        <v>2050</v>
      </c>
      <c r="F109" s="109" t="str">
        <f t="shared" ref="F109:G124" si="24">F37</f>
        <v>FT-INDCOABKB*</v>
      </c>
      <c r="G109" s="109" t="str">
        <f t="shared" si="24"/>
        <v>INDCOABKB</v>
      </c>
      <c r="H109" s="130">
        <f t="shared" si="11"/>
        <v>0</v>
      </c>
      <c r="J109" s="176">
        <f t="shared" si="17"/>
        <v>0</v>
      </c>
      <c r="K109" s="109" t="str">
        <f t="shared" si="22"/>
        <v>BKB</v>
      </c>
      <c r="O109" s="109">
        <v>2</v>
      </c>
    </row>
    <row r="110" spans="3:15" x14ac:dyDescent="0.25">
      <c r="C110" s="109" t="str">
        <f t="shared" si="18"/>
        <v>*</v>
      </c>
      <c r="D110" s="108">
        <f t="shared" si="23"/>
        <v>2050</v>
      </c>
      <c r="F110" s="109" t="str">
        <f t="shared" si="24"/>
        <v>FT-INDBIOLOG*</v>
      </c>
      <c r="G110" s="109" t="str">
        <f t="shared" si="24"/>
        <v>INDBIOLOG</v>
      </c>
      <c r="H110" s="130">
        <f t="shared" si="11"/>
        <v>0</v>
      </c>
      <c r="J110" s="176">
        <f t="shared" si="17"/>
        <v>0</v>
      </c>
      <c r="K110" s="109" t="str">
        <f t="shared" si="22"/>
        <v>Solid Biomass</v>
      </c>
      <c r="O110" s="109">
        <v>2</v>
      </c>
    </row>
    <row r="111" spans="3:15" x14ac:dyDescent="0.25">
      <c r="C111" s="109" t="str">
        <f t="shared" si="18"/>
        <v>*</v>
      </c>
      <c r="D111" s="108">
        <f t="shared" si="23"/>
        <v>2050</v>
      </c>
      <c r="F111" s="109" t="str">
        <f t="shared" si="24"/>
        <v>FT-INDBIOLOG*</v>
      </c>
      <c r="G111" s="109" t="str">
        <f t="shared" si="24"/>
        <v>INDBIOLOG</v>
      </c>
      <c r="H111" s="130">
        <f t="shared" si="11"/>
        <v>0</v>
      </c>
      <c r="J111" s="176">
        <f t="shared" si="17"/>
        <v>0</v>
      </c>
      <c r="O111" s="109">
        <v>2</v>
      </c>
    </row>
    <row r="112" spans="3:15" x14ac:dyDescent="0.25">
      <c r="C112" s="109" t="str">
        <f t="shared" si="18"/>
        <v>*</v>
      </c>
      <c r="D112" s="108">
        <f t="shared" si="23"/>
        <v>2050</v>
      </c>
      <c r="F112" s="109" t="str">
        <f t="shared" si="24"/>
        <v>FT-INDBIOCHR*</v>
      </c>
      <c r="G112" s="109" t="str">
        <f t="shared" si="24"/>
        <v>INDBIOCHR</v>
      </c>
      <c r="H112" s="130">
        <f t="shared" si="11"/>
        <v>0</v>
      </c>
      <c r="J112" s="176">
        <f t="shared" si="17"/>
        <v>0</v>
      </c>
      <c r="O112" s="109">
        <v>2</v>
      </c>
    </row>
    <row r="113" spans="3:15" x14ac:dyDescent="0.25">
      <c r="C113" s="109" t="str">
        <f t="shared" si="18"/>
        <v>*</v>
      </c>
      <c r="D113" s="108">
        <f t="shared" si="23"/>
        <v>2050</v>
      </c>
      <c r="F113" s="109" t="str">
        <f t="shared" si="24"/>
        <v>FT-INDBIOCHR*</v>
      </c>
      <c r="G113" s="109" t="str">
        <f t="shared" si="24"/>
        <v>INDBIOCHR</v>
      </c>
      <c r="H113" s="130">
        <f t="shared" si="11"/>
        <v>0</v>
      </c>
      <c r="J113" s="176">
        <f t="shared" si="17"/>
        <v>0</v>
      </c>
      <c r="O113" s="109">
        <v>2</v>
      </c>
    </row>
    <row r="114" spans="3:15" x14ac:dyDescent="0.25">
      <c r="C114" s="109" t="str">
        <f t="shared" si="18"/>
        <v>*</v>
      </c>
      <c r="D114" s="108">
        <f t="shared" si="23"/>
        <v>2050</v>
      </c>
      <c r="F114" s="109" t="str">
        <f t="shared" si="24"/>
        <v>FT-INDBIOPLT*</v>
      </c>
      <c r="G114" s="109" t="str">
        <f t="shared" si="24"/>
        <v>INDBIOPLT</v>
      </c>
      <c r="H114" s="130">
        <f t="shared" si="11"/>
        <v>0</v>
      </c>
      <c r="J114" s="176">
        <f t="shared" si="17"/>
        <v>0</v>
      </c>
      <c r="O114" s="109">
        <v>2</v>
      </c>
    </row>
    <row r="115" spans="3:15" x14ac:dyDescent="0.25">
      <c r="C115" s="109" t="str">
        <f t="shared" si="18"/>
        <v>*</v>
      </c>
      <c r="D115" s="108">
        <f t="shared" si="23"/>
        <v>2050</v>
      </c>
      <c r="F115" s="109" t="str">
        <f t="shared" si="24"/>
        <v>FT-INDBIOPLT*</v>
      </c>
      <c r="G115" s="109" t="str">
        <f t="shared" si="24"/>
        <v>INDBIOPLT</v>
      </c>
      <c r="H115" s="130">
        <f t="shared" si="11"/>
        <v>0</v>
      </c>
      <c r="J115" s="176">
        <f t="shared" si="17"/>
        <v>0</v>
      </c>
      <c r="O115" s="109">
        <v>2</v>
      </c>
    </row>
    <row r="116" spans="3:15" x14ac:dyDescent="0.25">
      <c r="C116" s="109" t="str">
        <f t="shared" si="18"/>
        <v>*</v>
      </c>
      <c r="D116" s="108">
        <f t="shared" si="23"/>
        <v>2050</v>
      </c>
      <c r="F116" s="109" t="str">
        <f t="shared" si="24"/>
        <v>FT-INDHTH*</v>
      </c>
      <c r="G116" s="109" t="str">
        <f t="shared" si="24"/>
        <v>INDHTH</v>
      </c>
      <c r="H116" s="130">
        <f t="shared" si="11"/>
        <v>0</v>
      </c>
      <c r="J116" s="176">
        <f t="shared" si="17"/>
        <v>0</v>
      </c>
      <c r="K116" s="109" t="str">
        <f t="shared" ref="K116:K118" si="25">K44</f>
        <v>Heat</v>
      </c>
      <c r="O116" s="109">
        <v>2</v>
      </c>
    </row>
    <row r="117" spans="3:15" x14ac:dyDescent="0.25">
      <c r="C117" s="109" t="str">
        <f t="shared" si="18"/>
        <v>*</v>
      </c>
      <c r="D117" s="108">
        <f t="shared" si="23"/>
        <v>2050</v>
      </c>
      <c r="F117" s="109" t="str">
        <f t="shared" si="24"/>
        <v>FT-INDELC*</v>
      </c>
      <c r="G117" s="109" t="str">
        <f t="shared" si="24"/>
        <v>INDELC</v>
      </c>
      <c r="H117" s="130">
        <f t="shared" si="11"/>
        <v>0</v>
      </c>
      <c r="J117" s="176">
        <f t="shared" si="17"/>
        <v>0</v>
      </c>
      <c r="K117" s="109" t="str">
        <f t="shared" si="25"/>
        <v>Electricity</v>
      </c>
      <c r="O117" s="109">
        <v>2</v>
      </c>
    </row>
    <row r="118" spans="3:15" x14ac:dyDescent="0.25">
      <c r="C118" s="109" t="str">
        <f t="shared" si="18"/>
        <v>FLO_TAX</v>
      </c>
      <c r="D118" s="108">
        <f t="shared" si="23"/>
        <v>2050</v>
      </c>
      <c r="F118" s="109" t="str">
        <f t="shared" si="24"/>
        <v>FT-ELEOILDSL*</v>
      </c>
      <c r="G118" s="109" t="str">
        <f t="shared" si="24"/>
        <v>ELEOILDSL</v>
      </c>
      <c r="H118" s="130">
        <f t="shared" si="11"/>
        <v>0.20000000000000018</v>
      </c>
      <c r="J118" s="176">
        <f t="shared" si="17"/>
        <v>0.20000000000000018</v>
      </c>
      <c r="K118" s="109" t="str">
        <f t="shared" si="25"/>
        <v>Diesel</v>
      </c>
      <c r="O118" s="109">
        <v>2</v>
      </c>
    </row>
    <row r="119" spans="3:15" x14ac:dyDescent="0.25">
      <c r="C119" s="109" t="str">
        <f t="shared" ref="C119:C148" si="26">IF(J119=0,"*",IF(J119&lt;0,"FLO_SUB","FLO_TAX"))</f>
        <v>FLO_TAX</v>
      </c>
      <c r="D119" s="108">
        <f t="shared" si="23"/>
        <v>2050</v>
      </c>
      <c r="F119" s="109" t="str">
        <f t="shared" si="24"/>
        <v>FT-HETOILDSL*</v>
      </c>
      <c r="G119" s="109" t="str">
        <f t="shared" si="24"/>
        <v>HETOILDSL</v>
      </c>
      <c r="H119" s="130">
        <v>0</v>
      </c>
      <c r="J119" s="176">
        <f t="shared" si="17"/>
        <v>0.20000000000000018</v>
      </c>
      <c r="O119" s="109">
        <v>2</v>
      </c>
    </row>
    <row r="120" spans="3:15" x14ac:dyDescent="0.25">
      <c r="C120" s="109" t="str">
        <f t="shared" si="26"/>
        <v>FLO_TAX</v>
      </c>
      <c r="D120" s="108">
        <f t="shared" si="23"/>
        <v>2050</v>
      </c>
      <c r="F120" s="109" t="str">
        <f t="shared" si="24"/>
        <v>FT-ELEOILHFO*</v>
      </c>
      <c r="G120" s="109" t="str">
        <f t="shared" si="24"/>
        <v>ELEOILHFO</v>
      </c>
      <c r="H120" s="130">
        <f t="shared" si="11"/>
        <v>0.20000000000000018</v>
      </c>
      <c r="J120" s="176">
        <f t="shared" si="17"/>
        <v>0.20000000000000018</v>
      </c>
      <c r="K120" s="109" t="str">
        <f t="shared" ref="K120" si="27">K48</f>
        <v>Fuel Oil</v>
      </c>
      <c r="O120" s="109">
        <v>2</v>
      </c>
    </row>
    <row r="121" spans="3:15" x14ac:dyDescent="0.25">
      <c r="C121" s="109" t="str">
        <f t="shared" si="26"/>
        <v>FLO_TAX</v>
      </c>
      <c r="D121" s="108">
        <f t="shared" si="23"/>
        <v>2050</v>
      </c>
      <c r="F121" s="109" t="str">
        <f t="shared" si="24"/>
        <v>FT-HETOILHFO*</v>
      </c>
      <c r="G121" s="109" t="str">
        <f t="shared" si="24"/>
        <v>HETOILHFO</v>
      </c>
      <c r="H121" s="130">
        <f t="shared" si="11"/>
        <v>0.20000000000000018</v>
      </c>
      <c r="J121" s="176">
        <f t="shared" si="17"/>
        <v>0.20000000000000018</v>
      </c>
      <c r="O121" s="109">
        <v>2</v>
      </c>
    </row>
    <row r="122" spans="3:15" x14ac:dyDescent="0.25">
      <c r="C122" s="109" t="str">
        <f t="shared" si="26"/>
        <v>FLO_TAX</v>
      </c>
      <c r="D122" s="108">
        <f t="shared" si="23"/>
        <v>2050</v>
      </c>
      <c r="F122" s="109" t="str">
        <f t="shared" si="24"/>
        <v>FT-ELEGASNAT*</v>
      </c>
      <c r="G122" s="109" t="str">
        <f t="shared" si="24"/>
        <v>ELEGASNAT</v>
      </c>
      <c r="H122" s="130">
        <f t="shared" si="11"/>
        <v>0.20000000000000018</v>
      </c>
      <c r="J122" s="176">
        <f t="shared" si="17"/>
        <v>0.20000000000000018</v>
      </c>
      <c r="K122" s="109" t="str">
        <f t="shared" ref="K122" si="28">K50</f>
        <v>Natural Gas</v>
      </c>
      <c r="O122" s="109">
        <v>2</v>
      </c>
    </row>
    <row r="123" spans="3:15" x14ac:dyDescent="0.25">
      <c r="C123" s="109" t="str">
        <f t="shared" si="26"/>
        <v>FLO_TAX</v>
      </c>
      <c r="D123" s="108">
        <f t="shared" si="23"/>
        <v>2050</v>
      </c>
      <c r="F123" s="109" t="str">
        <f t="shared" si="24"/>
        <v>FT-HETGASNAT*</v>
      </c>
      <c r="G123" s="109" t="str">
        <f t="shared" si="24"/>
        <v>HETGASNAT</v>
      </c>
      <c r="H123" s="130">
        <f t="shared" si="11"/>
        <v>0.20000000000000018</v>
      </c>
      <c r="J123" s="176">
        <f t="shared" si="17"/>
        <v>0.20000000000000018</v>
      </c>
      <c r="O123" s="109">
        <v>2</v>
      </c>
    </row>
    <row r="124" spans="3:15" x14ac:dyDescent="0.25">
      <c r="C124" s="109" t="str">
        <f t="shared" si="26"/>
        <v>FLO_TAX</v>
      </c>
      <c r="D124" s="108">
        <f t="shared" si="23"/>
        <v>2050</v>
      </c>
      <c r="F124" s="109" t="str">
        <f t="shared" si="24"/>
        <v>FT-ELECOASUB*</v>
      </c>
      <c r="G124" s="109" t="str">
        <f t="shared" si="24"/>
        <v>ELECOASUB</v>
      </c>
      <c r="H124" s="130">
        <f t="shared" si="11"/>
        <v>6.6666666666666721E-2</v>
      </c>
      <c r="J124" s="176">
        <f t="shared" si="17"/>
        <v>6.6666666666666721E-2</v>
      </c>
      <c r="K124" s="109" t="str">
        <f t="shared" ref="K124" si="29">K52</f>
        <v>Coal</v>
      </c>
      <c r="O124" s="109">
        <v>2</v>
      </c>
    </row>
    <row r="125" spans="3:15" x14ac:dyDescent="0.25">
      <c r="C125" s="109" t="str">
        <f t="shared" si="26"/>
        <v>FLO_TAX</v>
      </c>
      <c r="D125" s="108">
        <f t="shared" si="23"/>
        <v>2050</v>
      </c>
      <c r="F125" s="109" t="str">
        <f t="shared" ref="F125:G140" si="30">F53</f>
        <v>FT-HETCOASUB*</v>
      </c>
      <c r="G125" s="109" t="str">
        <f t="shared" si="30"/>
        <v>HETCOASUB</v>
      </c>
      <c r="H125" s="130">
        <f t="shared" si="11"/>
        <v>6.6666666666666721E-2</v>
      </c>
      <c r="J125" s="176">
        <f t="shared" si="17"/>
        <v>6.6666666666666721E-2</v>
      </c>
      <c r="O125" s="109">
        <v>2</v>
      </c>
    </row>
    <row r="126" spans="3:15" x14ac:dyDescent="0.25">
      <c r="C126" s="109" t="str">
        <f t="shared" si="26"/>
        <v>FLO_TAX</v>
      </c>
      <c r="D126" s="108">
        <f t="shared" si="23"/>
        <v>2050</v>
      </c>
      <c r="F126" s="109" t="str">
        <f t="shared" si="30"/>
        <v>FT-ELEBIOLOG*</v>
      </c>
      <c r="G126" s="109" t="str">
        <f t="shared" si="30"/>
        <v>ELEBIOLOG</v>
      </c>
      <c r="H126" s="130">
        <f t="shared" si="11"/>
        <v>6.6666666666666721E-2</v>
      </c>
      <c r="J126" s="176">
        <f t="shared" si="17"/>
        <v>6.6666666666666721E-2</v>
      </c>
      <c r="K126" s="109" t="str">
        <f t="shared" ref="K126" si="31">K54</f>
        <v>Solid Biomass</v>
      </c>
      <c r="O126" s="109">
        <v>2</v>
      </c>
    </row>
    <row r="127" spans="3:15" x14ac:dyDescent="0.25">
      <c r="C127" s="109" t="str">
        <f t="shared" si="26"/>
        <v>FLO_TAX</v>
      </c>
      <c r="D127" s="108">
        <f t="shared" si="23"/>
        <v>2050</v>
      </c>
      <c r="F127" s="109" t="str">
        <f t="shared" si="30"/>
        <v>FT-HETBIOLOG*</v>
      </c>
      <c r="G127" s="109" t="str">
        <f t="shared" si="30"/>
        <v>HETBIOLOG</v>
      </c>
      <c r="H127" s="130">
        <f t="shared" si="11"/>
        <v>6.6666666666666721E-2</v>
      </c>
      <c r="J127" s="176">
        <f t="shared" si="17"/>
        <v>6.6666666666666721E-2</v>
      </c>
      <c r="O127" s="109">
        <v>2</v>
      </c>
    </row>
    <row r="128" spans="3:15" x14ac:dyDescent="0.25">
      <c r="C128" s="109" t="str">
        <f t="shared" si="26"/>
        <v>FLO_TAX</v>
      </c>
      <c r="D128" s="108">
        <f t="shared" si="23"/>
        <v>2050</v>
      </c>
      <c r="F128" s="109" t="str">
        <f t="shared" si="30"/>
        <v>FT-HETBIOPLT*</v>
      </c>
      <c r="G128" s="109" t="str">
        <f t="shared" si="30"/>
        <v>HETBIOPLT</v>
      </c>
      <c r="H128" s="130">
        <f t="shared" si="11"/>
        <v>6.6666666666666721E-2</v>
      </c>
      <c r="J128" s="176">
        <f t="shared" si="17"/>
        <v>6.6666666666666721E-2</v>
      </c>
      <c r="O128" s="109">
        <v>2</v>
      </c>
    </row>
    <row r="129" spans="3:15" x14ac:dyDescent="0.25">
      <c r="C129" s="109" t="str">
        <f t="shared" si="26"/>
        <v>FLO_TAX</v>
      </c>
      <c r="D129" s="108">
        <f t="shared" si="23"/>
        <v>2050</v>
      </c>
      <c r="F129" s="109" t="str">
        <f t="shared" si="30"/>
        <v>FT-TRAOILDSL*</v>
      </c>
      <c r="G129" s="109" t="str">
        <f t="shared" si="30"/>
        <v>TRAOILDSL</v>
      </c>
      <c r="H129" s="130">
        <f t="shared" si="11"/>
        <v>2.6000000000000014</v>
      </c>
      <c r="J129" s="176">
        <f t="shared" si="17"/>
        <v>2.6000000000000014</v>
      </c>
      <c r="K129" s="109" t="str">
        <f t="shared" ref="K129:K144" si="32">K57</f>
        <v>Diesel Cars</v>
      </c>
      <c r="O129" s="109">
        <v>2</v>
      </c>
    </row>
    <row r="130" spans="3:15" x14ac:dyDescent="0.25">
      <c r="C130" s="109" t="str">
        <f t="shared" si="26"/>
        <v>FLO_TAX</v>
      </c>
      <c r="D130" s="108">
        <f t="shared" si="23"/>
        <v>2050</v>
      </c>
      <c r="F130" s="109" t="str">
        <f t="shared" si="30"/>
        <v>TRARAIL*</v>
      </c>
      <c r="G130" s="109" t="str">
        <f t="shared" si="30"/>
        <v>TRAOILDSL</v>
      </c>
      <c r="H130" s="130">
        <f t="shared" si="11"/>
        <v>2.6000000000000014</v>
      </c>
      <c r="J130" s="176">
        <f t="shared" si="17"/>
        <v>2.6000000000000014</v>
      </c>
      <c r="K130" s="109" t="str">
        <f t="shared" si="32"/>
        <v>Diesel Rail</v>
      </c>
      <c r="O130" s="109">
        <v>2</v>
      </c>
    </row>
    <row r="131" spans="3:15" x14ac:dyDescent="0.25">
      <c r="C131" s="109" t="str">
        <f t="shared" si="26"/>
        <v>FLO_TAX</v>
      </c>
      <c r="D131" s="108">
        <f t="shared" si="23"/>
        <v>2050</v>
      </c>
      <c r="F131" s="109" t="str">
        <f t="shared" si="30"/>
        <v>TRANAV*</v>
      </c>
      <c r="G131" s="109" t="str">
        <f t="shared" si="30"/>
        <v>TRAOILDSL</v>
      </c>
      <c r="H131" s="130">
        <f t="shared" si="11"/>
        <v>2.6000000000000014</v>
      </c>
      <c r="J131" s="176">
        <f t="shared" si="17"/>
        <v>2.6000000000000014</v>
      </c>
      <c r="K131" s="109" t="str">
        <f t="shared" si="32"/>
        <v>Diesel Navigation</v>
      </c>
      <c r="O131" s="109">
        <v>2</v>
      </c>
    </row>
    <row r="132" spans="3:15" x14ac:dyDescent="0.25">
      <c r="C132" s="109" t="str">
        <f t="shared" si="26"/>
        <v>FLO_TAX</v>
      </c>
      <c r="D132" s="108">
        <f t="shared" si="23"/>
        <v>2050</v>
      </c>
      <c r="F132" s="109" t="str">
        <f t="shared" si="30"/>
        <v>FT-TRAOILGSL*</v>
      </c>
      <c r="G132" s="109" t="str">
        <f t="shared" si="30"/>
        <v>TRAOILGSL</v>
      </c>
      <c r="H132" s="130">
        <f t="shared" si="11"/>
        <v>33.200000000000003</v>
      </c>
      <c r="J132" s="176">
        <f t="shared" si="17"/>
        <v>33.200000000000003</v>
      </c>
      <c r="K132" s="109" t="str">
        <f t="shared" si="32"/>
        <v>Gasoline Cars</v>
      </c>
      <c r="O132" s="109">
        <v>2</v>
      </c>
    </row>
    <row r="133" spans="3:15" x14ac:dyDescent="0.25">
      <c r="C133" s="109" t="str">
        <f t="shared" si="26"/>
        <v>FLO_TAX</v>
      </c>
      <c r="D133" s="108">
        <f t="shared" si="23"/>
        <v>2050</v>
      </c>
      <c r="F133" s="109" t="str">
        <f t="shared" si="30"/>
        <v>FT-TRAOILLPG*</v>
      </c>
      <c r="G133" s="109" t="str">
        <f t="shared" si="30"/>
        <v>TRAOILLPG</v>
      </c>
      <c r="H133" s="130">
        <f t="shared" ref="H133:H148" si="33">J133</f>
        <v>33.200000000000003</v>
      </c>
      <c r="J133" s="176">
        <f t="shared" si="17"/>
        <v>33.200000000000003</v>
      </c>
      <c r="K133" s="109" t="str">
        <f t="shared" si="32"/>
        <v>LPG Cars</v>
      </c>
      <c r="O133" s="109">
        <v>2</v>
      </c>
    </row>
    <row r="134" spans="3:15" x14ac:dyDescent="0.25">
      <c r="C134" s="109" t="str">
        <f t="shared" si="26"/>
        <v>FLO_TAX</v>
      </c>
      <c r="D134" s="108">
        <f t="shared" si="23"/>
        <v>2050</v>
      </c>
      <c r="F134" s="109" t="str">
        <f t="shared" si="30"/>
        <v>FT-TRAGASNAT*</v>
      </c>
      <c r="G134" s="109" t="str">
        <f t="shared" si="30"/>
        <v>TRAGASNAT</v>
      </c>
      <c r="H134" s="130">
        <f t="shared" si="33"/>
        <v>2</v>
      </c>
      <c r="J134" s="176">
        <f t="shared" si="17"/>
        <v>2</v>
      </c>
      <c r="K134" s="109" t="str">
        <f t="shared" si="32"/>
        <v>CNG Cars</v>
      </c>
      <c r="O134" s="109">
        <v>2</v>
      </c>
    </row>
    <row r="135" spans="3:15" x14ac:dyDescent="0.25">
      <c r="C135" s="109" t="str">
        <f t="shared" si="26"/>
        <v>FLO_TAX</v>
      </c>
      <c r="D135" s="108">
        <f t="shared" si="23"/>
        <v>2050</v>
      </c>
      <c r="F135" s="109" t="str">
        <f t="shared" si="30"/>
        <v>FT-TRABIOBGS*</v>
      </c>
      <c r="G135" s="109" t="str">
        <f t="shared" si="30"/>
        <v>TRABIOBGS</v>
      </c>
      <c r="H135" s="130">
        <f t="shared" si="33"/>
        <v>2</v>
      </c>
      <c r="J135" s="176">
        <f t="shared" si="17"/>
        <v>2</v>
      </c>
      <c r="K135" s="109">
        <f t="shared" si="32"/>
        <v>0</v>
      </c>
      <c r="O135" s="109">
        <v>2</v>
      </c>
    </row>
    <row r="136" spans="3:15" x14ac:dyDescent="0.25">
      <c r="C136" s="109" t="str">
        <f t="shared" si="26"/>
        <v>FLO_TAX</v>
      </c>
      <c r="D136" s="108">
        <f t="shared" si="23"/>
        <v>2050</v>
      </c>
      <c r="F136" s="109" t="str">
        <f t="shared" si="30"/>
        <v>FT-TRAOILKER*</v>
      </c>
      <c r="G136" s="109" t="str">
        <f t="shared" si="30"/>
        <v>TRAOILKER</v>
      </c>
      <c r="H136" s="130">
        <f t="shared" si="33"/>
        <v>11.066666666666668</v>
      </c>
      <c r="J136" s="176">
        <f t="shared" si="17"/>
        <v>11.066666666666668</v>
      </c>
      <c r="K136" s="109" t="str">
        <f t="shared" si="32"/>
        <v>Kerosene</v>
      </c>
      <c r="O136" s="109">
        <v>2</v>
      </c>
    </row>
    <row r="137" spans="3:15" x14ac:dyDescent="0.25">
      <c r="C137" s="109" t="str">
        <f t="shared" si="26"/>
        <v>FLO_TAX</v>
      </c>
      <c r="D137" s="108">
        <f t="shared" si="23"/>
        <v>2050</v>
      </c>
      <c r="F137" s="109" t="str">
        <f t="shared" si="30"/>
        <v>FT-TRABIOKER*</v>
      </c>
      <c r="G137" s="109" t="str">
        <f t="shared" si="30"/>
        <v>TRABIOKER</v>
      </c>
      <c r="H137" s="130">
        <f t="shared" si="33"/>
        <v>8.8533333333333353</v>
      </c>
      <c r="J137" s="176">
        <f t="shared" si="17"/>
        <v>8.8533333333333353</v>
      </c>
      <c r="K137" s="109">
        <f t="shared" si="32"/>
        <v>0</v>
      </c>
      <c r="O137" s="109">
        <v>2</v>
      </c>
    </row>
    <row r="138" spans="3:15" x14ac:dyDescent="0.25">
      <c r="C138" s="109" t="str">
        <f t="shared" si="26"/>
        <v>FLO_TAX</v>
      </c>
      <c r="D138" s="108">
        <f t="shared" si="23"/>
        <v>2050</v>
      </c>
      <c r="F138" s="109" t="str">
        <f t="shared" si="30"/>
        <v>FT-TRAOILGSA*</v>
      </c>
      <c r="G138" s="109" t="str">
        <f t="shared" si="30"/>
        <v>TRAOILGSA</v>
      </c>
      <c r="H138" s="130">
        <f t="shared" si="33"/>
        <v>11.066666666666668</v>
      </c>
      <c r="J138" s="176">
        <f t="shared" si="17"/>
        <v>11.066666666666668</v>
      </c>
      <c r="K138" s="109">
        <f t="shared" si="32"/>
        <v>0</v>
      </c>
      <c r="O138" s="109">
        <v>2</v>
      </c>
    </row>
    <row r="139" spans="3:15" x14ac:dyDescent="0.25">
      <c r="C139" s="109" t="str">
        <f t="shared" si="26"/>
        <v>FLO_TAX</v>
      </c>
      <c r="D139" s="108">
        <f t="shared" si="23"/>
        <v>2050</v>
      </c>
      <c r="F139" s="109" t="str">
        <f t="shared" si="30"/>
        <v>FT-TRABIOE**</v>
      </c>
      <c r="G139" s="109" t="str">
        <f t="shared" si="30"/>
        <v>TRABIOE*</v>
      </c>
      <c r="H139" s="130">
        <f t="shared" si="33"/>
        <v>11.066666666666668</v>
      </c>
      <c r="J139" s="176">
        <f t="shared" si="17"/>
        <v>11.066666666666668</v>
      </c>
      <c r="K139" s="109">
        <f t="shared" si="32"/>
        <v>0</v>
      </c>
      <c r="O139" s="109">
        <v>2</v>
      </c>
    </row>
    <row r="140" spans="3:15" x14ac:dyDescent="0.25">
      <c r="C140" s="109" t="str">
        <f t="shared" si="26"/>
        <v>FLO_TAX</v>
      </c>
      <c r="D140" s="108">
        <f t="shared" si="23"/>
        <v>2050</v>
      </c>
      <c r="F140" s="109" t="str">
        <f t="shared" si="30"/>
        <v>FT-TRABIODSL**</v>
      </c>
      <c r="G140" s="109" t="str">
        <f t="shared" si="30"/>
        <v>TRABIODSL*</v>
      </c>
      <c r="H140" s="130">
        <f t="shared" si="33"/>
        <v>11.066666666666668</v>
      </c>
      <c r="J140" s="176">
        <f t="shared" si="17"/>
        <v>11.066666666666668</v>
      </c>
      <c r="K140" s="109">
        <f t="shared" si="32"/>
        <v>0</v>
      </c>
      <c r="O140" s="109">
        <v>2</v>
      </c>
    </row>
    <row r="141" spans="3:15" x14ac:dyDescent="0.25">
      <c r="C141" s="109" t="str">
        <f t="shared" si="26"/>
        <v>FLO_TAX</v>
      </c>
      <c r="D141" s="108">
        <f t="shared" ref="D141:D148" si="34">END_YEAR</f>
        <v>2050</v>
      </c>
      <c r="F141" s="109" t="str">
        <f t="shared" ref="F141:G148" si="35">F69</f>
        <v>FT-TRABIOB20*</v>
      </c>
      <c r="G141" s="109" t="str">
        <f t="shared" si="35"/>
        <v>TRABIOB20</v>
      </c>
      <c r="H141" s="130">
        <f t="shared" si="33"/>
        <v>11.066666666666668</v>
      </c>
      <c r="J141" s="176">
        <f t="shared" si="17"/>
        <v>11.066666666666668</v>
      </c>
      <c r="K141" s="109">
        <f t="shared" si="32"/>
        <v>0</v>
      </c>
      <c r="O141" s="109">
        <v>2</v>
      </c>
    </row>
    <row r="142" spans="3:15" x14ac:dyDescent="0.25">
      <c r="C142" s="109" t="str">
        <f t="shared" si="26"/>
        <v>FLO_TAX</v>
      </c>
      <c r="D142" s="108">
        <f t="shared" si="34"/>
        <v>2050</v>
      </c>
      <c r="E142" s="109" t="str">
        <f>E70</f>
        <v>TRAELC</v>
      </c>
      <c r="F142" s="109" t="str">
        <f t="shared" si="35"/>
        <v>-TRARAIL*</v>
      </c>
      <c r="G142" s="109" t="str">
        <f t="shared" si="35"/>
        <v>TRAELC</v>
      </c>
      <c r="H142" s="130">
        <f t="shared" si="33"/>
        <v>14</v>
      </c>
      <c r="J142" s="176">
        <f t="shared" ref="J142:J148" si="36">J70*O142</f>
        <v>14</v>
      </c>
      <c r="K142" s="109" t="str">
        <f t="shared" si="32"/>
        <v>Electricity-Private</v>
      </c>
      <c r="O142" s="109">
        <v>2</v>
      </c>
    </row>
    <row r="143" spans="3:15" x14ac:dyDescent="0.25">
      <c r="C143" s="109" t="str">
        <f t="shared" si="26"/>
        <v>*</v>
      </c>
      <c r="D143" s="108">
        <f t="shared" si="34"/>
        <v>2050</v>
      </c>
      <c r="F143" s="109" t="str">
        <f t="shared" si="35"/>
        <v>FT-TRAELC*</v>
      </c>
      <c r="G143" s="109" t="str">
        <f t="shared" si="35"/>
        <v>TRAELC</v>
      </c>
      <c r="H143" s="130">
        <f t="shared" si="33"/>
        <v>0</v>
      </c>
      <c r="J143" s="176">
        <f t="shared" si="36"/>
        <v>0</v>
      </c>
      <c r="K143" s="109" t="str">
        <f t="shared" si="32"/>
        <v>Electricity-Rail</v>
      </c>
      <c r="O143" s="109">
        <v>2</v>
      </c>
    </row>
    <row r="144" spans="3:15" x14ac:dyDescent="0.25">
      <c r="C144" s="109" t="str">
        <f t="shared" si="26"/>
        <v>FLO_TAX</v>
      </c>
      <c r="D144" s="108">
        <f t="shared" si="34"/>
        <v>2050</v>
      </c>
      <c r="F144" s="109" t="str">
        <f t="shared" si="35"/>
        <v>FT-TRAH2*</v>
      </c>
      <c r="G144" s="109" t="str">
        <f t="shared" si="35"/>
        <v>TRAH2G</v>
      </c>
      <c r="H144" s="130">
        <f t="shared" si="33"/>
        <v>2</v>
      </c>
      <c r="J144" s="176">
        <f t="shared" si="36"/>
        <v>2</v>
      </c>
      <c r="K144" s="109">
        <f t="shared" si="32"/>
        <v>0</v>
      </c>
      <c r="O144" s="109">
        <v>2</v>
      </c>
    </row>
    <row r="145" spans="1:15" x14ac:dyDescent="0.25">
      <c r="C145" s="109" t="str">
        <f t="shared" si="26"/>
        <v>*</v>
      </c>
      <c r="D145" s="108">
        <f t="shared" si="34"/>
        <v>2050</v>
      </c>
      <c r="F145" s="109" t="str">
        <f t="shared" si="35"/>
        <v>FT-AGRELC*</v>
      </c>
      <c r="G145" s="109" t="str">
        <f t="shared" si="35"/>
        <v>AGRELC</v>
      </c>
      <c r="H145" s="130">
        <f t="shared" si="33"/>
        <v>0</v>
      </c>
      <c r="J145" s="176">
        <f t="shared" si="36"/>
        <v>0</v>
      </c>
      <c r="K145" s="109" t="str">
        <f t="shared" ref="K145:K148" si="37">K73</f>
        <v>Electricity</v>
      </c>
      <c r="O145" s="109">
        <v>2</v>
      </c>
    </row>
    <row r="146" spans="1:15" x14ac:dyDescent="0.25">
      <c r="C146" s="109" t="str">
        <f t="shared" si="26"/>
        <v>FLO_TAX</v>
      </c>
      <c r="D146" s="108">
        <f t="shared" si="34"/>
        <v>2050</v>
      </c>
      <c r="F146" s="109" t="str">
        <f t="shared" si="35"/>
        <v>FT-AGROILDSL*</v>
      </c>
      <c r="G146" s="109" t="str">
        <f t="shared" si="35"/>
        <v>AGROILDSL</v>
      </c>
      <c r="H146" s="130">
        <f t="shared" si="33"/>
        <v>2.6000000000000014</v>
      </c>
      <c r="J146" s="176">
        <f t="shared" si="36"/>
        <v>2.6000000000000014</v>
      </c>
      <c r="K146" s="109" t="str">
        <f t="shared" si="37"/>
        <v>Diesel</v>
      </c>
      <c r="O146" s="109">
        <v>2</v>
      </c>
    </row>
    <row r="147" spans="1:15" x14ac:dyDescent="0.25">
      <c r="C147" s="109" t="str">
        <f t="shared" si="26"/>
        <v>*</v>
      </c>
      <c r="D147" s="108">
        <f t="shared" si="34"/>
        <v>2050</v>
      </c>
      <c r="F147" s="109" t="str">
        <f t="shared" si="35"/>
        <v>FT-AGRGASNAT*</v>
      </c>
      <c r="G147" s="109" t="str">
        <f t="shared" si="35"/>
        <v>AGRGASNAT</v>
      </c>
      <c r="H147" s="130">
        <f t="shared" si="33"/>
        <v>0</v>
      </c>
      <c r="J147" s="176">
        <f t="shared" si="36"/>
        <v>0</v>
      </c>
      <c r="K147" s="109" t="str">
        <f t="shared" si="37"/>
        <v>Natural Gas</v>
      </c>
      <c r="O147" s="109">
        <v>2</v>
      </c>
    </row>
    <row r="148" spans="1:15" x14ac:dyDescent="0.25">
      <c r="A148" s="169"/>
      <c r="B148" s="169"/>
      <c r="C148" s="169" t="str">
        <f t="shared" si="26"/>
        <v>*</v>
      </c>
      <c r="D148" s="151">
        <f t="shared" si="34"/>
        <v>2050</v>
      </c>
      <c r="E148" s="169"/>
      <c r="F148" s="169" t="str">
        <f t="shared" si="35"/>
        <v>FT-AGRCOABIC*</v>
      </c>
      <c r="G148" s="169" t="str">
        <f t="shared" si="35"/>
        <v>AGRCOABIC</v>
      </c>
      <c r="H148" s="175">
        <f t="shared" si="33"/>
        <v>0</v>
      </c>
      <c r="I148" s="169"/>
      <c r="J148" s="177">
        <f t="shared" si="36"/>
        <v>0</v>
      </c>
      <c r="K148" s="169" t="str">
        <f t="shared" si="37"/>
        <v>Other bituminous</v>
      </c>
      <c r="L148" s="169"/>
      <c r="M148" s="169"/>
      <c r="O148" s="109">
        <v>2</v>
      </c>
    </row>
    <row r="149" spans="1:15" x14ac:dyDescent="0.25">
      <c r="C149" s="109" t="str">
        <f t="shared" ref="C149:C150" si="38">C77</f>
        <v>*</v>
      </c>
      <c r="D149" s="108">
        <v>2017</v>
      </c>
      <c r="F149" s="109" t="str">
        <f t="shared" ref="F149" si="39">"FT-"&amp;G149&amp;"*"</f>
        <v>FT-AGROILGSL*</v>
      </c>
      <c r="G149" s="109" t="s">
        <v>349</v>
      </c>
      <c r="H149" s="130">
        <f>H74</f>
        <v>1.3000000000000007</v>
      </c>
      <c r="K149" s="109" t="s">
        <v>24</v>
      </c>
    </row>
    <row r="150" spans="1:15" x14ac:dyDescent="0.25">
      <c r="A150" s="169"/>
      <c r="B150" s="169"/>
      <c r="C150" s="169" t="str">
        <f t="shared" si="38"/>
        <v>*</v>
      </c>
      <c r="D150" s="151">
        <v>2050</v>
      </c>
      <c r="E150" s="169"/>
      <c r="F150" s="169" t="str">
        <f>F149</f>
        <v>FT-AGROILGSL*</v>
      </c>
      <c r="G150" s="169" t="str">
        <f>G149</f>
        <v>AGROILGSL</v>
      </c>
      <c r="H150" s="175">
        <f>H146</f>
        <v>2.6000000000000014</v>
      </c>
      <c r="I150" s="169"/>
      <c r="J150" s="169"/>
      <c r="K150" s="169" t="str">
        <f>K149</f>
        <v>Gasoline</v>
      </c>
      <c r="L150" s="169"/>
      <c r="M150" s="169"/>
    </row>
    <row r="151" spans="1:15" x14ac:dyDescent="0.25">
      <c r="C151" s="109" t="str">
        <f>C7</f>
        <v>FLO_SUB</v>
      </c>
      <c r="D151" s="109">
        <v>2020</v>
      </c>
      <c r="F151" s="109" t="str">
        <f>F7</f>
        <v>FT-RSDGASNAT*</v>
      </c>
      <c r="G151" s="109" t="str">
        <f>G7</f>
        <v>RSDGASNAT</v>
      </c>
      <c r="H151" s="127">
        <f t="shared" ref="H151:H156" si="40">J151</f>
        <v>3.19</v>
      </c>
      <c r="I151" s="127"/>
      <c r="J151" s="127">
        <f>H7*(1+O151)</f>
        <v>3.19</v>
      </c>
      <c r="N151" s="109" t="s">
        <v>350</v>
      </c>
      <c r="O151" s="127">
        <f>(O77-1)/30*3</f>
        <v>0.1</v>
      </c>
    </row>
    <row r="152" spans="1:15" x14ac:dyDescent="0.25">
      <c r="C152" s="109" t="str">
        <f>C13</f>
        <v>FLO_SUB</v>
      </c>
      <c r="D152" s="109">
        <v>2020</v>
      </c>
      <c r="F152" s="109" t="str">
        <f>F13</f>
        <v>FT-RSDLTH*</v>
      </c>
      <c r="G152" s="109" t="str">
        <f>G13</f>
        <v>RSDLTH</v>
      </c>
      <c r="H152" s="127">
        <f t="shared" si="40"/>
        <v>2.3100000000000005</v>
      </c>
      <c r="I152" s="127"/>
      <c r="J152" s="127">
        <f>H13*(1+O152)</f>
        <v>2.3100000000000005</v>
      </c>
      <c r="N152" s="109" t="s">
        <v>350</v>
      </c>
      <c r="O152" s="127">
        <f>O151</f>
        <v>0.1</v>
      </c>
    </row>
    <row r="153" spans="1:15" x14ac:dyDescent="0.25">
      <c r="C153" s="109" t="str">
        <f>C14</f>
        <v>FLO_SUB</v>
      </c>
      <c r="D153" s="109">
        <v>2020</v>
      </c>
      <c r="F153" s="109" t="str">
        <f>F14</f>
        <v>FT-RSDELC*</v>
      </c>
      <c r="G153" s="109" t="str">
        <f>G14</f>
        <v>RSDELC</v>
      </c>
      <c r="H153" s="127">
        <f t="shared" si="40"/>
        <v>14.3</v>
      </c>
      <c r="I153" s="127"/>
      <c r="J153" s="127">
        <f>H14*(1+O153)</f>
        <v>14.3</v>
      </c>
      <c r="N153" s="109" t="s">
        <v>350</v>
      </c>
      <c r="O153" s="127">
        <f>O152</f>
        <v>0.1</v>
      </c>
    </row>
    <row r="154" spans="1:15" x14ac:dyDescent="0.25">
      <c r="C154" s="109" t="str">
        <f>C151</f>
        <v>FLO_SUB</v>
      </c>
      <c r="D154" s="109">
        <v>2035</v>
      </c>
      <c r="F154" s="109" t="str">
        <f>F151</f>
        <v>FT-RSDGASNAT*</v>
      </c>
      <c r="G154" s="109" t="str">
        <f>G151</f>
        <v>RSDGASNAT</v>
      </c>
      <c r="H154" s="127">
        <f t="shared" si="40"/>
        <v>0</v>
      </c>
      <c r="I154" s="127"/>
      <c r="J154" s="127">
        <v>0</v>
      </c>
      <c r="M154" s="109" t="s">
        <v>344</v>
      </c>
      <c r="N154" s="109" t="s">
        <v>350</v>
      </c>
    </row>
    <row r="155" spans="1:15" x14ac:dyDescent="0.25">
      <c r="C155" s="109" t="str">
        <f t="shared" ref="C155:C156" si="41">C152</f>
        <v>FLO_SUB</v>
      </c>
      <c r="D155" s="109">
        <v>2035</v>
      </c>
      <c r="F155" s="109" t="str">
        <f t="shared" ref="F155:G155" si="42">F152</f>
        <v>FT-RSDLTH*</v>
      </c>
      <c r="G155" s="109" t="str">
        <f t="shared" si="42"/>
        <v>RSDLTH</v>
      </c>
      <c r="H155" s="127">
        <f t="shared" si="40"/>
        <v>0</v>
      </c>
      <c r="I155" s="127"/>
      <c r="J155" s="127">
        <v>0</v>
      </c>
      <c r="M155" s="109" t="s">
        <v>344</v>
      </c>
      <c r="N155" s="109" t="s">
        <v>350</v>
      </c>
    </row>
    <row r="156" spans="1:15" x14ac:dyDescent="0.25">
      <c r="C156" s="109" t="str">
        <f t="shared" si="41"/>
        <v>FLO_SUB</v>
      </c>
      <c r="D156" s="109">
        <v>2035</v>
      </c>
      <c r="F156" s="109" t="str">
        <f t="shared" ref="F156:G156" si="43">F153</f>
        <v>FT-RSDELC*</v>
      </c>
      <c r="G156" s="109" t="str">
        <f t="shared" si="43"/>
        <v>RSDELC</v>
      </c>
      <c r="H156" s="127">
        <f t="shared" si="40"/>
        <v>0</v>
      </c>
      <c r="I156" s="127"/>
      <c r="J156" s="127">
        <v>0</v>
      </c>
      <c r="M156" s="109" t="s">
        <v>344</v>
      </c>
      <c r="N156" s="109" t="s">
        <v>350</v>
      </c>
    </row>
    <row r="157" spans="1:15" x14ac:dyDescent="0.25">
      <c r="C157" s="109" t="s">
        <v>401</v>
      </c>
      <c r="D157" s="109">
        <f>D154</f>
        <v>2035</v>
      </c>
      <c r="F157" s="109" t="str">
        <f>F151</f>
        <v>FT-RSDGASNAT*</v>
      </c>
      <c r="G157" s="109" t="str">
        <f>G151</f>
        <v>RSDGASNAT</v>
      </c>
      <c r="H157" s="127">
        <f>J157</f>
        <v>0</v>
      </c>
      <c r="I157" s="127"/>
      <c r="J157" s="127">
        <v>0</v>
      </c>
      <c r="M157" s="109" t="s">
        <v>345</v>
      </c>
      <c r="N157" s="109" t="s">
        <v>351</v>
      </c>
    </row>
    <row r="158" spans="1:15" x14ac:dyDescent="0.25">
      <c r="C158" s="109" t="s">
        <v>401</v>
      </c>
      <c r="D158" s="109">
        <f t="shared" ref="D158:D159" si="44">D155</f>
        <v>2035</v>
      </c>
      <c r="F158" s="109" t="str">
        <f t="shared" ref="F158:G158" si="45">F152</f>
        <v>FT-RSDLTH*</v>
      </c>
      <c r="G158" s="109" t="str">
        <f t="shared" si="45"/>
        <v>RSDLTH</v>
      </c>
      <c r="H158" s="127">
        <f t="shared" ref="H158:H159" si="46">J158</f>
        <v>0</v>
      </c>
      <c r="I158" s="127"/>
      <c r="J158" s="127">
        <v>0</v>
      </c>
      <c r="M158" s="109" t="s">
        <v>345</v>
      </c>
      <c r="N158" s="109" t="s">
        <v>351</v>
      </c>
    </row>
    <row r="159" spans="1:15" x14ac:dyDescent="0.25">
      <c r="C159" s="109" t="s">
        <v>401</v>
      </c>
      <c r="D159" s="109">
        <f t="shared" si="44"/>
        <v>2035</v>
      </c>
      <c r="F159" s="109" t="str">
        <f t="shared" ref="F159:G159" si="47">F153</f>
        <v>FT-RSDELC*</v>
      </c>
      <c r="G159" s="109" t="str">
        <f t="shared" si="47"/>
        <v>RSDELC</v>
      </c>
      <c r="H159" s="127">
        <f t="shared" si="46"/>
        <v>0</v>
      </c>
      <c r="I159" s="127"/>
      <c r="J159" s="127">
        <v>0</v>
      </c>
      <c r="M159" s="109" t="s">
        <v>345</v>
      </c>
      <c r="N159" s="109" t="s">
        <v>351</v>
      </c>
    </row>
    <row r="160" spans="1:15" x14ac:dyDescent="0.25">
      <c r="C160" s="109" t="s">
        <v>401</v>
      </c>
      <c r="D160" s="109">
        <v>2050</v>
      </c>
      <c r="F160" s="109" t="str">
        <f t="shared" ref="F160:G162" si="48">F157</f>
        <v>FT-RSDGASNAT*</v>
      </c>
      <c r="G160" s="109" t="str">
        <f t="shared" si="48"/>
        <v>RSDGASNAT</v>
      </c>
      <c r="H160" s="130">
        <f t="shared" ref="H160:H165" si="49">J160</f>
        <v>3</v>
      </c>
      <c r="I160" s="130"/>
      <c r="J160" s="130">
        <v>3</v>
      </c>
      <c r="N160" s="109" t="s">
        <v>351</v>
      </c>
    </row>
    <row r="161" spans="1:14" x14ac:dyDescent="0.25">
      <c r="C161" s="109" t="s">
        <v>401</v>
      </c>
      <c r="D161" s="109">
        <v>2050</v>
      </c>
      <c r="F161" s="109" t="str">
        <f t="shared" si="48"/>
        <v>FT-RSDLTH*</v>
      </c>
      <c r="G161" s="109" t="str">
        <f t="shared" si="48"/>
        <v>RSDLTH</v>
      </c>
      <c r="H161" s="130">
        <f t="shared" si="49"/>
        <v>1</v>
      </c>
      <c r="I161" s="130"/>
      <c r="J161" s="130">
        <v>1</v>
      </c>
      <c r="N161" s="109" t="s">
        <v>351</v>
      </c>
    </row>
    <row r="162" spans="1:14" x14ac:dyDescent="0.25">
      <c r="A162" s="169"/>
      <c r="B162" s="169"/>
      <c r="C162" s="169" t="s">
        <v>401</v>
      </c>
      <c r="D162" s="169">
        <v>2050</v>
      </c>
      <c r="E162" s="169"/>
      <c r="F162" s="169" t="str">
        <f t="shared" si="48"/>
        <v>FT-RSDELC*</v>
      </c>
      <c r="G162" s="169" t="str">
        <f t="shared" si="48"/>
        <v>RSDELC</v>
      </c>
      <c r="H162" s="175">
        <f t="shared" si="49"/>
        <v>10</v>
      </c>
      <c r="I162" s="175"/>
      <c r="J162" s="175">
        <v>10</v>
      </c>
      <c r="K162" s="169"/>
      <c r="L162" s="169"/>
      <c r="N162" s="109" t="s">
        <v>351</v>
      </c>
    </row>
    <row r="163" spans="1:14" x14ac:dyDescent="0.25">
      <c r="C163" s="109" t="s">
        <v>401</v>
      </c>
      <c r="D163" s="109">
        <v>2050</v>
      </c>
      <c r="F163" s="109" t="str">
        <f>F90</f>
        <v>FT-TERGASNAT*</v>
      </c>
      <c r="G163" s="109" t="str">
        <f>G90</f>
        <v>TERGASNAT</v>
      </c>
      <c r="H163" s="130">
        <f t="shared" si="49"/>
        <v>1</v>
      </c>
      <c r="I163" s="130"/>
      <c r="J163" s="130">
        <v>1</v>
      </c>
      <c r="N163" s="109" t="s">
        <v>351</v>
      </c>
    </row>
    <row r="164" spans="1:14" x14ac:dyDescent="0.25">
      <c r="C164" s="109" t="s">
        <v>401</v>
      </c>
      <c r="D164" s="109">
        <v>2050</v>
      </c>
      <c r="F164" s="109" t="str">
        <f>F97</f>
        <v>FT-TERLTH*</v>
      </c>
      <c r="G164" s="109" t="str">
        <f>G97</f>
        <v>TERLTH</v>
      </c>
      <c r="H164" s="130">
        <f t="shared" si="49"/>
        <v>0.5</v>
      </c>
      <c r="I164" s="130"/>
      <c r="J164" s="130">
        <v>0.5</v>
      </c>
      <c r="N164" s="109" t="s">
        <v>351</v>
      </c>
    </row>
    <row r="165" spans="1:14" x14ac:dyDescent="0.25">
      <c r="A165" s="169"/>
      <c r="B165" s="169"/>
      <c r="C165" s="169" t="s">
        <v>401</v>
      </c>
      <c r="D165" s="169">
        <v>2050</v>
      </c>
      <c r="E165" s="169"/>
      <c r="F165" s="169" t="str">
        <f>F98</f>
        <v>FT-TERELC*</v>
      </c>
      <c r="G165" s="169" t="str">
        <f>G98</f>
        <v>TERELC</v>
      </c>
      <c r="H165" s="175">
        <f t="shared" si="49"/>
        <v>5</v>
      </c>
      <c r="I165" s="175"/>
      <c r="J165" s="175">
        <v>5</v>
      </c>
      <c r="K165" s="169"/>
      <c r="L165" s="169"/>
      <c r="N165" s="109" t="s">
        <v>351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59FC-72A6-4D28-B2AE-44C005671513}">
  <dimension ref="A1:Q172"/>
  <sheetViews>
    <sheetView topLeftCell="A114" zoomScale="70" zoomScaleNormal="70" workbookViewId="0">
      <selection activeCell="A114" sqref="A1:XFD1048576"/>
    </sheetView>
  </sheetViews>
  <sheetFormatPr defaultColWidth="9.109375" defaultRowHeight="13.2" x14ac:dyDescent="0.25"/>
  <cols>
    <col min="1" max="1" width="9.109375" style="109"/>
    <col min="2" max="2" width="11" style="109" bestFit="1" customWidth="1"/>
    <col min="3" max="3" width="13.44140625" style="109" customWidth="1"/>
    <col min="4" max="4" width="15.88671875" style="109" customWidth="1"/>
    <col min="5" max="5" width="28.5546875" style="109" customWidth="1"/>
    <col min="6" max="6" width="50.5546875" style="109" customWidth="1"/>
    <col min="7" max="7" width="36.44140625" style="109" bestFit="1" customWidth="1"/>
    <col min="8" max="8" width="13.88671875" style="109" customWidth="1"/>
    <col min="9" max="9" width="9.109375" style="109"/>
    <col min="10" max="10" width="15.33203125" style="109" bestFit="1" customWidth="1"/>
    <col min="11" max="11" width="16.44140625" style="109" bestFit="1" customWidth="1"/>
    <col min="12" max="12" width="28.5546875" style="109" bestFit="1" customWidth="1"/>
    <col min="13" max="16384" width="9.109375" style="109"/>
  </cols>
  <sheetData>
    <row r="1" spans="1:12" ht="17.399999999999999" x14ac:dyDescent="0.3">
      <c r="A1" s="111" t="s">
        <v>264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3" spans="1:12" x14ac:dyDescent="0.25">
      <c r="B3" s="116" t="s">
        <v>47</v>
      </c>
      <c r="L3" s="134"/>
    </row>
    <row r="4" spans="1:12" ht="14.4" thickBot="1" x14ac:dyDescent="0.3">
      <c r="B4" s="157" t="s">
        <v>220</v>
      </c>
      <c r="C4" s="157" t="s">
        <v>40</v>
      </c>
      <c r="D4" s="157" t="s">
        <v>41</v>
      </c>
      <c r="E4" s="157" t="s">
        <v>221</v>
      </c>
      <c r="F4" s="157" t="s">
        <v>42</v>
      </c>
      <c r="G4" s="157" t="s">
        <v>43</v>
      </c>
      <c r="H4" s="157" t="s">
        <v>308</v>
      </c>
      <c r="I4" s="126"/>
      <c r="J4" s="119" t="s">
        <v>222</v>
      </c>
      <c r="L4" s="164" t="s">
        <v>104</v>
      </c>
    </row>
    <row r="5" spans="1:12" x14ac:dyDescent="0.25">
      <c r="C5" s="109" t="str">
        <f t="shared" ref="C5:C36" si="0">IF(J5=0,"*",IF(J5&lt;0,"FLO_SUB","FLO_TAX"))</f>
        <v>*</v>
      </c>
      <c r="D5" s="108">
        <f t="shared" ref="D5:D75" si="1">BASE_YEAR</f>
        <v>2017</v>
      </c>
      <c r="F5" s="109" t="str">
        <f>"FT-"&amp;G5&amp;"*"</f>
        <v>FT-RSDOILDSL*</v>
      </c>
      <c r="G5" s="109" t="str">
        <f>'Local_Prices-KZK'!F5</f>
        <v>RSDOILDSL</v>
      </c>
      <c r="H5" s="130">
        <f t="shared" ref="H5:H36" si="2">J5</f>
        <v>0</v>
      </c>
      <c r="J5" s="130">
        <f>'Local_Prices-TKM'!E5</f>
        <v>0</v>
      </c>
      <c r="K5" s="109" t="str">
        <f>'Local_Prices-KZK'!B5</f>
        <v>Diesel</v>
      </c>
      <c r="L5" s="134" t="s">
        <v>194</v>
      </c>
    </row>
    <row r="6" spans="1:12" x14ac:dyDescent="0.25">
      <c r="C6" s="109" t="str">
        <f t="shared" si="0"/>
        <v>*</v>
      </c>
      <c r="D6" s="108">
        <f t="shared" si="1"/>
        <v>2017</v>
      </c>
      <c r="F6" s="109" t="str">
        <f t="shared" ref="F6:F57" si="3">"FT-"&amp;G6&amp;"*"</f>
        <v>FT-RSDOILLPG*</v>
      </c>
      <c r="G6" s="109" t="str">
        <f>'Local_Prices-KZK'!F6</f>
        <v>RSDOILLPG</v>
      </c>
      <c r="H6" s="130">
        <f t="shared" si="2"/>
        <v>0</v>
      </c>
      <c r="J6" s="130">
        <f>'Local_Prices-TKM'!E6</f>
        <v>0</v>
      </c>
      <c r="K6" s="109" t="str">
        <f>'Local_Prices-KZK'!B6</f>
        <v>LPG</v>
      </c>
      <c r="L6" s="134"/>
    </row>
    <row r="7" spans="1:12" x14ac:dyDescent="0.25">
      <c r="C7" s="109" t="str">
        <f t="shared" si="0"/>
        <v>FLO_SUB</v>
      </c>
      <c r="D7" s="108">
        <f t="shared" si="1"/>
        <v>2017</v>
      </c>
      <c r="F7" s="109" t="str">
        <f t="shared" si="3"/>
        <v>FT-RSDGASNAT*</v>
      </c>
      <c r="G7" s="109" t="str">
        <f>'Local_Prices-KZK'!F7</f>
        <v>RSDGASNAT</v>
      </c>
      <c r="H7" s="130">
        <f>ABS(J7)</f>
        <v>2.1</v>
      </c>
      <c r="J7" s="130">
        <f>'Local_Prices-TKM'!E7</f>
        <v>-2.1</v>
      </c>
      <c r="K7" s="109" t="str">
        <f>'Local_Prices-KZK'!B7</f>
        <v>Natural Gas</v>
      </c>
      <c r="L7" s="134"/>
    </row>
    <row r="8" spans="1:12" x14ac:dyDescent="0.25">
      <c r="C8" s="109" t="str">
        <f t="shared" si="0"/>
        <v>*</v>
      </c>
      <c r="D8" s="108">
        <f t="shared" si="1"/>
        <v>2017</v>
      </c>
      <c r="F8" s="109" t="str">
        <f t="shared" si="3"/>
        <v>FT-RSDCOABIC*</v>
      </c>
      <c r="G8" s="109" t="str">
        <f>'Local_Prices-KZK'!F8</f>
        <v>RSDCOABIC</v>
      </c>
      <c r="H8" s="130">
        <f t="shared" si="2"/>
        <v>0</v>
      </c>
      <c r="J8" s="130">
        <f>'Local_Prices-TKM'!E8</f>
        <v>0</v>
      </c>
      <c r="K8" s="109" t="str">
        <f>'Local_Prices-KZK'!B8</f>
        <v>Coal</v>
      </c>
      <c r="L8" s="134"/>
    </row>
    <row r="9" spans="1:12" x14ac:dyDescent="0.25">
      <c r="C9" s="109" t="str">
        <f t="shared" si="0"/>
        <v>*</v>
      </c>
      <c r="D9" s="108">
        <f t="shared" si="1"/>
        <v>2017</v>
      </c>
      <c r="F9" s="109" t="str">
        <f t="shared" si="3"/>
        <v>FT-RSDCOABCO*</v>
      </c>
      <c r="G9" s="109" t="str">
        <f>'Local_Prices-KZK'!F9</f>
        <v>RSDCOABCO</v>
      </c>
      <c r="H9" s="130">
        <f t="shared" si="2"/>
        <v>0</v>
      </c>
      <c r="J9" s="130">
        <f>'Local_Prices-TKM'!E9</f>
        <v>0</v>
      </c>
      <c r="K9" s="109" t="str">
        <f>'Local_Prices-KZK'!B9</f>
        <v>Lignite</v>
      </c>
      <c r="L9" s="134"/>
    </row>
    <row r="10" spans="1:12" x14ac:dyDescent="0.25">
      <c r="C10" s="109" t="str">
        <f t="shared" si="0"/>
        <v>*</v>
      </c>
      <c r="D10" s="108">
        <f t="shared" si="1"/>
        <v>2017</v>
      </c>
      <c r="F10" s="109" t="str">
        <f t="shared" si="3"/>
        <v>FT-RSDBIOCHR*</v>
      </c>
      <c r="G10" s="109" t="str">
        <f>'Local_Prices-KZK'!F10</f>
        <v>RSDBIOCHR</v>
      </c>
      <c r="H10" s="130">
        <v>0</v>
      </c>
      <c r="J10" s="130">
        <f>'Local_Prices-TKM'!E10</f>
        <v>0</v>
      </c>
      <c r="K10" s="109" t="str">
        <f>'Local_Prices-KZK'!B10</f>
        <v>CHR</v>
      </c>
      <c r="L10" s="134"/>
    </row>
    <row r="11" spans="1:12" x14ac:dyDescent="0.25">
      <c r="C11" s="109" t="str">
        <f t="shared" si="0"/>
        <v>*</v>
      </c>
      <c r="D11" s="108">
        <f t="shared" si="1"/>
        <v>2017</v>
      </c>
      <c r="F11" s="109" t="str">
        <f t="shared" si="3"/>
        <v>FT-RSDBIOLOG*</v>
      </c>
      <c r="G11" s="109" t="str">
        <f>'Local_Prices-KZK'!F11</f>
        <v>RSDBIOLOG</v>
      </c>
      <c r="H11" s="130">
        <f t="shared" si="2"/>
        <v>0</v>
      </c>
      <c r="J11" s="130">
        <f>'Local_Prices-TKM'!E11</f>
        <v>0</v>
      </c>
      <c r="K11" s="109" t="str">
        <f>'Local_Prices-KZK'!B11</f>
        <v>Solid Biomass</v>
      </c>
      <c r="L11" s="134"/>
    </row>
    <row r="12" spans="1:12" x14ac:dyDescent="0.25">
      <c r="C12" s="109" t="str">
        <f t="shared" si="0"/>
        <v>*</v>
      </c>
      <c r="D12" s="108">
        <f t="shared" si="1"/>
        <v>2017</v>
      </c>
      <c r="F12" s="109" t="str">
        <f t="shared" si="3"/>
        <v>FT-RSDBIOPLT*</v>
      </c>
      <c r="G12" s="109" t="str">
        <f>'Local_Prices-KZK'!F12</f>
        <v>RSDBIOPLT</v>
      </c>
      <c r="H12" s="130">
        <f t="shared" si="2"/>
        <v>0</v>
      </c>
      <c r="J12" s="130">
        <f>'Local_Prices-TKM'!E12</f>
        <v>0</v>
      </c>
      <c r="K12" s="109" t="str">
        <f>'Local_Prices-KZK'!B12</f>
        <v>Pellets</v>
      </c>
      <c r="L12" s="134"/>
    </row>
    <row r="13" spans="1:12" x14ac:dyDescent="0.25">
      <c r="C13" s="109" t="str">
        <f t="shared" si="0"/>
        <v>FLO_SUB</v>
      </c>
      <c r="D13" s="108">
        <f t="shared" si="1"/>
        <v>2017</v>
      </c>
      <c r="F13" s="109" t="str">
        <f t="shared" si="3"/>
        <v>FT-RSDLTH*</v>
      </c>
      <c r="G13" s="109" t="str">
        <f>'Local_Prices-KZK'!F13</f>
        <v>RSDLTH</v>
      </c>
      <c r="H13" s="130">
        <f t="shared" ref="H13:H14" si="4">ABS(J13)</f>
        <v>1.9</v>
      </c>
      <c r="J13" s="130">
        <f>'Local_Prices-TKM'!E13</f>
        <v>-1.9</v>
      </c>
      <c r="K13" s="109" t="str">
        <f>'Local_Prices-KZK'!B13</f>
        <v>Heat</v>
      </c>
      <c r="L13" s="134"/>
    </row>
    <row r="14" spans="1:12" x14ac:dyDescent="0.25">
      <c r="C14" s="109" t="str">
        <f t="shared" si="0"/>
        <v>FLO_SUB</v>
      </c>
      <c r="D14" s="108">
        <f t="shared" si="1"/>
        <v>2017</v>
      </c>
      <c r="F14" s="109" t="str">
        <f t="shared" si="3"/>
        <v>FT-RSDELC*</v>
      </c>
      <c r="G14" s="109" t="str">
        <f>'Local_Prices-KZK'!F14</f>
        <v>RSDELC</v>
      </c>
      <c r="H14" s="130">
        <f t="shared" si="4"/>
        <v>11.5</v>
      </c>
      <c r="J14" s="130">
        <f>'Local_Prices-TKM'!E14</f>
        <v>-11.5</v>
      </c>
      <c r="K14" s="109" t="str">
        <f>'Local_Prices-KZK'!B14</f>
        <v>Electricity</v>
      </c>
      <c r="L14" s="134"/>
    </row>
    <row r="15" spans="1:12" x14ac:dyDescent="0.25">
      <c r="C15" s="109" t="str">
        <f t="shared" si="0"/>
        <v>*</v>
      </c>
      <c r="D15" s="108">
        <f t="shared" si="1"/>
        <v>2017</v>
      </c>
      <c r="F15" s="109" t="str">
        <f t="shared" si="3"/>
        <v>FT-TEROILDSL*</v>
      </c>
      <c r="G15" s="109" t="str">
        <f>'Local_Prices-KZK'!F15</f>
        <v>TEROILDSL</v>
      </c>
      <c r="H15" s="130">
        <f t="shared" si="2"/>
        <v>0</v>
      </c>
      <c r="J15" s="130">
        <f>'Local_Prices-TKM'!E15</f>
        <v>0</v>
      </c>
      <c r="K15" s="109" t="str">
        <f>'Local_Prices-KZK'!B15</f>
        <v>Diesel</v>
      </c>
      <c r="L15" s="134" t="s">
        <v>195</v>
      </c>
    </row>
    <row r="16" spans="1:12" x14ac:dyDescent="0.25">
      <c r="C16" s="109" t="str">
        <f t="shared" si="0"/>
        <v>*</v>
      </c>
      <c r="D16" s="108">
        <f t="shared" si="1"/>
        <v>2017</v>
      </c>
      <c r="F16" s="109" t="str">
        <f t="shared" si="3"/>
        <v>FT-TEROILHFO*</v>
      </c>
      <c r="G16" s="109" t="str">
        <f>'Local_Prices-KZK'!F16</f>
        <v>TEROILHFO</v>
      </c>
      <c r="H16" s="130">
        <f t="shared" si="2"/>
        <v>0</v>
      </c>
      <c r="J16" s="130">
        <f>'Local_Prices-TKM'!E16</f>
        <v>0</v>
      </c>
      <c r="K16" s="109" t="str">
        <f>'Local_Prices-KZK'!B16</f>
        <v>HFO</v>
      </c>
      <c r="L16" s="134"/>
    </row>
    <row r="17" spans="3:12" x14ac:dyDescent="0.25">
      <c r="C17" s="109" t="str">
        <f t="shared" si="0"/>
        <v>*</v>
      </c>
      <c r="D17" s="108">
        <f t="shared" si="1"/>
        <v>2017</v>
      </c>
      <c r="F17" s="109" t="str">
        <f t="shared" si="3"/>
        <v>FT-TEROILLPG*</v>
      </c>
      <c r="G17" s="109" t="str">
        <f>'Local_Prices-KZK'!F17</f>
        <v>TEROILLPG</v>
      </c>
      <c r="H17" s="130">
        <f t="shared" si="2"/>
        <v>0</v>
      </c>
      <c r="J17" s="130">
        <f>'Local_Prices-TKM'!E17</f>
        <v>0</v>
      </c>
      <c r="K17" s="109" t="str">
        <f>'Local_Prices-KZK'!B17</f>
        <v>LPG</v>
      </c>
      <c r="L17" s="134"/>
    </row>
    <row r="18" spans="3:12" x14ac:dyDescent="0.25">
      <c r="C18" s="109" t="str">
        <f t="shared" si="0"/>
        <v>FLO_SUB</v>
      </c>
      <c r="D18" s="108">
        <f t="shared" si="1"/>
        <v>2017</v>
      </c>
      <c r="F18" s="109" t="str">
        <f t="shared" si="3"/>
        <v>FT-TERGASNAT*</v>
      </c>
      <c r="G18" s="109" t="str">
        <f>'Local_Prices-KZK'!F18</f>
        <v>TERGASNAT</v>
      </c>
      <c r="H18" s="130">
        <f t="shared" ref="H18" si="5">ABS(J18)</f>
        <v>1.05</v>
      </c>
      <c r="J18" s="130">
        <f>'Local_Prices-TKM'!E18</f>
        <v>-1.05</v>
      </c>
      <c r="K18" s="109" t="str">
        <f>'Local_Prices-KZK'!B18</f>
        <v>Natural Gas</v>
      </c>
      <c r="L18" s="134"/>
    </row>
    <row r="19" spans="3:12" x14ac:dyDescent="0.25">
      <c r="C19" s="109" t="str">
        <f t="shared" si="0"/>
        <v>*</v>
      </c>
      <c r="D19" s="108">
        <f t="shared" si="1"/>
        <v>2017</v>
      </c>
      <c r="F19" s="109" t="str">
        <f t="shared" si="3"/>
        <v>FT-TERCOABIC*</v>
      </c>
      <c r="G19" s="109" t="str">
        <f>'Local_Prices-KZK'!F19</f>
        <v>TERCOABIC</v>
      </c>
      <c r="H19" s="130">
        <f t="shared" si="2"/>
        <v>0</v>
      </c>
      <c r="J19" s="130">
        <f>'Local_Prices-TKM'!E19</f>
        <v>0</v>
      </c>
      <c r="K19" s="109" t="str">
        <f>'Local_Prices-KZK'!B19</f>
        <v>Coal</v>
      </c>
      <c r="L19" s="134"/>
    </row>
    <row r="20" spans="3:12" x14ac:dyDescent="0.25">
      <c r="C20" s="109" t="str">
        <f t="shared" si="0"/>
        <v>*</v>
      </c>
      <c r="D20" s="108">
        <f t="shared" si="1"/>
        <v>2017</v>
      </c>
      <c r="F20" s="109" t="str">
        <f t="shared" si="3"/>
        <v>FT-TERCOABCO*</v>
      </c>
      <c r="G20" s="109" t="str">
        <f>'Local_Prices-KZK'!F20</f>
        <v>TERCOABCO</v>
      </c>
      <c r="H20" s="130">
        <f t="shared" si="2"/>
        <v>0</v>
      </c>
      <c r="J20" s="130">
        <f>'Local_Prices-TKM'!E20</f>
        <v>0</v>
      </c>
      <c r="K20" s="109" t="str">
        <f>'Local_Prices-KZK'!B20</f>
        <v>Lignite</v>
      </c>
      <c r="L20" s="134"/>
    </row>
    <row r="21" spans="3:12" x14ac:dyDescent="0.25">
      <c r="C21" s="109" t="str">
        <f t="shared" si="0"/>
        <v>*</v>
      </c>
      <c r="D21" s="108">
        <f t="shared" si="1"/>
        <v>2017</v>
      </c>
      <c r="F21" s="109" t="str">
        <f t="shared" si="3"/>
        <v>FT-TERBIOCHR*</v>
      </c>
      <c r="G21" s="109" t="str">
        <f>'Local_Prices-KZK'!F21</f>
        <v>TERBIOCHR</v>
      </c>
      <c r="H21" s="130">
        <f t="shared" si="2"/>
        <v>0</v>
      </c>
      <c r="J21" s="130">
        <f>'Local_Prices-TKM'!E21</f>
        <v>0</v>
      </c>
      <c r="K21" s="109" t="str">
        <f>'Local_Prices-KZK'!B21</f>
        <v>CHR</v>
      </c>
      <c r="L21" s="134"/>
    </row>
    <row r="22" spans="3:12" x14ac:dyDescent="0.25">
      <c r="C22" s="109" t="str">
        <f t="shared" si="0"/>
        <v>*</v>
      </c>
      <c r="D22" s="108">
        <f t="shared" si="1"/>
        <v>2017</v>
      </c>
      <c r="F22" s="109" t="str">
        <f t="shared" si="3"/>
        <v>FT-TERBIOLOG*</v>
      </c>
      <c r="G22" s="109" t="str">
        <f>'Local_Prices-KZK'!F22</f>
        <v>TERBIOLOG</v>
      </c>
      <c r="H22" s="130">
        <f t="shared" si="2"/>
        <v>0</v>
      </c>
      <c r="J22" s="130">
        <f>'Local_Prices-TKM'!E22</f>
        <v>0</v>
      </c>
      <c r="K22" s="109" t="str">
        <f>'Local_Prices-KZK'!B22</f>
        <v>Solid Biomass</v>
      </c>
      <c r="L22" s="134"/>
    </row>
    <row r="23" spans="3:12" x14ac:dyDescent="0.25">
      <c r="C23" s="109" t="str">
        <f t="shared" si="0"/>
        <v>*</v>
      </c>
      <c r="D23" s="108">
        <f t="shared" si="1"/>
        <v>2017</v>
      </c>
      <c r="F23" s="109" t="str">
        <f t="shared" si="3"/>
        <v>FT-TERBIOPLT*</v>
      </c>
      <c r="G23" s="109" t="str">
        <f>'Local_Prices-KZK'!F23</f>
        <v>TERBIOPLT</v>
      </c>
      <c r="H23" s="130">
        <f t="shared" si="2"/>
        <v>0</v>
      </c>
      <c r="J23" s="130">
        <f>'Local_Prices-TKM'!E23</f>
        <v>0</v>
      </c>
      <c r="K23" s="109" t="str">
        <f>'Local_Prices-KZK'!B23</f>
        <v>Pellets</v>
      </c>
      <c r="L23" s="134"/>
    </row>
    <row r="24" spans="3:12" x14ac:dyDescent="0.25">
      <c r="C24" s="109" t="str">
        <f t="shared" si="0"/>
        <v>*</v>
      </c>
      <c r="D24" s="108">
        <f t="shared" si="1"/>
        <v>2017</v>
      </c>
      <c r="F24" s="109" t="str">
        <f t="shared" si="3"/>
        <v>FT-0*</v>
      </c>
      <c r="G24" s="109">
        <f>'Local_Prices-KZK'!F24</f>
        <v>0</v>
      </c>
      <c r="H24" s="130">
        <f t="shared" si="2"/>
        <v>0</v>
      </c>
      <c r="J24" s="130">
        <f>'Local_Prices-TKM'!E24</f>
        <v>0</v>
      </c>
      <c r="K24" s="109">
        <f>'Local_Prices-KZK'!B24</f>
        <v>0</v>
      </c>
      <c r="L24" s="134"/>
    </row>
    <row r="25" spans="3:12" x14ac:dyDescent="0.25">
      <c r="C25" s="109" t="str">
        <f t="shared" si="0"/>
        <v>FLO_SUB</v>
      </c>
      <c r="D25" s="108">
        <f t="shared" si="1"/>
        <v>2017</v>
      </c>
      <c r="F25" s="109" t="str">
        <f t="shared" si="3"/>
        <v>FT-TERLTH*</v>
      </c>
      <c r="G25" s="109" t="str">
        <f>'Local_Prices-KZK'!F25</f>
        <v>TERLTH</v>
      </c>
      <c r="H25" s="130">
        <f t="shared" ref="H25:H26" si="6">ABS(J25)</f>
        <v>0.95</v>
      </c>
      <c r="J25" s="130">
        <f>'Local_Prices-TKM'!E25</f>
        <v>-0.95</v>
      </c>
      <c r="K25" s="109" t="str">
        <f>'Local_Prices-KZK'!B25</f>
        <v>Heat</v>
      </c>
      <c r="L25" s="134"/>
    </row>
    <row r="26" spans="3:12" x14ac:dyDescent="0.25">
      <c r="C26" s="109" t="str">
        <f t="shared" si="0"/>
        <v>FLO_SUB</v>
      </c>
      <c r="D26" s="108">
        <f t="shared" si="1"/>
        <v>2017</v>
      </c>
      <c r="F26" s="109" t="str">
        <f t="shared" si="3"/>
        <v>FT-TERELC*</v>
      </c>
      <c r="G26" s="109" t="str">
        <f>'Local_Prices-KZK'!F26</f>
        <v>TERELC</v>
      </c>
      <c r="H26" s="130">
        <f t="shared" si="6"/>
        <v>5.75</v>
      </c>
      <c r="J26" s="130">
        <f>'Local_Prices-TKM'!E26</f>
        <v>-5.75</v>
      </c>
      <c r="K26" s="109" t="str">
        <f>'Local_Prices-KZK'!B26</f>
        <v>Electricity</v>
      </c>
      <c r="L26" s="134"/>
    </row>
    <row r="27" spans="3:12" x14ac:dyDescent="0.25">
      <c r="C27" s="109" t="str">
        <f t="shared" si="0"/>
        <v>*</v>
      </c>
      <c r="D27" s="108">
        <f t="shared" si="1"/>
        <v>2017</v>
      </c>
      <c r="F27" s="109" t="str">
        <f t="shared" si="3"/>
        <v>FT-INDOILDSL*</v>
      </c>
      <c r="G27" s="109" t="s">
        <v>241</v>
      </c>
      <c r="H27" s="130">
        <f t="shared" si="2"/>
        <v>0</v>
      </c>
      <c r="J27" s="130">
        <f>'Local_Prices-TKM'!E27</f>
        <v>0</v>
      </c>
      <c r="K27" s="109" t="str">
        <f>'Local_Prices-KZK'!B27</f>
        <v>Diesel</v>
      </c>
      <c r="L27" s="134" t="s">
        <v>218</v>
      </c>
    </row>
    <row r="28" spans="3:12" x14ac:dyDescent="0.25">
      <c r="C28" s="109" t="str">
        <f t="shared" si="0"/>
        <v>*</v>
      </c>
      <c r="D28" s="108">
        <f t="shared" si="1"/>
        <v>2017</v>
      </c>
      <c r="F28" s="109" t="str">
        <f t="shared" si="3"/>
        <v>FT-INDOILHFO*</v>
      </c>
      <c r="G28" s="109" t="s">
        <v>268</v>
      </c>
      <c r="H28" s="130">
        <f t="shared" si="2"/>
        <v>0</v>
      </c>
      <c r="J28" s="130">
        <f>'Local_Prices-TKM'!E28</f>
        <v>0</v>
      </c>
      <c r="K28" s="109" t="str">
        <f>'Local_Prices-KZK'!B28</f>
        <v>Fuel Oil</v>
      </c>
      <c r="L28" s="134"/>
    </row>
    <row r="29" spans="3:12" x14ac:dyDescent="0.25">
      <c r="C29" s="109" t="str">
        <f t="shared" si="0"/>
        <v>*</v>
      </c>
      <c r="D29" s="108">
        <f t="shared" si="1"/>
        <v>2017</v>
      </c>
      <c r="F29" s="109" t="str">
        <f t="shared" si="3"/>
        <v>FT-INDOILOTH*</v>
      </c>
      <c r="G29" s="109" t="s">
        <v>242</v>
      </c>
      <c r="H29" s="130">
        <f t="shared" si="2"/>
        <v>0</v>
      </c>
      <c r="J29" s="130">
        <f>J28</f>
        <v>0</v>
      </c>
      <c r="L29" s="134"/>
    </row>
    <row r="30" spans="3:12" x14ac:dyDescent="0.25">
      <c r="C30" s="109" t="str">
        <f t="shared" si="0"/>
        <v>*</v>
      </c>
      <c r="D30" s="108">
        <f t="shared" si="1"/>
        <v>2017</v>
      </c>
      <c r="F30" s="109" t="str">
        <f t="shared" si="3"/>
        <v>FT-INDOILLPG*</v>
      </c>
      <c r="G30" s="109" t="str">
        <f>'Local_Prices-KZK'!F29</f>
        <v>INDOILLPG</v>
      </c>
      <c r="H30" s="130">
        <f t="shared" si="2"/>
        <v>0</v>
      </c>
      <c r="J30" s="130">
        <f>'Local_Prices-TKM'!E29</f>
        <v>0</v>
      </c>
      <c r="K30" s="109" t="str">
        <f>'Local_Prices-KZK'!B29</f>
        <v>LPG</v>
      </c>
      <c r="L30" s="134"/>
    </row>
    <row r="31" spans="3:12" x14ac:dyDescent="0.25">
      <c r="C31" s="109" t="str">
        <f t="shared" si="0"/>
        <v>*</v>
      </c>
      <c r="D31" s="108">
        <f t="shared" si="1"/>
        <v>2017</v>
      </c>
      <c r="F31" s="109" t="str">
        <f t="shared" si="3"/>
        <v>FT-INDOILGSL*</v>
      </c>
      <c r="G31" s="109" t="str">
        <f>'Local_Prices-KZK'!F30</f>
        <v>INDOILGSL</v>
      </c>
      <c r="H31" s="130">
        <f t="shared" si="2"/>
        <v>0</v>
      </c>
      <c r="J31" s="130">
        <f>'Local_Prices-TKM'!E30</f>
        <v>0</v>
      </c>
      <c r="K31" s="109" t="str">
        <f>'Local_Prices-KZK'!B30</f>
        <v>Gasoline</v>
      </c>
      <c r="L31" s="134"/>
    </row>
    <row r="32" spans="3:12" x14ac:dyDescent="0.25">
      <c r="C32" s="109" t="str">
        <f t="shared" si="0"/>
        <v>*</v>
      </c>
      <c r="D32" s="108">
        <f t="shared" si="1"/>
        <v>2017</v>
      </c>
      <c r="F32" s="109" t="str">
        <f t="shared" si="3"/>
        <v>FT-INDGASNAT*</v>
      </c>
      <c r="G32" s="109" t="str">
        <f>'Local_Prices-KZK'!F31</f>
        <v>INDGASNAT</v>
      </c>
      <c r="H32" s="130">
        <f t="shared" si="2"/>
        <v>0</v>
      </c>
      <c r="J32" s="130">
        <f>'Local_Prices-TKM'!E31</f>
        <v>0</v>
      </c>
      <c r="K32" s="109" t="str">
        <f>'Local_Prices-KZK'!B31</f>
        <v>Natural Gas</v>
      </c>
      <c r="L32" s="134"/>
    </row>
    <row r="33" spans="3:12" x14ac:dyDescent="0.25">
      <c r="C33" s="109" t="str">
        <f t="shared" si="0"/>
        <v>*</v>
      </c>
      <c r="D33" s="108">
        <f t="shared" si="1"/>
        <v>2017</v>
      </c>
      <c r="F33" s="109" t="str">
        <f t="shared" si="3"/>
        <v>FT-INDCOASUB*</v>
      </c>
      <c r="G33" s="109" t="str">
        <f>'Local_Prices-KZK'!F32</f>
        <v>INDCOASUB</v>
      </c>
      <c r="H33" s="130">
        <f t="shared" si="2"/>
        <v>0</v>
      </c>
      <c r="J33" s="130">
        <f>'Local_Prices-TKM'!E32</f>
        <v>0</v>
      </c>
      <c r="K33" s="109" t="str">
        <f>'Local_Prices-KZK'!B32</f>
        <v>Coal</v>
      </c>
      <c r="L33" s="134"/>
    </row>
    <row r="34" spans="3:12" x14ac:dyDescent="0.25">
      <c r="C34" s="109" t="str">
        <f t="shared" si="0"/>
        <v>*</v>
      </c>
      <c r="D34" s="108">
        <f t="shared" si="1"/>
        <v>2017</v>
      </c>
      <c r="F34" s="109" t="str">
        <f t="shared" si="3"/>
        <v>FT-INDCOABCO*</v>
      </c>
      <c r="G34" s="109" t="str">
        <f>'Local_Prices-KZK'!F33</f>
        <v>INDCOABCO</v>
      </c>
      <c r="H34" s="130">
        <f t="shared" si="2"/>
        <v>0</v>
      </c>
      <c r="J34" s="130">
        <f>'Local_Prices-TKM'!E33</f>
        <v>0</v>
      </c>
      <c r="K34" s="109" t="str">
        <f>'Local_Prices-KZK'!B33</f>
        <v>Lignite</v>
      </c>
      <c r="L34" s="134"/>
    </row>
    <row r="35" spans="3:12" x14ac:dyDescent="0.25">
      <c r="C35" s="109" t="str">
        <f t="shared" si="0"/>
        <v>*</v>
      </c>
      <c r="D35" s="108">
        <f t="shared" si="1"/>
        <v>2017</v>
      </c>
      <c r="F35" s="109" t="str">
        <f t="shared" si="3"/>
        <v>FT-INDCOABIC*</v>
      </c>
      <c r="G35" s="109" t="str">
        <f>'Local_Prices-KZK'!F34</f>
        <v>INDCOABIC</v>
      </c>
      <c r="H35" s="130">
        <f t="shared" si="2"/>
        <v>0</v>
      </c>
      <c r="J35" s="130">
        <f>'Local_Prices-TKM'!E34</f>
        <v>0</v>
      </c>
      <c r="K35" s="109" t="str">
        <f>'Local_Prices-KZK'!B34</f>
        <v>Other bituminous</v>
      </c>
      <c r="L35" s="134"/>
    </row>
    <row r="36" spans="3:12" x14ac:dyDescent="0.25">
      <c r="C36" s="109" t="str">
        <f t="shared" si="0"/>
        <v>*</v>
      </c>
      <c r="D36" s="108">
        <f t="shared" si="1"/>
        <v>2017</v>
      </c>
      <c r="F36" s="109" t="str">
        <f t="shared" si="3"/>
        <v>FT-INDCOACOK*</v>
      </c>
      <c r="G36" s="109" t="str">
        <f>'Local_Prices-KZK'!F35</f>
        <v>INDCOACOK</v>
      </c>
      <c r="H36" s="130">
        <f t="shared" si="2"/>
        <v>0</v>
      </c>
      <c r="J36" s="130">
        <f>'Local_Prices-TKM'!E35</f>
        <v>0</v>
      </c>
      <c r="K36" s="109" t="str">
        <f>'Local_Prices-KZK'!B35</f>
        <v>Coke</v>
      </c>
      <c r="L36" s="134"/>
    </row>
    <row r="37" spans="3:12" x14ac:dyDescent="0.25">
      <c r="C37" s="109" t="str">
        <f t="shared" ref="C37:C68" si="7">IF(J37=0,"*",IF(J37&lt;0,"FLO_SUB","FLO_TAX"))</f>
        <v>*</v>
      </c>
      <c r="D37" s="108">
        <f t="shared" si="1"/>
        <v>2017</v>
      </c>
      <c r="F37" s="109" t="str">
        <f t="shared" si="3"/>
        <v>FT-INDCOABKB*</v>
      </c>
      <c r="G37" s="109" t="str">
        <f>'Local_Prices-KZK'!F36</f>
        <v>INDCOABKB</v>
      </c>
      <c r="H37" s="130">
        <f t="shared" ref="H37:H68" si="8">J37</f>
        <v>0</v>
      </c>
      <c r="J37" s="130">
        <f>'Local_Prices-TKM'!E36</f>
        <v>0</v>
      </c>
      <c r="K37" s="109" t="str">
        <f>'Local_Prices-KZK'!B36</f>
        <v>BKB</v>
      </c>
      <c r="L37" s="134"/>
    </row>
    <row r="38" spans="3:12" x14ac:dyDescent="0.25">
      <c r="C38" s="109" t="str">
        <f t="shared" si="7"/>
        <v>*</v>
      </c>
      <c r="D38" s="108">
        <f t="shared" si="1"/>
        <v>2017</v>
      </c>
      <c r="F38" s="109" t="str">
        <f t="shared" si="3"/>
        <v>FT-INDBIOLOG*</v>
      </c>
      <c r="G38" s="109" t="str">
        <f>'Local_Prices-KZK'!F37</f>
        <v>INDBIOLOG</v>
      </c>
      <c r="H38" s="130">
        <f t="shared" si="8"/>
        <v>0</v>
      </c>
      <c r="J38" s="130">
        <f>'Local_Prices-TKM'!E37</f>
        <v>0</v>
      </c>
      <c r="K38" s="109" t="str">
        <f>'Local_Prices-KZK'!B37</f>
        <v>Solid Biomass</v>
      </c>
      <c r="L38" s="134"/>
    </row>
    <row r="39" spans="3:12" x14ac:dyDescent="0.25">
      <c r="C39" s="109" t="str">
        <f t="shared" si="7"/>
        <v>*</v>
      </c>
      <c r="D39" s="108">
        <v>2030</v>
      </c>
      <c r="F39" s="109" t="str">
        <f>F38</f>
        <v>FT-INDBIOLOG*</v>
      </c>
      <c r="G39" s="109" t="str">
        <f>G38</f>
        <v>INDBIOLOG</v>
      </c>
      <c r="H39" s="130">
        <f t="shared" si="8"/>
        <v>0</v>
      </c>
      <c r="J39" s="130">
        <f>J38</f>
        <v>0</v>
      </c>
      <c r="L39" s="134"/>
    </row>
    <row r="40" spans="3:12" x14ac:dyDescent="0.25">
      <c r="C40" s="109" t="str">
        <f t="shared" si="7"/>
        <v>*</v>
      </c>
      <c r="D40" s="108">
        <f>BASE_YEAR</f>
        <v>2017</v>
      </c>
      <c r="F40" s="109" t="str">
        <f t="shared" si="3"/>
        <v>FT-INDBIOCHR*</v>
      </c>
      <c r="G40" s="109" t="s">
        <v>257</v>
      </c>
      <c r="H40" s="130">
        <f t="shared" si="8"/>
        <v>0</v>
      </c>
      <c r="J40" s="130">
        <f t="shared" ref="J40:J43" si="9">J39</f>
        <v>0</v>
      </c>
      <c r="L40" s="134"/>
    </row>
    <row r="41" spans="3:12" x14ac:dyDescent="0.25">
      <c r="C41" s="109" t="str">
        <f t="shared" si="7"/>
        <v>*</v>
      </c>
      <c r="D41" s="108">
        <v>2030</v>
      </c>
      <c r="F41" s="109" t="str">
        <f>F40</f>
        <v>FT-INDBIOCHR*</v>
      </c>
      <c r="G41" s="109" t="str">
        <f>G40</f>
        <v>INDBIOCHR</v>
      </c>
      <c r="H41" s="130">
        <f t="shared" si="8"/>
        <v>0</v>
      </c>
      <c r="J41" s="130">
        <f t="shared" si="9"/>
        <v>0</v>
      </c>
      <c r="L41" s="134"/>
    </row>
    <row r="42" spans="3:12" x14ac:dyDescent="0.25">
      <c r="C42" s="109" t="str">
        <f t="shared" si="7"/>
        <v>*</v>
      </c>
      <c r="D42" s="108">
        <f>BASE_YEAR</f>
        <v>2017</v>
      </c>
      <c r="F42" s="109" t="str">
        <f t="shared" ref="F42" si="10">"FT-"&amp;G42&amp;"*"</f>
        <v>FT-INDBIOPLT*</v>
      </c>
      <c r="G42" s="109" t="s">
        <v>258</v>
      </c>
      <c r="H42" s="130">
        <f t="shared" si="8"/>
        <v>0</v>
      </c>
      <c r="J42" s="130">
        <f t="shared" si="9"/>
        <v>0</v>
      </c>
      <c r="L42" s="134"/>
    </row>
    <row r="43" spans="3:12" x14ac:dyDescent="0.25">
      <c r="C43" s="109" t="str">
        <f t="shared" si="7"/>
        <v>*</v>
      </c>
      <c r="D43" s="108">
        <v>2030</v>
      </c>
      <c r="F43" s="109" t="str">
        <f>F42</f>
        <v>FT-INDBIOPLT*</v>
      </c>
      <c r="G43" s="109" t="str">
        <f>G42</f>
        <v>INDBIOPLT</v>
      </c>
      <c r="H43" s="130">
        <f t="shared" si="8"/>
        <v>0</v>
      </c>
      <c r="J43" s="130">
        <f t="shared" si="9"/>
        <v>0</v>
      </c>
      <c r="L43" s="134"/>
    </row>
    <row r="44" spans="3:12" x14ac:dyDescent="0.25">
      <c r="C44" s="109" t="str">
        <f t="shared" si="7"/>
        <v>*</v>
      </c>
      <c r="D44" s="108">
        <f t="shared" si="1"/>
        <v>2017</v>
      </c>
      <c r="F44" s="109" t="str">
        <f t="shared" si="3"/>
        <v>FT-INDHTH*</v>
      </c>
      <c r="G44" s="109" t="str">
        <f>'Local_Prices-KZK'!F38</f>
        <v>INDHTH</v>
      </c>
      <c r="H44" s="130">
        <f t="shared" si="8"/>
        <v>0</v>
      </c>
      <c r="J44" s="130">
        <f>'Local_Prices-TKM'!E38</f>
        <v>0</v>
      </c>
      <c r="K44" s="109" t="str">
        <f>'Local_Prices-KZK'!B38</f>
        <v>Heat</v>
      </c>
      <c r="L44" s="134"/>
    </row>
    <row r="45" spans="3:12" x14ac:dyDescent="0.25">
      <c r="C45" s="109" t="str">
        <f t="shared" si="7"/>
        <v>*</v>
      </c>
      <c r="D45" s="108">
        <f t="shared" si="1"/>
        <v>2017</v>
      </c>
      <c r="F45" s="109" t="str">
        <f t="shared" si="3"/>
        <v>FT-INDELC*</v>
      </c>
      <c r="G45" s="109" t="str">
        <f>'Local_Prices-KZK'!F39</f>
        <v>INDELC</v>
      </c>
      <c r="H45" s="130">
        <f t="shared" si="8"/>
        <v>0</v>
      </c>
      <c r="J45" s="130">
        <f>'Local_Prices-TKM'!E39</f>
        <v>0</v>
      </c>
      <c r="K45" s="109" t="str">
        <f>'Local_Prices-KZK'!B39</f>
        <v>Electricity</v>
      </c>
      <c r="L45" s="134"/>
    </row>
    <row r="46" spans="3:12" x14ac:dyDescent="0.25">
      <c r="C46" s="109" t="str">
        <f t="shared" si="7"/>
        <v>FLO_TAX</v>
      </c>
      <c r="D46" s="108">
        <f t="shared" si="1"/>
        <v>2017</v>
      </c>
      <c r="F46" s="109" t="str">
        <f t="shared" si="3"/>
        <v>FT-ELEOILDSL*</v>
      </c>
      <c r="G46" s="109" t="s">
        <v>243</v>
      </c>
      <c r="H46" s="130">
        <f t="shared" si="8"/>
        <v>2.5000000000000022E-2</v>
      </c>
      <c r="J46" s="130">
        <f>'Local_Prices-TKM'!E52</f>
        <v>2.5000000000000022E-2</v>
      </c>
      <c r="K46" s="109" t="str">
        <f>'Local_Prices-KZK'!B52</f>
        <v>Diesel</v>
      </c>
      <c r="L46" s="134" t="s">
        <v>196</v>
      </c>
    </row>
    <row r="47" spans="3:12" x14ac:dyDescent="0.25">
      <c r="C47" s="109" t="str">
        <f t="shared" si="7"/>
        <v>FLO_TAX</v>
      </c>
      <c r="D47" s="108">
        <f t="shared" si="1"/>
        <v>2017</v>
      </c>
      <c r="F47" s="109" t="str">
        <f t="shared" si="3"/>
        <v>FT-HETOILDSL*</v>
      </c>
      <c r="G47" s="109" t="s">
        <v>244</v>
      </c>
      <c r="H47" s="130">
        <f t="shared" si="8"/>
        <v>2.5000000000000022E-2</v>
      </c>
      <c r="J47" s="130">
        <f>J46</f>
        <v>2.5000000000000022E-2</v>
      </c>
      <c r="L47" s="134"/>
    </row>
    <row r="48" spans="3:12" x14ac:dyDescent="0.25">
      <c r="C48" s="109" t="str">
        <f t="shared" si="7"/>
        <v>FLO_TAX</v>
      </c>
      <c r="D48" s="108">
        <f t="shared" si="1"/>
        <v>2017</v>
      </c>
      <c r="F48" s="109" t="str">
        <f t="shared" si="3"/>
        <v>FT-ELEOILHFO*</v>
      </c>
      <c r="G48" s="109" t="s">
        <v>269</v>
      </c>
      <c r="H48" s="130">
        <f t="shared" si="8"/>
        <v>2.5000000000000022E-2</v>
      </c>
      <c r="J48" s="130">
        <f>'Local_Prices-TKM'!E53</f>
        <v>2.5000000000000022E-2</v>
      </c>
      <c r="K48" s="109" t="str">
        <f>'Local_Prices-KZK'!B53</f>
        <v>Fuel Oil</v>
      </c>
      <c r="L48" s="134"/>
    </row>
    <row r="49" spans="3:12" x14ac:dyDescent="0.25">
      <c r="C49" s="109" t="str">
        <f t="shared" si="7"/>
        <v>FLO_TAX</v>
      </c>
      <c r="D49" s="108">
        <f t="shared" si="1"/>
        <v>2017</v>
      </c>
      <c r="F49" s="109" t="str">
        <f t="shared" si="3"/>
        <v>FT-HETOILHFO*</v>
      </c>
      <c r="G49" s="109" t="s">
        <v>270</v>
      </c>
      <c r="H49" s="130">
        <f t="shared" si="8"/>
        <v>2.5000000000000022E-2</v>
      </c>
      <c r="J49" s="130">
        <f>J48</f>
        <v>2.5000000000000022E-2</v>
      </c>
      <c r="L49" s="134"/>
    </row>
    <row r="50" spans="3:12" x14ac:dyDescent="0.25">
      <c r="C50" s="109" t="str">
        <f t="shared" si="7"/>
        <v>FLO_TAX</v>
      </c>
      <c r="D50" s="108">
        <f t="shared" si="1"/>
        <v>2017</v>
      </c>
      <c r="F50" s="109" t="str">
        <f t="shared" si="3"/>
        <v>FT-ELEGASNAT*</v>
      </c>
      <c r="G50" s="109" t="s">
        <v>245</v>
      </c>
      <c r="H50" s="130">
        <f t="shared" si="8"/>
        <v>2.5000000000000022E-2</v>
      </c>
      <c r="J50" s="130">
        <f>'Local_Prices-TKM'!E54</f>
        <v>2.5000000000000022E-2</v>
      </c>
      <c r="K50" s="109" t="str">
        <f>'Local_Prices-KZK'!B54</f>
        <v>Natural Gas</v>
      </c>
      <c r="L50" s="134"/>
    </row>
    <row r="51" spans="3:12" x14ac:dyDescent="0.25">
      <c r="C51" s="109" t="str">
        <f t="shared" si="7"/>
        <v>FLO_TAX</v>
      </c>
      <c r="D51" s="108">
        <f t="shared" si="1"/>
        <v>2017</v>
      </c>
      <c r="F51" s="109" t="str">
        <f t="shared" si="3"/>
        <v>FT-HETGASNAT*</v>
      </c>
      <c r="G51" s="109" t="s">
        <v>246</v>
      </c>
      <c r="H51" s="130">
        <f t="shared" si="8"/>
        <v>2.5000000000000022E-2</v>
      </c>
      <c r="J51" s="130">
        <f>J50</f>
        <v>2.5000000000000022E-2</v>
      </c>
      <c r="L51" s="134"/>
    </row>
    <row r="52" spans="3:12" x14ac:dyDescent="0.25">
      <c r="C52" s="109" t="str">
        <f t="shared" si="7"/>
        <v>*</v>
      </c>
      <c r="D52" s="108">
        <f t="shared" si="1"/>
        <v>2017</v>
      </c>
      <c r="F52" s="109" t="str">
        <f t="shared" si="3"/>
        <v>FT-ELECOASUB*</v>
      </c>
      <c r="G52" s="109" t="s">
        <v>316</v>
      </c>
      <c r="H52" s="130">
        <f t="shared" si="8"/>
        <v>0</v>
      </c>
      <c r="J52" s="130">
        <f>'Local_Prices-TKM'!E55</f>
        <v>0</v>
      </c>
      <c r="K52" s="109" t="str">
        <f>'Local_Prices-KZK'!B55</f>
        <v>Coal</v>
      </c>
      <c r="L52" s="134"/>
    </row>
    <row r="53" spans="3:12" x14ac:dyDescent="0.25">
      <c r="C53" s="109" t="str">
        <f t="shared" si="7"/>
        <v>*</v>
      </c>
      <c r="D53" s="108">
        <f t="shared" si="1"/>
        <v>2017</v>
      </c>
      <c r="F53" s="109" t="str">
        <f t="shared" si="3"/>
        <v>FT-HETCOASUB*</v>
      </c>
      <c r="G53" s="109" t="s">
        <v>317</v>
      </c>
      <c r="H53" s="130">
        <f t="shared" si="8"/>
        <v>0</v>
      </c>
      <c r="J53" s="130">
        <f>J52</f>
        <v>0</v>
      </c>
      <c r="L53" s="134"/>
    </row>
    <row r="54" spans="3:12" x14ac:dyDescent="0.25">
      <c r="C54" s="109" t="str">
        <f t="shared" si="7"/>
        <v>*</v>
      </c>
      <c r="D54" s="108">
        <f t="shared" si="1"/>
        <v>2017</v>
      </c>
      <c r="F54" s="109" t="str">
        <f t="shared" si="3"/>
        <v>FT-ELEBIOLOG*</v>
      </c>
      <c r="G54" s="109" t="s">
        <v>247</v>
      </c>
      <c r="H54" s="130">
        <f t="shared" si="8"/>
        <v>0</v>
      </c>
      <c r="J54" s="130">
        <f>'Local_Prices-TKM'!E57</f>
        <v>0</v>
      </c>
      <c r="K54" s="109" t="str">
        <f>'Local_Prices-KZK'!B57</f>
        <v>Solid Biomass</v>
      </c>
      <c r="L54" s="134"/>
    </row>
    <row r="55" spans="3:12" x14ac:dyDescent="0.25">
      <c r="C55" s="109" t="str">
        <f t="shared" si="7"/>
        <v>*</v>
      </c>
      <c r="D55" s="108">
        <f t="shared" si="1"/>
        <v>2017</v>
      </c>
      <c r="F55" s="109" t="str">
        <f t="shared" si="3"/>
        <v>FT-HETBIOLOG*</v>
      </c>
      <c r="G55" s="109" t="s">
        <v>255</v>
      </c>
      <c r="H55" s="130">
        <f t="shared" si="8"/>
        <v>0</v>
      </c>
      <c r="J55" s="130">
        <f>J54</f>
        <v>0</v>
      </c>
      <c r="L55" s="134"/>
    </row>
    <row r="56" spans="3:12" x14ac:dyDescent="0.25">
      <c r="C56" s="109" t="str">
        <f t="shared" si="7"/>
        <v>*</v>
      </c>
      <c r="D56" s="108">
        <f t="shared" si="1"/>
        <v>2017</v>
      </c>
      <c r="F56" s="109" t="str">
        <f t="shared" si="3"/>
        <v>FT-HETBIOPLT*</v>
      </c>
      <c r="G56" s="109" t="s">
        <v>256</v>
      </c>
      <c r="H56" s="130">
        <f t="shared" si="8"/>
        <v>0</v>
      </c>
      <c r="J56" s="130">
        <f>J55</f>
        <v>0</v>
      </c>
      <c r="L56" s="134"/>
    </row>
    <row r="57" spans="3:12" x14ac:dyDescent="0.25">
      <c r="C57" s="109" t="str">
        <f t="shared" si="7"/>
        <v>FLO_TAX</v>
      </c>
      <c r="D57" s="108">
        <f t="shared" si="1"/>
        <v>2017</v>
      </c>
      <c r="F57" s="109" t="str">
        <f t="shared" si="3"/>
        <v>FT-TRAOILDSL*</v>
      </c>
      <c r="G57" s="109" t="str">
        <f>'Local_Prices-KZK'!F58</f>
        <v>TRAOILDSL</v>
      </c>
      <c r="H57" s="130">
        <f t="shared" si="8"/>
        <v>2.5</v>
      </c>
      <c r="J57" s="130">
        <f>'Local_Prices-TKM'!E58</f>
        <v>2.5</v>
      </c>
      <c r="K57" s="109" t="str">
        <f>'Local_Prices-KZK'!B58</f>
        <v>Diesel Cars</v>
      </c>
      <c r="L57" s="134" t="s">
        <v>124</v>
      </c>
    </row>
    <row r="58" spans="3:12" x14ac:dyDescent="0.25">
      <c r="C58" s="109" t="str">
        <f t="shared" si="7"/>
        <v>FLO_TAX</v>
      </c>
      <c r="D58" s="108">
        <f t="shared" si="1"/>
        <v>2017</v>
      </c>
      <c r="F58" s="109" t="s">
        <v>232</v>
      </c>
      <c r="G58" s="109" t="str">
        <f>'Local_Prices-KZK'!F59</f>
        <v>TRAOILDSL</v>
      </c>
      <c r="H58" s="130">
        <f t="shared" si="8"/>
        <v>2.5</v>
      </c>
      <c r="J58" s="130">
        <f>'Local_Prices-TKM'!E59</f>
        <v>2.5</v>
      </c>
      <c r="K58" s="109" t="str">
        <f>'Local_Prices-KZK'!B59</f>
        <v>Diesel Rail</v>
      </c>
      <c r="L58" s="134"/>
    </row>
    <row r="59" spans="3:12" x14ac:dyDescent="0.25">
      <c r="C59" s="109" t="str">
        <f t="shared" si="7"/>
        <v>FLO_TAX</v>
      </c>
      <c r="D59" s="108">
        <f t="shared" si="1"/>
        <v>2017</v>
      </c>
      <c r="F59" s="109" t="s">
        <v>233</v>
      </c>
      <c r="G59" s="109" t="str">
        <f>'Local_Prices-KZK'!F60</f>
        <v>TRAOILDSL</v>
      </c>
      <c r="H59" s="130">
        <f t="shared" si="8"/>
        <v>2.5</v>
      </c>
      <c r="J59" s="130">
        <f>'Local_Prices-TKM'!E60</f>
        <v>2.5</v>
      </c>
      <c r="K59" s="109" t="str">
        <f>'Local_Prices-KZK'!B60</f>
        <v>Diesel Navigation</v>
      </c>
      <c r="L59" s="134"/>
    </row>
    <row r="60" spans="3:12" x14ac:dyDescent="0.25">
      <c r="C60" s="109" t="str">
        <f t="shared" si="7"/>
        <v>FLO_TAX</v>
      </c>
      <c r="D60" s="108">
        <f t="shared" si="1"/>
        <v>2017</v>
      </c>
      <c r="F60" s="109" t="str">
        <f t="shared" ref="F60:F71" si="11">"FT-"&amp;G60&amp;"*"</f>
        <v>FT-TRAOILGSL*</v>
      </c>
      <c r="G60" s="109" t="str">
        <f>'Local_Prices-KZK'!F61</f>
        <v>TRAOILGSL</v>
      </c>
      <c r="H60" s="130">
        <f t="shared" ref="H60:H61" si="12">ABS(J60)</f>
        <v>8</v>
      </c>
      <c r="J60" s="130">
        <f>'Local_Prices-TKM'!E61</f>
        <v>8</v>
      </c>
      <c r="K60" s="109" t="str">
        <f>'Local_Prices-KZK'!B61</f>
        <v>Gasoline Cars</v>
      </c>
      <c r="L60" s="134"/>
    </row>
    <row r="61" spans="3:12" x14ac:dyDescent="0.25">
      <c r="C61" s="109" t="str">
        <f t="shared" si="7"/>
        <v>FLO_TAX</v>
      </c>
      <c r="D61" s="108">
        <f t="shared" si="1"/>
        <v>2017</v>
      </c>
      <c r="F61" s="109" t="str">
        <f t="shared" si="11"/>
        <v>FT-TRAOILLPG*</v>
      </c>
      <c r="G61" s="109" t="str">
        <f>'Local_Prices-KZK'!F62</f>
        <v>TRAOILLPG</v>
      </c>
      <c r="H61" s="130">
        <f t="shared" si="12"/>
        <v>8</v>
      </c>
      <c r="J61" s="130">
        <f>'Local_Prices-TKM'!E62</f>
        <v>8</v>
      </c>
      <c r="K61" s="109" t="str">
        <f>'Local_Prices-KZK'!B62</f>
        <v>LPG Cars</v>
      </c>
      <c r="L61" s="134"/>
    </row>
    <row r="62" spans="3:12" x14ac:dyDescent="0.25">
      <c r="C62" s="109" t="str">
        <f t="shared" si="7"/>
        <v>FLO_TAX</v>
      </c>
      <c r="D62" s="108">
        <f t="shared" si="1"/>
        <v>2017</v>
      </c>
      <c r="F62" s="109" t="str">
        <f t="shared" si="11"/>
        <v>FT-TRAGASNAT*</v>
      </c>
      <c r="G62" s="109" t="s">
        <v>248</v>
      </c>
      <c r="H62" s="130">
        <f t="shared" si="8"/>
        <v>1.5</v>
      </c>
      <c r="J62" s="130">
        <f>'Local_Prices-TKM'!E63</f>
        <v>1.5</v>
      </c>
      <c r="K62" s="109" t="str">
        <f>'Local_Prices-KZK'!B63</f>
        <v>CNG Cars</v>
      </c>
      <c r="L62" s="134"/>
    </row>
    <row r="63" spans="3:12" ht="12.75" customHeight="1" x14ac:dyDescent="0.25">
      <c r="C63" s="109" t="str">
        <f t="shared" si="7"/>
        <v>FLO_TAX</v>
      </c>
      <c r="D63" s="108">
        <f t="shared" si="1"/>
        <v>2017</v>
      </c>
      <c r="F63" s="109" t="str">
        <f t="shared" si="11"/>
        <v>FT-TRABIOBGS*</v>
      </c>
      <c r="G63" s="109" t="s">
        <v>249</v>
      </c>
      <c r="H63" s="130">
        <f t="shared" si="8"/>
        <v>1.5</v>
      </c>
      <c r="J63" s="130">
        <f>J62</f>
        <v>1.5</v>
      </c>
      <c r="L63" s="134"/>
    </row>
    <row r="64" spans="3:12" ht="12.75" customHeight="1" x14ac:dyDescent="0.25">
      <c r="C64" s="109" t="str">
        <f t="shared" si="7"/>
        <v>FLO_TAX</v>
      </c>
      <c r="D64" s="108">
        <f t="shared" si="1"/>
        <v>2017</v>
      </c>
      <c r="F64" s="109" t="str">
        <f t="shared" si="11"/>
        <v>FT-TRAOILKER*</v>
      </c>
      <c r="G64" s="109" t="s">
        <v>252</v>
      </c>
      <c r="H64" s="130">
        <f t="shared" si="8"/>
        <v>2.5</v>
      </c>
      <c r="J64" s="130">
        <f>'Local_Prices-TKM'!E64</f>
        <v>2.5</v>
      </c>
      <c r="K64" s="109" t="str">
        <f>'Local_Prices-KZK'!B64</f>
        <v>Kerosene</v>
      </c>
      <c r="L64" s="134"/>
    </row>
    <row r="65" spans="1:16" x14ac:dyDescent="0.25">
      <c r="C65" s="109" t="str">
        <f t="shared" si="7"/>
        <v>FLO_TAX</v>
      </c>
      <c r="D65" s="108">
        <f t="shared" si="1"/>
        <v>2017</v>
      </c>
      <c r="F65" s="109" t="str">
        <f t="shared" si="11"/>
        <v>FT-TRABIOKER*</v>
      </c>
      <c r="G65" s="109" t="s">
        <v>253</v>
      </c>
      <c r="H65" s="130">
        <f t="shared" si="8"/>
        <v>2</v>
      </c>
      <c r="J65" s="130">
        <f>J64*0.8</f>
        <v>2</v>
      </c>
      <c r="L65" s="134"/>
    </row>
    <row r="66" spans="1:16" x14ac:dyDescent="0.25">
      <c r="C66" s="109" t="str">
        <f t="shared" si="7"/>
        <v>FLO_TAX</v>
      </c>
      <c r="D66" s="108">
        <f t="shared" si="1"/>
        <v>2017</v>
      </c>
      <c r="F66" s="109" t="str">
        <f t="shared" si="11"/>
        <v>FT-TRAOILGSA*</v>
      </c>
      <c r="G66" s="109" t="s">
        <v>254</v>
      </c>
      <c r="H66" s="130">
        <f t="shared" si="8"/>
        <v>2.5</v>
      </c>
      <c r="J66" s="130">
        <f>'Local_Prices-TKM'!E66</f>
        <v>2.5</v>
      </c>
      <c r="L66" s="134"/>
    </row>
    <row r="67" spans="1:16" x14ac:dyDescent="0.25">
      <c r="C67" s="109" t="str">
        <f t="shared" si="7"/>
        <v>FLO_TAX</v>
      </c>
      <c r="D67" s="108">
        <f t="shared" si="1"/>
        <v>2017</v>
      </c>
      <c r="F67" s="109" t="str">
        <f t="shared" si="11"/>
        <v>FT-TRABIOE**</v>
      </c>
      <c r="G67" s="109" t="str">
        <f>'Local_Prices-KZK'!F65</f>
        <v>TRABIOE*</v>
      </c>
      <c r="H67" s="130">
        <f t="shared" si="8"/>
        <v>2.5</v>
      </c>
      <c r="J67" s="130">
        <f>'Local_Prices-TKM'!E65</f>
        <v>2.5</v>
      </c>
      <c r="L67" s="134"/>
    </row>
    <row r="68" spans="1:16" x14ac:dyDescent="0.25">
      <c r="C68" s="109" t="str">
        <f t="shared" si="7"/>
        <v>FLO_TAX</v>
      </c>
      <c r="D68" s="108">
        <f t="shared" si="1"/>
        <v>2017</v>
      </c>
      <c r="F68" s="109" t="str">
        <f t="shared" si="11"/>
        <v>FT-TRABIODSL**</v>
      </c>
      <c r="G68" s="109" t="s">
        <v>250</v>
      </c>
      <c r="H68" s="130">
        <f t="shared" si="8"/>
        <v>2.5</v>
      </c>
      <c r="J68" s="130">
        <f>'Local_Prices-TKM'!E66</f>
        <v>2.5</v>
      </c>
      <c r="L68" s="134"/>
    </row>
    <row r="69" spans="1:16" x14ac:dyDescent="0.25">
      <c r="C69" s="109" t="str">
        <f t="shared" ref="C69:C78" si="13">IF(J69=0,"*",IF(J69&lt;0,"FLO_SUB","FLO_TAX"))</f>
        <v>FLO_TAX</v>
      </c>
      <c r="D69" s="108">
        <f t="shared" si="1"/>
        <v>2017</v>
      </c>
      <c r="F69" s="109" t="str">
        <f t="shared" si="11"/>
        <v>FT-TRABIOB20*</v>
      </c>
      <c r="G69" s="109" t="s">
        <v>251</v>
      </c>
      <c r="H69" s="130">
        <f t="shared" ref="H69:H132" si="14">J69</f>
        <v>2.5</v>
      </c>
      <c r="J69" s="130">
        <f>J68</f>
        <v>2.5</v>
      </c>
      <c r="L69" s="134"/>
    </row>
    <row r="70" spans="1:16" x14ac:dyDescent="0.25">
      <c r="C70" s="109" t="str">
        <f t="shared" si="13"/>
        <v>*</v>
      </c>
      <c r="D70" s="108">
        <f t="shared" si="1"/>
        <v>2017</v>
      </c>
      <c r="E70" s="109" t="str">
        <f>'Local_Prices-KZK'!F67</f>
        <v>TRAELC</v>
      </c>
      <c r="F70" s="174" t="s">
        <v>234</v>
      </c>
      <c r="G70" s="109" t="str">
        <f t="shared" ref="G70" si="15">E70</f>
        <v>TRAELC</v>
      </c>
      <c r="H70" s="130">
        <f t="shared" si="14"/>
        <v>0</v>
      </c>
      <c r="J70" s="130">
        <f>'Local_Prices-TKM'!E67</f>
        <v>0</v>
      </c>
      <c r="K70" s="109" t="str">
        <f>'Local_Prices-KZK'!B67</f>
        <v>Electricity-Private</v>
      </c>
      <c r="L70" s="134"/>
    </row>
    <row r="71" spans="1:16" x14ac:dyDescent="0.25">
      <c r="C71" s="109" t="str">
        <f t="shared" si="13"/>
        <v>*</v>
      </c>
      <c r="D71" s="108">
        <f t="shared" si="1"/>
        <v>2017</v>
      </c>
      <c r="F71" s="109" t="str">
        <f t="shared" si="11"/>
        <v>FT-TRAELC*</v>
      </c>
      <c r="G71" s="109" t="str">
        <f>'Local_Prices-KZK'!F68</f>
        <v>TRAELC</v>
      </c>
      <c r="H71" s="130">
        <f t="shared" si="14"/>
        <v>0</v>
      </c>
      <c r="J71" s="130">
        <f>'Local_Prices-TKM'!E68</f>
        <v>0</v>
      </c>
      <c r="K71" s="109" t="str">
        <f>'Local_Prices-KZK'!B68</f>
        <v>Electricity-Rail</v>
      </c>
      <c r="L71" s="134"/>
    </row>
    <row r="72" spans="1:16" x14ac:dyDescent="0.25">
      <c r="C72" s="109" t="str">
        <f t="shared" si="13"/>
        <v>FLO_TAX</v>
      </c>
      <c r="D72" s="108">
        <f t="shared" si="1"/>
        <v>2017</v>
      </c>
      <c r="F72" s="109" t="str">
        <f>"FT-"&amp;LEFT(G72,5)&amp;"*"</f>
        <v>FT-TRAH2*</v>
      </c>
      <c r="G72" s="109" t="s">
        <v>273</v>
      </c>
      <c r="H72" s="130">
        <f t="shared" si="14"/>
        <v>1.5</v>
      </c>
      <c r="J72" s="130">
        <f>'Local_Prices-TKM'!E63</f>
        <v>1.5</v>
      </c>
      <c r="L72" s="134"/>
    </row>
    <row r="73" spans="1:16" x14ac:dyDescent="0.25">
      <c r="C73" s="109" t="str">
        <f t="shared" si="13"/>
        <v>FLO_SUB</v>
      </c>
      <c r="D73" s="108">
        <f t="shared" si="1"/>
        <v>2017</v>
      </c>
      <c r="F73" s="109" t="str">
        <f t="shared" ref="F73:F76" si="16">"FT-"&amp;G73&amp;"*"</f>
        <v>FT-AGRELC*</v>
      </c>
      <c r="G73" s="109" t="str">
        <f>'Local_Prices-KZK'!F69</f>
        <v>AGRELC</v>
      </c>
      <c r="H73" s="130">
        <f t="shared" si="14"/>
        <v>-3.3000000000000003</v>
      </c>
      <c r="J73" s="130">
        <f>'Local_Prices-TKM'!E69</f>
        <v>-3.3000000000000003</v>
      </c>
      <c r="K73" s="109" t="str">
        <f>'Local_Prices-KZK'!B69</f>
        <v>Electricity</v>
      </c>
      <c r="L73" s="134" t="s">
        <v>237</v>
      </c>
    </row>
    <row r="74" spans="1:16" x14ac:dyDescent="0.25">
      <c r="C74" s="109" t="str">
        <f t="shared" si="13"/>
        <v>FLO_TAX</v>
      </c>
      <c r="D74" s="108">
        <f t="shared" si="1"/>
        <v>2017</v>
      </c>
      <c r="F74" s="109" t="str">
        <f t="shared" si="16"/>
        <v>FT-AGROILDSL*</v>
      </c>
      <c r="G74" s="109" t="str">
        <f>'Local_Prices-KZK'!F70</f>
        <v>AGROILDSL</v>
      </c>
      <c r="H74" s="130">
        <f t="shared" si="14"/>
        <v>2.5</v>
      </c>
      <c r="J74" s="130">
        <f>'Local_Prices-TKM'!E70</f>
        <v>2.5</v>
      </c>
      <c r="K74" s="109" t="str">
        <f>'Local_Prices-KZK'!B70</f>
        <v>Diesel</v>
      </c>
      <c r="L74" s="117"/>
    </row>
    <row r="75" spans="1:16" x14ac:dyDescent="0.25">
      <c r="C75" s="109" t="str">
        <f t="shared" si="13"/>
        <v>*</v>
      </c>
      <c r="D75" s="108">
        <f t="shared" si="1"/>
        <v>2017</v>
      </c>
      <c r="F75" s="109" t="str">
        <f t="shared" si="16"/>
        <v>FT-AGRGASNAT*</v>
      </c>
      <c r="G75" s="109" t="str">
        <f>'Local_Prices-KZK'!F71</f>
        <v>AGRGASNAT</v>
      </c>
      <c r="H75" s="130">
        <f t="shared" si="14"/>
        <v>0</v>
      </c>
      <c r="J75" s="130">
        <f>'Local_Prices-TKM'!E71</f>
        <v>0</v>
      </c>
      <c r="K75" s="109" t="str">
        <f>'Local_Prices-KZK'!B71</f>
        <v>Natural Gas</v>
      </c>
      <c r="L75" s="117"/>
    </row>
    <row r="76" spans="1:16" x14ac:dyDescent="0.25">
      <c r="A76" s="169"/>
      <c r="B76" s="169"/>
      <c r="C76" s="109" t="str">
        <f t="shared" si="13"/>
        <v>*</v>
      </c>
      <c r="D76" s="151">
        <f t="shared" ref="D76" si="17">BASE_YEAR</f>
        <v>2017</v>
      </c>
      <c r="E76" s="169"/>
      <c r="F76" s="169" t="str">
        <f t="shared" si="16"/>
        <v>FT-AGRCOABIC*</v>
      </c>
      <c r="G76" s="169" t="str">
        <f>'Local_Prices-KZK'!F72</f>
        <v>AGRCOABIC</v>
      </c>
      <c r="H76" s="175">
        <f t="shared" si="14"/>
        <v>0</v>
      </c>
      <c r="I76" s="169"/>
      <c r="J76" s="175">
        <f>'Local_Prices-TKM'!E72</f>
        <v>0</v>
      </c>
      <c r="K76" s="169" t="str">
        <f>'Local_Prices-KZK'!B72</f>
        <v>Other bituminous</v>
      </c>
      <c r="L76" s="169"/>
      <c r="M76" s="169"/>
      <c r="N76" s="169"/>
      <c r="O76" s="169"/>
      <c r="P76" s="169"/>
    </row>
    <row r="77" spans="1:16" x14ac:dyDescent="0.25">
      <c r="C77" s="109" t="str">
        <f t="shared" si="13"/>
        <v>*</v>
      </c>
      <c r="D77" s="108">
        <f t="shared" ref="D77:D108" si="18">END_YEAR</f>
        <v>2050</v>
      </c>
      <c r="F77" s="109" t="str">
        <f t="shared" ref="F77:G92" si="19">F5</f>
        <v>FT-RSDOILDSL*</v>
      </c>
      <c r="G77" s="109" t="str">
        <f t="shared" si="19"/>
        <v>RSDOILDSL</v>
      </c>
      <c r="H77" s="130">
        <f t="shared" si="14"/>
        <v>0</v>
      </c>
      <c r="J77" s="176">
        <f>ABS(J5*O77)</f>
        <v>0</v>
      </c>
      <c r="K77" s="109" t="str">
        <f t="shared" ref="K77:K92" si="20">K5</f>
        <v>Diesel</v>
      </c>
      <c r="O77" s="109">
        <v>2</v>
      </c>
      <c r="P77" s="109" t="s">
        <v>343</v>
      </c>
    </row>
    <row r="78" spans="1:16" x14ac:dyDescent="0.25">
      <c r="C78" s="109" t="str">
        <f t="shared" si="13"/>
        <v>*</v>
      </c>
      <c r="D78" s="108">
        <f t="shared" si="18"/>
        <v>2050</v>
      </c>
      <c r="F78" s="109" t="str">
        <f t="shared" si="19"/>
        <v>FT-RSDOILLPG*</v>
      </c>
      <c r="G78" s="109" t="str">
        <f t="shared" si="19"/>
        <v>RSDOILLPG</v>
      </c>
      <c r="H78" s="130">
        <f t="shared" si="14"/>
        <v>0</v>
      </c>
      <c r="J78" s="176">
        <f t="shared" ref="J78:J141" si="21">ABS(J6*O78)</f>
        <v>0</v>
      </c>
      <c r="K78" s="109" t="str">
        <f t="shared" si="20"/>
        <v>LPG</v>
      </c>
      <c r="O78" s="109">
        <v>2</v>
      </c>
    </row>
    <row r="79" spans="1:16" x14ac:dyDescent="0.25">
      <c r="C79" s="109" t="s">
        <v>355</v>
      </c>
      <c r="D79" s="108">
        <f t="shared" si="18"/>
        <v>2050</v>
      </c>
      <c r="F79" s="109" t="str">
        <f t="shared" si="19"/>
        <v>FT-RSDGASNAT*</v>
      </c>
      <c r="G79" s="109" t="str">
        <f t="shared" si="19"/>
        <v>RSDGASNAT</v>
      </c>
      <c r="H79" s="130">
        <f t="shared" si="14"/>
        <v>4.2</v>
      </c>
      <c r="J79" s="176">
        <f t="shared" si="21"/>
        <v>4.2</v>
      </c>
      <c r="K79" s="109" t="str">
        <f t="shared" si="20"/>
        <v>Natural Gas</v>
      </c>
      <c r="O79" s="109">
        <v>2</v>
      </c>
    </row>
    <row r="80" spans="1:16" x14ac:dyDescent="0.25">
      <c r="C80" s="109" t="str">
        <f>IF(J80=0,"*",IF(J80&lt;0,"FLO_SUB","FLO_TAX"))</f>
        <v>*</v>
      </c>
      <c r="D80" s="108">
        <f t="shared" si="18"/>
        <v>2050</v>
      </c>
      <c r="F80" s="109" t="str">
        <f t="shared" si="19"/>
        <v>FT-RSDCOABIC*</v>
      </c>
      <c r="G80" s="109" t="str">
        <f t="shared" si="19"/>
        <v>RSDCOABIC</v>
      </c>
      <c r="H80" s="130">
        <f t="shared" si="14"/>
        <v>0</v>
      </c>
      <c r="J80" s="176">
        <f t="shared" si="21"/>
        <v>0</v>
      </c>
      <c r="K80" s="109" t="str">
        <f t="shared" si="20"/>
        <v>Coal</v>
      </c>
      <c r="O80" s="109">
        <v>2</v>
      </c>
    </row>
    <row r="81" spans="3:15" x14ac:dyDescent="0.25">
      <c r="C81" s="109" t="str">
        <f>IF(J81=0,"*",IF(J81&lt;0,"FLO_SUB","FLO_TAX"))</f>
        <v>*</v>
      </c>
      <c r="D81" s="108">
        <f t="shared" si="18"/>
        <v>2050</v>
      </c>
      <c r="F81" s="109" t="str">
        <f t="shared" si="19"/>
        <v>FT-RSDCOABCO*</v>
      </c>
      <c r="G81" s="109" t="str">
        <f t="shared" si="19"/>
        <v>RSDCOABCO</v>
      </c>
      <c r="H81" s="130">
        <f t="shared" si="14"/>
        <v>0</v>
      </c>
      <c r="J81" s="176">
        <f t="shared" si="21"/>
        <v>0</v>
      </c>
      <c r="K81" s="109" t="str">
        <f t="shared" si="20"/>
        <v>Lignite</v>
      </c>
      <c r="O81" s="109">
        <v>2</v>
      </c>
    </row>
    <row r="82" spans="3:15" x14ac:dyDescent="0.25">
      <c r="C82" s="109" t="str">
        <f>IF(J82=0,"*",IF(J82&lt;0,"FLO_SUB","FLO_TAX"))</f>
        <v>*</v>
      </c>
      <c r="D82" s="108">
        <f t="shared" si="18"/>
        <v>2050</v>
      </c>
      <c r="F82" s="109" t="str">
        <f t="shared" si="19"/>
        <v>FT-RSDBIOCHR*</v>
      </c>
      <c r="G82" s="109" t="str">
        <f t="shared" si="19"/>
        <v>RSDBIOCHR</v>
      </c>
      <c r="H82" s="130">
        <v>0</v>
      </c>
      <c r="J82" s="176">
        <f t="shared" si="21"/>
        <v>0</v>
      </c>
      <c r="K82" s="109" t="str">
        <f t="shared" si="20"/>
        <v>CHR</v>
      </c>
      <c r="O82" s="109">
        <v>2</v>
      </c>
    </row>
    <row r="83" spans="3:15" x14ac:dyDescent="0.25">
      <c r="C83" s="109" t="str">
        <f>IF(J83=0,"*",IF(J83&lt;0,"FLO_SUB","FLO_TAX"))</f>
        <v>*</v>
      </c>
      <c r="D83" s="108">
        <f t="shared" si="18"/>
        <v>2050</v>
      </c>
      <c r="F83" s="109" t="str">
        <f t="shared" si="19"/>
        <v>FT-RSDBIOLOG*</v>
      </c>
      <c r="G83" s="109" t="str">
        <f t="shared" si="19"/>
        <v>RSDBIOLOG</v>
      </c>
      <c r="H83" s="130">
        <f t="shared" si="14"/>
        <v>0</v>
      </c>
      <c r="J83" s="176">
        <f t="shared" si="21"/>
        <v>0</v>
      </c>
      <c r="K83" s="109" t="str">
        <f t="shared" si="20"/>
        <v>Solid Biomass</v>
      </c>
      <c r="O83" s="109">
        <v>2</v>
      </c>
    </row>
    <row r="84" spans="3:15" x14ac:dyDescent="0.25">
      <c r="C84" s="109" t="str">
        <f>IF(J84=0,"*",IF(J84&lt;0,"FLO_SUB","FLO_TAX"))</f>
        <v>*</v>
      </c>
      <c r="D84" s="108">
        <f t="shared" si="18"/>
        <v>2050</v>
      </c>
      <c r="F84" s="109" t="str">
        <f t="shared" si="19"/>
        <v>FT-RSDBIOPLT*</v>
      </c>
      <c r="G84" s="109" t="str">
        <f t="shared" si="19"/>
        <v>RSDBIOPLT</v>
      </c>
      <c r="H84" s="130">
        <f t="shared" si="14"/>
        <v>0</v>
      </c>
      <c r="J84" s="176">
        <f t="shared" si="21"/>
        <v>0</v>
      </c>
      <c r="K84" s="109" t="str">
        <f t="shared" si="20"/>
        <v>Pellets</v>
      </c>
      <c r="O84" s="109">
        <v>2</v>
      </c>
    </row>
    <row r="85" spans="3:15" x14ac:dyDescent="0.25">
      <c r="C85" s="109" t="s">
        <v>355</v>
      </c>
      <c r="D85" s="108">
        <f t="shared" si="18"/>
        <v>2050</v>
      </c>
      <c r="F85" s="109" t="str">
        <f t="shared" si="19"/>
        <v>FT-RSDLTH*</v>
      </c>
      <c r="G85" s="109" t="str">
        <f t="shared" si="19"/>
        <v>RSDLTH</v>
      </c>
      <c r="H85" s="130">
        <f t="shared" si="14"/>
        <v>3.8</v>
      </c>
      <c r="J85" s="176">
        <f t="shared" si="21"/>
        <v>3.8</v>
      </c>
      <c r="K85" s="109" t="str">
        <f t="shared" si="20"/>
        <v>Heat</v>
      </c>
      <c r="O85" s="109">
        <v>2</v>
      </c>
    </row>
    <row r="86" spans="3:15" x14ac:dyDescent="0.25">
      <c r="C86" s="109" t="s">
        <v>355</v>
      </c>
      <c r="D86" s="108">
        <f t="shared" si="18"/>
        <v>2050</v>
      </c>
      <c r="F86" s="109" t="str">
        <f t="shared" si="19"/>
        <v>FT-RSDELC*</v>
      </c>
      <c r="G86" s="109" t="str">
        <f t="shared" si="19"/>
        <v>RSDELC</v>
      </c>
      <c r="H86" s="130">
        <f t="shared" si="14"/>
        <v>23</v>
      </c>
      <c r="J86" s="176">
        <f t="shared" si="21"/>
        <v>23</v>
      </c>
      <c r="K86" s="109" t="str">
        <f t="shared" si="20"/>
        <v>Electricity</v>
      </c>
      <c r="O86" s="109">
        <v>2</v>
      </c>
    </row>
    <row r="87" spans="3:15" x14ac:dyDescent="0.25">
      <c r="C87" s="109" t="str">
        <f>IF(J87=0,"*",IF(J87&lt;0,"FLO_SUB","FLO_TAX"))</f>
        <v>*</v>
      </c>
      <c r="D87" s="108">
        <f t="shared" si="18"/>
        <v>2050</v>
      </c>
      <c r="F87" s="109" t="str">
        <f t="shared" si="19"/>
        <v>FT-TEROILDSL*</v>
      </c>
      <c r="G87" s="109" t="str">
        <f t="shared" si="19"/>
        <v>TEROILDSL</v>
      </c>
      <c r="H87" s="130">
        <f t="shared" si="14"/>
        <v>0</v>
      </c>
      <c r="J87" s="176">
        <f t="shared" si="21"/>
        <v>0</v>
      </c>
      <c r="K87" s="109" t="str">
        <f t="shared" si="20"/>
        <v>Diesel</v>
      </c>
      <c r="O87" s="109">
        <v>2</v>
      </c>
    </row>
    <row r="88" spans="3:15" x14ac:dyDescent="0.25">
      <c r="C88" s="109" t="str">
        <f>IF(J88=0,"*",IF(J88&lt;0,"FLO_SUB","FLO_TAX"))</f>
        <v>*</v>
      </c>
      <c r="D88" s="108">
        <f t="shared" si="18"/>
        <v>2050</v>
      </c>
      <c r="F88" s="109" t="str">
        <f t="shared" si="19"/>
        <v>FT-TEROILHFO*</v>
      </c>
      <c r="G88" s="109" t="str">
        <f t="shared" si="19"/>
        <v>TEROILHFO</v>
      </c>
      <c r="H88" s="130">
        <f t="shared" si="14"/>
        <v>0</v>
      </c>
      <c r="J88" s="176">
        <f t="shared" si="21"/>
        <v>0</v>
      </c>
      <c r="K88" s="109" t="str">
        <f t="shared" si="20"/>
        <v>HFO</v>
      </c>
      <c r="O88" s="109">
        <v>2</v>
      </c>
    </row>
    <row r="89" spans="3:15" x14ac:dyDescent="0.25">
      <c r="C89" s="109" t="str">
        <f>IF(J89=0,"*",IF(J89&lt;0,"FLO_SUB","FLO_TAX"))</f>
        <v>*</v>
      </c>
      <c r="D89" s="108">
        <f t="shared" si="18"/>
        <v>2050</v>
      </c>
      <c r="F89" s="109" t="str">
        <f t="shared" si="19"/>
        <v>FT-TEROILLPG*</v>
      </c>
      <c r="G89" s="109" t="str">
        <f t="shared" si="19"/>
        <v>TEROILLPG</v>
      </c>
      <c r="H89" s="130">
        <f t="shared" si="14"/>
        <v>0</v>
      </c>
      <c r="J89" s="176">
        <f t="shared" si="21"/>
        <v>0</v>
      </c>
      <c r="K89" s="109" t="str">
        <f t="shared" si="20"/>
        <v>LPG</v>
      </c>
      <c r="O89" s="109">
        <v>2</v>
      </c>
    </row>
    <row r="90" spans="3:15" x14ac:dyDescent="0.25">
      <c r="C90" s="109" t="s">
        <v>355</v>
      </c>
      <c r="D90" s="108">
        <f t="shared" si="18"/>
        <v>2050</v>
      </c>
      <c r="F90" s="109" t="str">
        <f t="shared" si="19"/>
        <v>FT-TERGASNAT*</v>
      </c>
      <c r="G90" s="109" t="str">
        <f t="shared" si="19"/>
        <v>TERGASNAT</v>
      </c>
      <c r="H90" s="130">
        <f t="shared" si="14"/>
        <v>2.1</v>
      </c>
      <c r="J90" s="176">
        <f t="shared" si="21"/>
        <v>2.1</v>
      </c>
      <c r="K90" s="109" t="str">
        <f t="shared" si="20"/>
        <v>Natural Gas</v>
      </c>
      <c r="O90" s="109">
        <v>2</v>
      </c>
    </row>
    <row r="91" spans="3:15" x14ac:dyDescent="0.25">
      <c r="C91" s="109" t="str">
        <f t="shared" ref="C91:C96" si="22">IF(J91=0,"*",IF(J91&lt;0,"FLO_SUB","FLO_TAX"))</f>
        <v>*</v>
      </c>
      <c r="D91" s="108">
        <f t="shared" si="18"/>
        <v>2050</v>
      </c>
      <c r="F91" s="109" t="str">
        <f t="shared" si="19"/>
        <v>FT-TERCOABIC*</v>
      </c>
      <c r="G91" s="109" t="str">
        <f t="shared" si="19"/>
        <v>TERCOABIC</v>
      </c>
      <c r="H91" s="130">
        <f t="shared" si="14"/>
        <v>0</v>
      </c>
      <c r="J91" s="176">
        <f t="shared" si="21"/>
        <v>0</v>
      </c>
      <c r="K91" s="109" t="str">
        <f t="shared" si="20"/>
        <v>Coal</v>
      </c>
      <c r="O91" s="109">
        <v>2</v>
      </c>
    </row>
    <row r="92" spans="3:15" x14ac:dyDescent="0.25">
      <c r="C92" s="109" t="str">
        <f t="shared" si="22"/>
        <v>*</v>
      </c>
      <c r="D92" s="108">
        <f t="shared" si="18"/>
        <v>2050</v>
      </c>
      <c r="F92" s="109" t="str">
        <f t="shared" si="19"/>
        <v>FT-TERCOABCO*</v>
      </c>
      <c r="G92" s="109" t="str">
        <f t="shared" si="19"/>
        <v>TERCOABCO</v>
      </c>
      <c r="H92" s="130">
        <f t="shared" si="14"/>
        <v>0</v>
      </c>
      <c r="J92" s="176">
        <f t="shared" si="21"/>
        <v>0</v>
      </c>
      <c r="K92" s="109" t="str">
        <f t="shared" si="20"/>
        <v>Lignite</v>
      </c>
      <c r="O92" s="109">
        <v>2</v>
      </c>
    </row>
    <row r="93" spans="3:15" x14ac:dyDescent="0.25">
      <c r="C93" s="109" t="str">
        <f t="shared" si="22"/>
        <v>*</v>
      </c>
      <c r="D93" s="108">
        <f t="shared" si="18"/>
        <v>2050</v>
      </c>
      <c r="F93" s="109" t="str">
        <f t="shared" ref="F93:G108" si="23">F21</f>
        <v>FT-TERBIOCHR*</v>
      </c>
      <c r="G93" s="109" t="str">
        <f t="shared" si="23"/>
        <v>TERBIOCHR</v>
      </c>
      <c r="H93" s="130">
        <f t="shared" si="14"/>
        <v>0</v>
      </c>
      <c r="J93" s="176">
        <f t="shared" si="21"/>
        <v>0</v>
      </c>
      <c r="K93" s="109" t="str">
        <f t="shared" ref="K93:K95" si="24">K21</f>
        <v>CHR</v>
      </c>
      <c r="O93" s="109">
        <v>2</v>
      </c>
    </row>
    <row r="94" spans="3:15" x14ac:dyDescent="0.25">
      <c r="C94" s="109" t="str">
        <f t="shared" si="22"/>
        <v>*</v>
      </c>
      <c r="D94" s="108">
        <f t="shared" si="18"/>
        <v>2050</v>
      </c>
      <c r="F94" s="109" t="str">
        <f t="shared" si="23"/>
        <v>FT-TERBIOLOG*</v>
      </c>
      <c r="G94" s="109" t="str">
        <f t="shared" si="23"/>
        <v>TERBIOLOG</v>
      </c>
      <c r="H94" s="130">
        <f t="shared" si="14"/>
        <v>0</v>
      </c>
      <c r="J94" s="176">
        <f t="shared" si="21"/>
        <v>0</v>
      </c>
      <c r="K94" s="109" t="str">
        <f t="shared" si="24"/>
        <v>Solid Biomass</v>
      </c>
      <c r="O94" s="109">
        <v>2</v>
      </c>
    </row>
    <row r="95" spans="3:15" x14ac:dyDescent="0.25">
      <c r="C95" s="109" t="str">
        <f t="shared" si="22"/>
        <v>*</v>
      </c>
      <c r="D95" s="108">
        <f t="shared" si="18"/>
        <v>2050</v>
      </c>
      <c r="F95" s="109" t="str">
        <f t="shared" si="23"/>
        <v>FT-TERBIOPLT*</v>
      </c>
      <c r="G95" s="109" t="str">
        <f t="shared" si="23"/>
        <v>TERBIOPLT</v>
      </c>
      <c r="H95" s="130">
        <f t="shared" si="14"/>
        <v>0</v>
      </c>
      <c r="J95" s="176">
        <f t="shared" si="21"/>
        <v>0</v>
      </c>
      <c r="K95" s="109" t="str">
        <f t="shared" si="24"/>
        <v>Pellets</v>
      </c>
      <c r="O95" s="109">
        <v>2</v>
      </c>
    </row>
    <row r="96" spans="3:15" x14ac:dyDescent="0.25">
      <c r="C96" s="109" t="str">
        <f t="shared" si="22"/>
        <v>*</v>
      </c>
      <c r="D96" s="108">
        <f t="shared" si="18"/>
        <v>2050</v>
      </c>
      <c r="F96" s="109" t="str">
        <f t="shared" si="23"/>
        <v>FT-0*</v>
      </c>
      <c r="G96" s="109">
        <f t="shared" si="23"/>
        <v>0</v>
      </c>
      <c r="H96" s="130">
        <f t="shared" si="14"/>
        <v>0</v>
      </c>
      <c r="J96" s="176">
        <f t="shared" si="21"/>
        <v>0</v>
      </c>
      <c r="O96" s="109">
        <v>2</v>
      </c>
    </row>
    <row r="97" spans="3:15" x14ac:dyDescent="0.25">
      <c r="C97" s="109" t="s">
        <v>355</v>
      </c>
      <c r="D97" s="108">
        <f t="shared" si="18"/>
        <v>2050</v>
      </c>
      <c r="F97" s="109" t="str">
        <f t="shared" si="23"/>
        <v>FT-TERLTH*</v>
      </c>
      <c r="G97" s="109" t="str">
        <f t="shared" si="23"/>
        <v>TERLTH</v>
      </c>
      <c r="H97" s="130">
        <f t="shared" si="14"/>
        <v>1.9</v>
      </c>
      <c r="J97" s="176">
        <f t="shared" si="21"/>
        <v>1.9</v>
      </c>
      <c r="K97" s="109" t="str">
        <f t="shared" ref="K97:K100" si="25">K25</f>
        <v>Heat</v>
      </c>
      <c r="O97" s="109">
        <v>2</v>
      </c>
    </row>
    <row r="98" spans="3:15" x14ac:dyDescent="0.25">
      <c r="C98" s="109" t="s">
        <v>355</v>
      </c>
      <c r="D98" s="108">
        <f t="shared" si="18"/>
        <v>2050</v>
      </c>
      <c r="F98" s="109" t="str">
        <f t="shared" si="23"/>
        <v>FT-TERELC*</v>
      </c>
      <c r="G98" s="109" t="str">
        <f t="shared" si="23"/>
        <v>TERELC</v>
      </c>
      <c r="H98" s="130">
        <f t="shared" si="14"/>
        <v>11.5</v>
      </c>
      <c r="J98" s="176">
        <f t="shared" si="21"/>
        <v>11.5</v>
      </c>
      <c r="K98" s="109" t="str">
        <f t="shared" si="25"/>
        <v>Electricity</v>
      </c>
      <c r="O98" s="109">
        <v>2</v>
      </c>
    </row>
    <row r="99" spans="3:15" x14ac:dyDescent="0.25">
      <c r="C99" s="109" t="str">
        <f t="shared" ref="C99:C130" si="26">IF(J99=0,"*",IF(J99&lt;0,"FLO_SUB","FLO_TAX"))</f>
        <v>*</v>
      </c>
      <c r="D99" s="108">
        <f t="shared" si="18"/>
        <v>2050</v>
      </c>
      <c r="F99" s="109" t="str">
        <f t="shared" si="23"/>
        <v>FT-INDOILDSL*</v>
      </c>
      <c r="G99" s="109" t="str">
        <f t="shared" si="23"/>
        <v>INDOILDSL</v>
      </c>
      <c r="H99" s="130">
        <f t="shared" si="14"/>
        <v>0</v>
      </c>
      <c r="J99" s="176">
        <f t="shared" si="21"/>
        <v>0</v>
      </c>
      <c r="K99" s="109" t="str">
        <f t="shared" si="25"/>
        <v>Diesel</v>
      </c>
      <c r="O99" s="109">
        <v>2</v>
      </c>
    </row>
    <row r="100" spans="3:15" x14ac:dyDescent="0.25">
      <c r="C100" s="109" t="str">
        <f t="shared" si="26"/>
        <v>*</v>
      </c>
      <c r="D100" s="108">
        <f t="shared" si="18"/>
        <v>2050</v>
      </c>
      <c r="F100" s="109" t="str">
        <f t="shared" si="23"/>
        <v>FT-INDOILHFO*</v>
      </c>
      <c r="G100" s="109" t="str">
        <f t="shared" si="23"/>
        <v>INDOILHFO</v>
      </c>
      <c r="H100" s="130">
        <f t="shared" si="14"/>
        <v>0</v>
      </c>
      <c r="J100" s="176">
        <f t="shared" si="21"/>
        <v>0</v>
      </c>
      <c r="K100" s="109" t="str">
        <f t="shared" si="25"/>
        <v>Fuel Oil</v>
      </c>
      <c r="O100" s="109">
        <v>2</v>
      </c>
    </row>
    <row r="101" spans="3:15" x14ac:dyDescent="0.25">
      <c r="C101" s="109" t="str">
        <f t="shared" si="26"/>
        <v>*</v>
      </c>
      <c r="D101" s="108">
        <f t="shared" si="18"/>
        <v>2050</v>
      </c>
      <c r="F101" s="109" t="str">
        <f t="shared" si="23"/>
        <v>FT-INDOILOTH*</v>
      </c>
      <c r="G101" s="109" t="str">
        <f t="shared" si="23"/>
        <v>INDOILOTH</v>
      </c>
      <c r="H101" s="130">
        <f t="shared" si="14"/>
        <v>0</v>
      </c>
      <c r="J101" s="176">
        <f t="shared" si="21"/>
        <v>0</v>
      </c>
      <c r="O101" s="109">
        <v>2</v>
      </c>
    </row>
    <row r="102" spans="3:15" x14ac:dyDescent="0.25">
      <c r="C102" s="109" t="str">
        <f t="shared" si="26"/>
        <v>*</v>
      </c>
      <c r="D102" s="108">
        <f t="shared" si="18"/>
        <v>2050</v>
      </c>
      <c r="F102" s="109" t="str">
        <f t="shared" si="23"/>
        <v>FT-INDOILLPG*</v>
      </c>
      <c r="G102" s="109" t="str">
        <f t="shared" si="23"/>
        <v>INDOILLPG</v>
      </c>
      <c r="H102" s="130">
        <f t="shared" si="14"/>
        <v>0</v>
      </c>
      <c r="J102" s="176">
        <f t="shared" si="21"/>
        <v>0</v>
      </c>
      <c r="K102" s="109" t="str">
        <f t="shared" ref="K102:K110" si="27">K30</f>
        <v>LPG</v>
      </c>
      <c r="O102" s="109">
        <v>2</v>
      </c>
    </row>
    <row r="103" spans="3:15" x14ac:dyDescent="0.25">
      <c r="C103" s="109" t="str">
        <f t="shared" si="26"/>
        <v>*</v>
      </c>
      <c r="D103" s="108">
        <f t="shared" si="18"/>
        <v>2050</v>
      </c>
      <c r="F103" s="109" t="str">
        <f t="shared" si="23"/>
        <v>FT-INDOILGSL*</v>
      </c>
      <c r="G103" s="109" t="str">
        <f t="shared" si="23"/>
        <v>INDOILGSL</v>
      </c>
      <c r="H103" s="130">
        <f t="shared" si="14"/>
        <v>0</v>
      </c>
      <c r="J103" s="176">
        <f t="shared" si="21"/>
        <v>0</v>
      </c>
      <c r="K103" s="109" t="str">
        <f t="shared" si="27"/>
        <v>Gasoline</v>
      </c>
      <c r="O103" s="109">
        <v>2</v>
      </c>
    </row>
    <row r="104" spans="3:15" x14ac:dyDescent="0.25">
      <c r="C104" s="109" t="str">
        <f t="shared" si="26"/>
        <v>*</v>
      </c>
      <c r="D104" s="108">
        <f t="shared" si="18"/>
        <v>2050</v>
      </c>
      <c r="F104" s="109" t="str">
        <f t="shared" si="23"/>
        <v>FT-INDGASNAT*</v>
      </c>
      <c r="G104" s="109" t="str">
        <f t="shared" si="23"/>
        <v>INDGASNAT</v>
      </c>
      <c r="H104" s="130">
        <f t="shared" si="14"/>
        <v>0</v>
      </c>
      <c r="J104" s="176">
        <f t="shared" si="21"/>
        <v>0</v>
      </c>
      <c r="K104" s="109" t="str">
        <f t="shared" si="27"/>
        <v>Natural Gas</v>
      </c>
      <c r="O104" s="109">
        <v>2</v>
      </c>
    </row>
    <row r="105" spans="3:15" x14ac:dyDescent="0.25">
      <c r="C105" s="109" t="str">
        <f t="shared" si="26"/>
        <v>*</v>
      </c>
      <c r="D105" s="108">
        <f t="shared" si="18"/>
        <v>2050</v>
      </c>
      <c r="F105" s="109" t="str">
        <f t="shared" si="23"/>
        <v>FT-INDCOASUB*</v>
      </c>
      <c r="G105" s="109" t="str">
        <f t="shared" si="23"/>
        <v>INDCOASUB</v>
      </c>
      <c r="H105" s="130">
        <f t="shared" si="14"/>
        <v>0</v>
      </c>
      <c r="J105" s="176">
        <f t="shared" si="21"/>
        <v>0</v>
      </c>
      <c r="K105" s="109" t="str">
        <f t="shared" si="27"/>
        <v>Coal</v>
      </c>
      <c r="O105" s="109">
        <v>2</v>
      </c>
    </row>
    <row r="106" spans="3:15" x14ac:dyDescent="0.25">
      <c r="C106" s="109" t="str">
        <f t="shared" si="26"/>
        <v>*</v>
      </c>
      <c r="D106" s="108">
        <f t="shared" si="18"/>
        <v>2050</v>
      </c>
      <c r="F106" s="109" t="str">
        <f t="shared" si="23"/>
        <v>FT-INDCOABCO*</v>
      </c>
      <c r="G106" s="109" t="str">
        <f t="shared" si="23"/>
        <v>INDCOABCO</v>
      </c>
      <c r="H106" s="130">
        <f t="shared" si="14"/>
        <v>0</v>
      </c>
      <c r="J106" s="176">
        <f t="shared" si="21"/>
        <v>0</v>
      </c>
      <c r="K106" s="109" t="str">
        <f t="shared" si="27"/>
        <v>Lignite</v>
      </c>
      <c r="O106" s="109">
        <v>2</v>
      </c>
    </row>
    <row r="107" spans="3:15" x14ac:dyDescent="0.25">
      <c r="C107" s="109" t="str">
        <f t="shared" si="26"/>
        <v>*</v>
      </c>
      <c r="D107" s="108">
        <f t="shared" si="18"/>
        <v>2050</v>
      </c>
      <c r="F107" s="109" t="str">
        <f t="shared" si="23"/>
        <v>FT-INDCOABIC*</v>
      </c>
      <c r="G107" s="109" t="str">
        <f t="shared" si="23"/>
        <v>INDCOABIC</v>
      </c>
      <c r="H107" s="130">
        <f t="shared" si="14"/>
        <v>0</v>
      </c>
      <c r="J107" s="176">
        <f t="shared" si="21"/>
        <v>0</v>
      </c>
      <c r="K107" s="109" t="str">
        <f t="shared" si="27"/>
        <v>Other bituminous</v>
      </c>
      <c r="O107" s="109">
        <v>2</v>
      </c>
    </row>
    <row r="108" spans="3:15" x14ac:dyDescent="0.25">
      <c r="C108" s="109" t="str">
        <f t="shared" si="26"/>
        <v>*</v>
      </c>
      <c r="D108" s="108">
        <f t="shared" si="18"/>
        <v>2050</v>
      </c>
      <c r="F108" s="109" t="str">
        <f t="shared" si="23"/>
        <v>FT-INDCOACOK*</v>
      </c>
      <c r="G108" s="109" t="str">
        <f t="shared" si="23"/>
        <v>INDCOACOK</v>
      </c>
      <c r="H108" s="130">
        <f t="shared" si="14"/>
        <v>0</v>
      </c>
      <c r="J108" s="176">
        <f t="shared" si="21"/>
        <v>0</v>
      </c>
      <c r="K108" s="109" t="str">
        <f t="shared" si="27"/>
        <v>Coke</v>
      </c>
      <c r="O108" s="109">
        <v>2</v>
      </c>
    </row>
    <row r="109" spans="3:15" x14ac:dyDescent="0.25">
      <c r="C109" s="109" t="str">
        <f t="shared" si="26"/>
        <v>*</v>
      </c>
      <c r="D109" s="108">
        <f t="shared" ref="D109:D140" si="28">END_YEAR</f>
        <v>2050</v>
      </c>
      <c r="F109" s="109" t="str">
        <f t="shared" ref="F109:G124" si="29">F37</f>
        <v>FT-INDCOABKB*</v>
      </c>
      <c r="G109" s="109" t="str">
        <f t="shared" si="29"/>
        <v>INDCOABKB</v>
      </c>
      <c r="H109" s="130">
        <f t="shared" si="14"/>
        <v>0</v>
      </c>
      <c r="J109" s="176">
        <f t="shared" si="21"/>
        <v>0</v>
      </c>
      <c r="K109" s="109" t="str">
        <f t="shared" si="27"/>
        <v>BKB</v>
      </c>
      <c r="O109" s="109">
        <v>2</v>
      </c>
    </row>
    <row r="110" spans="3:15" x14ac:dyDescent="0.25">
      <c r="C110" s="109" t="str">
        <f t="shared" si="26"/>
        <v>*</v>
      </c>
      <c r="D110" s="108">
        <f t="shared" si="28"/>
        <v>2050</v>
      </c>
      <c r="F110" s="109" t="str">
        <f t="shared" si="29"/>
        <v>FT-INDBIOLOG*</v>
      </c>
      <c r="G110" s="109" t="str">
        <f t="shared" si="29"/>
        <v>INDBIOLOG</v>
      </c>
      <c r="H110" s="130">
        <f t="shared" si="14"/>
        <v>0</v>
      </c>
      <c r="J110" s="176">
        <f t="shared" si="21"/>
        <v>0</v>
      </c>
      <c r="K110" s="109" t="str">
        <f t="shared" si="27"/>
        <v>Solid Biomass</v>
      </c>
      <c r="O110" s="109">
        <v>2</v>
      </c>
    </row>
    <row r="111" spans="3:15" x14ac:dyDescent="0.25">
      <c r="C111" s="109" t="str">
        <f t="shared" si="26"/>
        <v>*</v>
      </c>
      <c r="D111" s="108">
        <f t="shared" si="28"/>
        <v>2050</v>
      </c>
      <c r="F111" s="109" t="str">
        <f t="shared" si="29"/>
        <v>FT-INDBIOLOG*</v>
      </c>
      <c r="G111" s="109" t="str">
        <f t="shared" si="29"/>
        <v>INDBIOLOG</v>
      </c>
      <c r="H111" s="130">
        <f t="shared" si="14"/>
        <v>0</v>
      </c>
      <c r="J111" s="176">
        <f t="shared" si="21"/>
        <v>0</v>
      </c>
      <c r="O111" s="109">
        <v>2</v>
      </c>
    </row>
    <row r="112" spans="3:15" x14ac:dyDescent="0.25">
      <c r="C112" s="109" t="str">
        <f t="shared" si="26"/>
        <v>*</v>
      </c>
      <c r="D112" s="108">
        <f t="shared" si="28"/>
        <v>2050</v>
      </c>
      <c r="F112" s="109" t="str">
        <f t="shared" si="29"/>
        <v>FT-INDBIOCHR*</v>
      </c>
      <c r="G112" s="109" t="str">
        <f t="shared" si="29"/>
        <v>INDBIOCHR</v>
      </c>
      <c r="H112" s="130">
        <f t="shared" si="14"/>
        <v>0</v>
      </c>
      <c r="J112" s="176">
        <f t="shared" si="21"/>
        <v>0</v>
      </c>
      <c r="O112" s="109">
        <v>2</v>
      </c>
    </row>
    <row r="113" spans="3:15" x14ac:dyDescent="0.25">
      <c r="C113" s="109" t="str">
        <f t="shared" si="26"/>
        <v>*</v>
      </c>
      <c r="D113" s="108">
        <f t="shared" si="28"/>
        <v>2050</v>
      </c>
      <c r="F113" s="109" t="str">
        <f t="shared" si="29"/>
        <v>FT-INDBIOCHR*</v>
      </c>
      <c r="G113" s="109" t="str">
        <f t="shared" si="29"/>
        <v>INDBIOCHR</v>
      </c>
      <c r="H113" s="130">
        <f t="shared" si="14"/>
        <v>0</v>
      </c>
      <c r="J113" s="176">
        <f t="shared" si="21"/>
        <v>0</v>
      </c>
      <c r="O113" s="109">
        <v>2</v>
      </c>
    </row>
    <row r="114" spans="3:15" x14ac:dyDescent="0.25">
      <c r="C114" s="109" t="str">
        <f t="shared" si="26"/>
        <v>*</v>
      </c>
      <c r="D114" s="108">
        <f t="shared" si="28"/>
        <v>2050</v>
      </c>
      <c r="F114" s="109" t="str">
        <f t="shared" si="29"/>
        <v>FT-INDBIOPLT*</v>
      </c>
      <c r="G114" s="109" t="str">
        <f t="shared" si="29"/>
        <v>INDBIOPLT</v>
      </c>
      <c r="H114" s="130">
        <f t="shared" si="14"/>
        <v>0</v>
      </c>
      <c r="J114" s="176">
        <f t="shared" si="21"/>
        <v>0</v>
      </c>
      <c r="O114" s="109">
        <v>2</v>
      </c>
    </row>
    <row r="115" spans="3:15" x14ac:dyDescent="0.25">
      <c r="C115" s="109" t="str">
        <f t="shared" si="26"/>
        <v>*</v>
      </c>
      <c r="D115" s="108">
        <f t="shared" si="28"/>
        <v>2050</v>
      </c>
      <c r="F115" s="109" t="str">
        <f t="shared" si="29"/>
        <v>FT-INDBIOPLT*</v>
      </c>
      <c r="G115" s="109" t="str">
        <f t="shared" si="29"/>
        <v>INDBIOPLT</v>
      </c>
      <c r="H115" s="130">
        <f t="shared" si="14"/>
        <v>0</v>
      </c>
      <c r="J115" s="176">
        <f t="shared" si="21"/>
        <v>0</v>
      </c>
      <c r="O115" s="109">
        <v>2</v>
      </c>
    </row>
    <row r="116" spans="3:15" x14ac:dyDescent="0.25">
      <c r="C116" s="109" t="str">
        <f t="shared" si="26"/>
        <v>*</v>
      </c>
      <c r="D116" s="108">
        <f t="shared" si="28"/>
        <v>2050</v>
      </c>
      <c r="F116" s="109" t="str">
        <f t="shared" si="29"/>
        <v>FT-INDHTH*</v>
      </c>
      <c r="G116" s="109" t="str">
        <f t="shared" si="29"/>
        <v>INDHTH</v>
      </c>
      <c r="H116" s="130">
        <f t="shared" si="14"/>
        <v>0</v>
      </c>
      <c r="J116" s="176">
        <f t="shared" si="21"/>
        <v>0</v>
      </c>
      <c r="K116" s="109" t="str">
        <f t="shared" ref="K116:K118" si="30">K44</f>
        <v>Heat</v>
      </c>
      <c r="O116" s="109">
        <v>2</v>
      </c>
    </row>
    <row r="117" spans="3:15" x14ac:dyDescent="0.25">
      <c r="C117" s="109" t="str">
        <f t="shared" si="26"/>
        <v>*</v>
      </c>
      <c r="D117" s="108">
        <f t="shared" si="28"/>
        <v>2050</v>
      </c>
      <c r="F117" s="109" t="str">
        <f t="shared" si="29"/>
        <v>FT-INDELC*</v>
      </c>
      <c r="G117" s="109" t="str">
        <f t="shared" si="29"/>
        <v>INDELC</v>
      </c>
      <c r="H117" s="130">
        <f t="shared" si="14"/>
        <v>0</v>
      </c>
      <c r="J117" s="176">
        <f t="shared" si="21"/>
        <v>0</v>
      </c>
      <c r="K117" s="109" t="str">
        <f t="shared" si="30"/>
        <v>Electricity</v>
      </c>
      <c r="O117" s="109">
        <v>2</v>
      </c>
    </row>
    <row r="118" spans="3:15" x14ac:dyDescent="0.25">
      <c r="C118" s="109" t="str">
        <f t="shared" si="26"/>
        <v>FLO_TAX</v>
      </c>
      <c r="D118" s="108">
        <f t="shared" si="28"/>
        <v>2050</v>
      </c>
      <c r="F118" s="109" t="str">
        <f t="shared" si="29"/>
        <v>FT-ELEOILDSL*</v>
      </c>
      <c r="G118" s="109" t="str">
        <f t="shared" si="29"/>
        <v>ELEOILDSL</v>
      </c>
      <c r="H118" s="130">
        <f t="shared" si="14"/>
        <v>5.0000000000000044E-2</v>
      </c>
      <c r="J118" s="176">
        <f t="shared" si="21"/>
        <v>5.0000000000000044E-2</v>
      </c>
      <c r="K118" s="109" t="str">
        <f t="shared" si="30"/>
        <v>Diesel</v>
      </c>
      <c r="O118" s="109">
        <v>2</v>
      </c>
    </row>
    <row r="119" spans="3:15" x14ac:dyDescent="0.25">
      <c r="C119" s="109" t="str">
        <f t="shared" si="26"/>
        <v>FLO_TAX</v>
      </c>
      <c r="D119" s="108">
        <f t="shared" si="28"/>
        <v>2050</v>
      </c>
      <c r="F119" s="109" t="str">
        <f t="shared" si="29"/>
        <v>FT-HETOILDSL*</v>
      </c>
      <c r="G119" s="109" t="str">
        <f t="shared" si="29"/>
        <v>HETOILDSL</v>
      </c>
      <c r="H119" s="130">
        <v>0</v>
      </c>
      <c r="J119" s="176">
        <f t="shared" si="21"/>
        <v>5.0000000000000044E-2</v>
      </c>
      <c r="O119" s="109">
        <v>2</v>
      </c>
    </row>
    <row r="120" spans="3:15" x14ac:dyDescent="0.25">
      <c r="C120" s="109" t="str">
        <f t="shared" si="26"/>
        <v>FLO_TAX</v>
      </c>
      <c r="D120" s="108">
        <f t="shared" si="28"/>
        <v>2050</v>
      </c>
      <c r="F120" s="109" t="str">
        <f t="shared" si="29"/>
        <v>FT-ELEOILHFO*</v>
      </c>
      <c r="G120" s="109" t="str">
        <f t="shared" si="29"/>
        <v>ELEOILHFO</v>
      </c>
      <c r="H120" s="130">
        <f t="shared" si="14"/>
        <v>5.0000000000000044E-2</v>
      </c>
      <c r="J120" s="176">
        <f t="shared" si="21"/>
        <v>5.0000000000000044E-2</v>
      </c>
      <c r="K120" s="109" t="str">
        <f t="shared" ref="K120" si="31">K48</f>
        <v>Fuel Oil</v>
      </c>
      <c r="O120" s="109">
        <v>2</v>
      </c>
    </row>
    <row r="121" spans="3:15" x14ac:dyDescent="0.25">
      <c r="C121" s="109" t="str">
        <f t="shared" si="26"/>
        <v>FLO_TAX</v>
      </c>
      <c r="D121" s="108">
        <f t="shared" si="28"/>
        <v>2050</v>
      </c>
      <c r="F121" s="109" t="str">
        <f t="shared" si="29"/>
        <v>FT-HETOILHFO*</v>
      </c>
      <c r="G121" s="109" t="str">
        <f t="shared" si="29"/>
        <v>HETOILHFO</v>
      </c>
      <c r="H121" s="130">
        <f t="shared" si="14"/>
        <v>5.0000000000000044E-2</v>
      </c>
      <c r="J121" s="176">
        <f t="shared" si="21"/>
        <v>5.0000000000000044E-2</v>
      </c>
      <c r="O121" s="109">
        <v>2</v>
      </c>
    </row>
    <row r="122" spans="3:15" x14ac:dyDescent="0.25">
      <c r="C122" s="109" t="str">
        <f t="shared" si="26"/>
        <v>FLO_TAX</v>
      </c>
      <c r="D122" s="108">
        <f t="shared" si="28"/>
        <v>2050</v>
      </c>
      <c r="F122" s="109" t="str">
        <f t="shared" si="29"/>
        <v>FT-ELEGASNAT*</v>
      </c>
      <c r="G122" s="109" t="str">
        <f t="shared" si="29"/>
        <v>ELEGASNAT</v>
      </c>
      <c r="H122" s="130">
        <f t="shared" si="14"/>
        <v>5.0000000000000044E-2</v>
      </c>
      <c r="J122" s="176">
        <f t="shared" si="21"/>
        <v>5.0000000000000044E-2</v>
      </c>
      <c r="K122" s="109" t="str">
        <f t="shared" ref="K122" si="32">K50</f>
        <v>Natural Gas</v>
      </c>
      <c r="O122" s="109">
        <v>2</v>
      </c>
    </row>
    <row r="123" spans="3:15" x14ac:dyDescent="0.25">
      <c r="C123" s="109" t="str">
        <f t="shared" si="26"/>
        <v>FLO_TAX</v>
      </c>
      <c r="D123" s="108">
        <f t="shared" si="28"/>
        <v>2050</v>
      </c>
      <c r="F123" s="109" t="str">
        <f t="shared" si="29"/>
        <v>FT-HETGASNAT*</v>
      </c>
      <c r="G123" s="109" t="str">
        <f t="shared" si="29"/>
        <v>HETGASNAT</v>
      </c>
      <c r="H123" s="130">
        <f t="shared" si="14"/>
        <v>5.0000000000000044E-2</v>
      </c>
      <c r="J123" s="176">
        <f t="shared" si="21"/>
        <v>5.0000000000000044E-2</v>
      </c>
      <c r="O123" s="109">
        <v>2</v>
      </c>
    </row>
    <row r="124" spans="3:15" x14ac:dyDescent="0.25">
      <c r="C124" s="109" t="str">
        <f t="shared" si="26"/>
        <v>*</v>
      </c>
      <c r="D124" s="108">
        <f t="shared" si="28"/>
        <v>2050</v>
      </c>
      <c r="F124" s="109" t="str">
        <f t="shared" si="29"/>
        <v>FT-ELECOASUB*</v>
      </c>
      <c r="G124" s="109" t="str">
        <f t="shared" si="29"/>
        <v>ELECOASUB</v>
      </c>
      <c r="H124" s="130">
        <f t="shared" si="14"/>
        <v>0</v>
      </c>
      <c r="J124" s="176">
        <f t="shared" si="21"/>
        <v>0</v>
      </c>
      <c r="K124" s="109" t="str">
        <f t="shared" ref="K124" si="33">K52</f>
        <v>Coal</v>
      </c>
      <c r="O124" s="109">
        <v>2</v>
      </c>
    </row>
    <row r="125" spans="3:15" x14ac:dyDescent="0.25">
      <c r="C125" s="109" t="str">
        <f t="shared" si="26"/>
        <v>*</v>
      </c>
      <c r="D125" s="108">
        <f t="shared" si="28"/>
        <v>2050</v>
      </c>
      <c r="F125" s="109" t="str">
        <f t="shared" ref="F125:G140" si="34">F53</f>
        <v>FT-HETCOASUB*</v>
      </c>
      <c r="G125" s="109" t="str">
        <f t="shared" si="34"/>
        <v>HETCOASUB</v>
      </c>
      <c r="H125" s="130">
        <f t="shared" si="14"/>
        <v>0</v>
      </c>
      <c r="J125" s="176">
        <f t="shared" si="21"/>
        <v>0</v>
      </c>
      <c r="O125" s="109">
        <v>2</v>
      </c>
    </row>
    <row r="126" spans="3:15" x14ac:dyDescent="0.25">
      <c r="C126" s="109" t="str">
        <f t="shared" si="26"/>
        <v>*</v>
      </c>
      <c r="D126" s="108">
        <f t="shared" si="28"/>
        <v>2050</v>
      </c>
      <c r="F126" s="109" t="str">
        <f t="shared" si="34"/>
        <v>FT-ELEBIOLOG*</v>
      </c>
      <c r="G126" s="109" t="str">
        <f t="shared" si="34"/>
        <v>ELEBIOLOG</v>
      </c>
      <c r="H126" s="130">
        <f t="shared" si="14"/>
        <v>0</v>
      </c>
      <c r="J126" s="176">
        <f t="shared" si="21"/>
        <v>0</v>
      </c>
      <c r="K126" s="109" t="str">
        <f t="shared" ref="K126" si="35">K54</f>
        <v>Solid Biomass</v>
      </c>
      <c r="O126" s="109">
        <v>2</v>
      </c>
    </row>
    <row r="127" spans="3:15" x14ac:dyDescent="0.25">
      <c r="C127" s="109" t="str">
        <f t="shared" si="26"/>
        <v>*</v>
      </c>
      <c r="D127" s="108">
        <f t="shared" si="28"/>
        <v>2050</v>
      </c>
      <c r="F127" s="109" t="str">
        <f t="shared" si="34"/>
        <v>FT-HETBIOLOG*</v>
      </c>
      <c r="G127" s="109" t="str">
        <f t="shared" si="34"/>
        <v>HETBIOLOG</v>
      </c>
      <c r="H127" s="130">
        <f t="shared" si="14"/>
        <v>0</v>
      </c>
      <c r="J127" s="176">
        <f t="shared" si="21"/>
        <v>0</v>
      </c>
      <c r="O127" s="109">
        <v>2</v>
      </c>
    </row>
    <row r="128" spans="3:15" x14ac:dyDescent="0.25">
      <c r="C128" s="109" t="str">
        <f t="shared" si="26"/>
        <v>*</v>
      </c>
      <c r="D128" s="108">
        <f t="shared" si="28"/>
        <v>2050</v>
      </c>
      <c r="F128" s="109" t="str">
        <f t="shared" si="34"/>
        <v>FT-HETBIOPLT*</v>
      </c>
      <c r="G128" s="109" t="str">
        <f t="shared" si="34"/>
        <v>HETBIOPLT</v>
      </c>
      <c r="H128" s="130">
        <f t="shared" si="14"/>
        <v>0</v>
      </c>
      <c r="J128" s="176">
        <f t="shared" si="21"/>
        <v>0</v>
      </c>
      <c r="O128" s="109">
        <v>2</v>
      </c>
    </row>
    <row r="129" spans="3:15" x14ac:dyDescent="0.25">
      <c r="C129" s="109" t="str">
        <f t="shared" si="26"/>
        <v>FLO_TAX</v>
      </c>
      <c r="D129" s="108">
        <f t="shared" si="28"/>
        <v>2050</v>
      </c>
      <c r="F129" s="109" t="str">
        <f t="shared" si="34"/>
        <v>FT-TRAOILDSL*</v>
      </c>
      <c r="G129" s="109" t="str">
        <f t="shared" si="34"/>
        <v>TRAOILDSL</v>
      </c>
      <c r="H129" s="130">
        <f t="shared" si="14"/>
        <v>5</v>
      </c>
      <c r="J129" s="176">
        <f t="shared" si="21"/>
        <v>5</v>
      </c>
      <c r="K129" s="109" t="str">
        <f t="shared" ref="K129:K144" si="36">K57</f>
        <v>Diesel Cars</v>
      </c>
      <c r="O129" s="109">
        <v>2</v>
      </c>
    </row>
    <row r="130" spans="3:15" x14ac:dyDescent="0.25">
      <c r="C130" s="109" t="str">
        <f t="shared" si="26"/>
        <v>FLO_TAX</v>
      </c>
      <c r="D130" s="108">
        <f t="shared" si="28"/>
        <v>2050</v>
      </c>
      <c r="F130" s="109" t="str">
        <f t="shared" si="34"/>
        <v>TRARAIL*</v>
      </c>
      <c r="G130" s="109" t="str">
        <f t="shared" si="34"/>
        <v>TRAOILDSL</v>
      </c>
      <c r="H130" s="130">
        <f t="shared" si="14"/>
        <v>5</v>
      </c>
      <c r="J130" s="176">
        <f t="shared" si="21"/>
        <v>5</v>
      </c>
      <c r="K130" s="109" t="str">
        <f t="shared" si="36"/>
        <v>Diesel Rail</v>
      </c>
      <c r="O130" s="109">
        <v>2</v>
      </c>
    </row>
    <row r="131" spans="3:15" x14ac:dyDescent="0.25">
      <c r="C131" s="109" t="str">
        <f t="shared" ref="C131:C148" si="37">IF(J131=0,"*",IF(J131&lt;0,"FLO_SUB","FLO_TAX"))</f>
        <v>FLO_TAX</v>
      </c>
      <c r="D131" s="108">
        <f t="shared" si="28"/>
        <v>2050</v>
      </c>
      <c r="F131" s="109" t="str">
        <f t="shared" si="34"/>
        <v>TRANAV*</v>
      </c>
      <c r="G131" s="109" t="str">
        <f t="shared" si="34"/>
        <v>TRAOILDSL</v>
      </c>
      <c r="H131" s="130">
        <f t="shared" si="14"/>
        <v>5</v>
      </c>
      <c r="J131" s="176">
        <f t="shared" si="21"/>
        <v>5</v>
      </c>
      <c r="K131" s="109" t="str">
        <f t="shared" si="36"/>
        <v>Diesel Navigation</v>
      </c>
      <c r="O131" s="109">
        <v>2</v>
      </c>
    </row>
    <row r="132" spans="3:15" x14ac:dyDescent="0.25">
      <c r="C132" s="109" t="str">
        <f t="shared" si="37"/>
        <v>FLO_TAX</v>
      </c>
      <c r="D132" s="108">
        <f t="shared" si="28"/>
        <v>2050</v>
      </c>
      <c r="F132" s="109" t="str">
        <f t="shared" si="34"/>
        <v>FT-TRAOILGSL*</v>
      </c>
      <c r="G132" s="109" t="str">
        <f t="shared" si="34"/>
        <v>TRAOILGSL</v>
      </c>
      <c r="H132" s="130">
        <f t="shared" si="14"/>
        <v>16</v>
      </c>
      <c r="J132" s="176">
        <f t="shared" si="21"/>
        <v>16</v>
      </c>
      <c r="K132" s="109" t="str">
        <f t="shared" si="36"/>
        <v>Gasoline Cars</v>
      </c>
      <c r="O132" s="109">
        <v>2</v>
      </c>
    </row>
    <row r="133" spans="3:15" x14ac:dyDescent="0.25">
      <c r="C133" s="109" t="str">
        <f t="shared" si="37"/>
        <v>FLO_TAX</v>
      </c>
      <c r="D133" s="108">
        <f t="shared" si="28"/>
        <v>2050</v>
      </c>
      <c r="F133" s="109" t="str">
        <f t="shared" si="34"/>
        <v>FT-TRAOILLPG*</v>
      </c>
      <c r="G133" s="109" t="str">
        <f t="shared" si="34"/>
        <v>TRAOILLPG</v>
      </c>
      <c r="H133" s="130">
        <f t="shared" ref="H133:H154" si="38">J133</f>
        <v>16</v>
      </c>
      <c r="J133" s="176">
        <f t="shared" si="21"/>
        <v>16</v>
      </c>
      <c r="K133" s="109" t="str">
        <f t="shared" si="36"/>
        <v>LPG Cars</v>
      </c>
      <c r="O133" s="109">
        <v>2</v>
      </c>
    </row>
    <row r="134" spans="3:15" x14ac:dyDescent="0.25">
      <c r="C134" s="109" t="str">
        <f t="shared" si="37"/>
        <v>FLO_TAX</v>
      </c>
      <c r="D134" s="108">
        <f t="shared" si="28"/>
        <v>2050</v>
      </c>
      <c r="F134" s="109" t="str">
        <f t="shared" si="34"/>
        <v>FT-TRAGASNAT*</v>
      </c>
      <c r="G134" s="109" t="str">
        <f t="shared" si="34"/>
        <v>TRAGASNAT</v>
      </c>
      <c r="H134" s="130">
        <f t="shared" si="38"/>
        <v>3</v>
      </c>
      <c r="J134" s="176">
        <f t="shared" si="21"/>
        <v>3</v>
      </c>
      <c r="K134" s="109" t="str">
        <f t="shared" si="36"/>
        <v>CNG Cars</v>
      </c>
      <c r="O134" s="109">
        <v>2</v>
      </c>
    </row>
    <row r="135" spans="3:15" x14ac:dyDescent="0.25">
      <c r="C135" s="109" t="str">
        <f t="shared" si="37"/>
        <v>FLO_TAX</v>
      </c>
      <c r="D135" s="108">
        <f t="shared" si="28"/>
        <v>2050</v>
      </c>
      <c r="F135" s="109" t="str">
        <f t="shared" si="34"/>
        <v>FT-TRABIOBGS*</v>
      </c>
      <c r="G135" s="109" t="str">
        <f t="shared" si="34"/>
        <v>TRABIOBGS</v>
      </c>
      <c r="H135" s="130">
        <f t="shared" si="38"/>
        <v>3</v>
      </c>
      <c r="J135" s="176">
        <f t="shared" si="21"/>
        <v>3</v>
      </c>
      <c r="K135" s="109">
        <f t="shared" si="36"/>
        <v>0</v>
      </c>
      <c r="O135" s="109">
        <v>2</v>
      </c>
    </row>
    <row r="136" spans="3:15" x14ac:dyDescent="0.25">
      <c r="C136" s="109" t="str">
        <f t="shared" si="37"/>
        <v>FLO_TAX</v>
      </c>
      <c r="D136" s="108">
        <f t="shared" si="28"/>
        <v>2050</v>
      </c>
      <c r="F136" s="109" t="str">
        <f t="shared" si="34"/>
        <v>FT-TRAOILKER*</v>
      </c>
      <c r="G136" s="109" t="str">
        <f t="shared" si="34"/>
        <v>TRAOILKER</v>
      </c>
      <c r="H136" s="130">
        <f t="shared" si="38"/>
        <v>5</v>
      </c>
      <c r="J136" s="176">
        <f t="shared" si="21"/>
        <v>5</v>
      </c>
      <c r="K136" s="109" t="str">
        <f t="shared" si="36"/>
        <v>Kerosene</v>
      </c>
      <c r="O136" s="109">
        <v>2</v>
      </c>
    </row>
    <row r="137" spans="3:15" x14ac:dyDescent="0.25">
      <c r="C137" s="109" t="str">
        <f t="shared" si="37"/>
        <v>FLO_TAX</v>
      </c>
      <c r="D137" s="108">
        <f t="shared" si="28"/>
        <v>2050</v>
      </c>
      <c r="F137" s="109" t="str">
        <f t="shared" si="34"/>
        <v>FT-TRABIOKER*</v>
      </c>
      <c r="G137" s="109" t="str">
        <f t="shared" si="34"/>
        <v>TRABIOKER</v>
      </c>
      <c r="H137" s="130">
        <f t="shared" si="38"/>
        <v>4</v>
      </c>
      <c r="J137" s="176">
        <f t="shared" si="21"/>
        <v>4</v>
      </c>
      <c r="K137" s="109">
        <f t="shared" si="36"/>
        <v>0</v>
      </c>
      <c r="O137" s="109">
        <v>2</v>
      </c>
    </row>
    <row r="138" spans="3:15" x14ac:dyDescent="0.25">
      <c r="C138" s="109" t="str">
        <f t="shared" si="37"/>
        <v>FLO_TAX</v>
      </c>
      <c r="D138" s="108">
        <f t="shared" si="28"/>
        <v>2050</v>
      </c>
      <c r="F138" s="109" t="str">
        <f t="shared" si="34"/>
        <v>FT-TRAOILGSA*</v>
      </c>
      <c r="G138" s="109" t="str">
        <f t="shared" si="34"/>
        <v>TRAOILGSA</v>
      </c>
      <c r="H138" s="130">
        <f t="shared" si="38"/>
        <v>2.5</v>
      </c>
      <c r="J138" s="176">
        <f t="shared" si="21"/>
        <v>2.5</v>
      </c>
      <c r="K138" s="109">
        <f t="shared" si="36"/>
        <v>0</v>
      </c>
      <c r="O138" s="109">
        <v>1</v>
      </c>
    </row>
    <row r="139" spans="3:15" x14ac:dyDescent="0.25">
      <c r="C139" s="109" t="str">
        <f t="shared" si="37"/>
        <v>FLO_TAX</v>
      </c>
      <c r="D139" s="108">
        <f t="shared" si="28"/>
        <v>2050</v>
      </c>
      <c r="F139" s="109" t="str">
        <f t="shared" si="34"/>
        <v>FT-TRABIOE**</v>
      </c>
      <c r="G139" s="109" t="str">
        <f t="shared" si="34"/>
        <v>TRABIOE*</v>
      </c>
      <c r="H139" s="130">
        <f t="shared" si="38"/>
        <v>2.5</v>
      </c>
      <c r="J139" s="176">
        <f t="shared" si="21"/>
        <v>2.5</v>
      </c>
      <c r="K139" s="109">
        <f t="shared" si="36"/>
        <v>0</v>
      </c>
      <c r="O139" s="109">
        <v>1</v>
      </c>
    </row>
    <row r="140" spans="3:15" x14ac:dyDescent="0.25">
      <c r="C140" s="109" t="str">
        <f t="shared" si="37"/>
        <v>FLO_TAX</v>
      </c>
      <c r="D140" s="108">
        <f t="shared" si="28"/>
        <v>2050</v>
      </c>
      <c r="F140" s="109" t="str">
        <f t="shared" si="34"/>
        <v>FT-TRABIODSL**</v>
      </c>
      <c r="G140" s="109" t="str">
        <f t="shared" si="34"/>
        <v>TRABIODSL*</v>
      </c>
      <c r="H140" s="130">
        <f t="shared" si="38"/>
        <v>2.5</v>
      </c>
      <c r="J140" s="176">
        <f t="shared" si="21"/>
        <v>2.5</v>
      </c>
      <c r="K140" s="109">
        <f t="shared" si="36"/>
        <v>0</v>
      </c>
      <c r="O140" s="109">
        <v>1</v>
      </c>
    </row>
    <row r="141" spans="3:15" x14ac:dyDescent="0.25">
      <c r="C141" s="109" t="str">
        <f t="shared" si="37"/>
        <v>FLO_TAX</v>
      </c>
      <c r="D141" s="108">
        <f t="shared" ref="D141:D148" si="39">END_YEAR</f>
        <v>2050</v>
      </c>
      <c r="F141" s="109" t="str">
        <f t="shared" ref="F141:G148" si="40">F69</f>
        <v>FT-TRABIOB20*</v>
      </c>
      <c r="G141" s="109" t="str">
        <f t="shared" si="40"/>
        <v>TRABIOB20</v>
      </c>
      <c r="H141" s="130">
        <f t="shared" si="38"/>
        <v>2.5</v>
      </c>
      <c r="J141" s="176">
        <f t="shared" si="21"/>
        <v>2.5</v>
      </c>
      <c r="K141" s="109">
        <f t="shared" si="36"/>
        <v>0</v>
      </c>
      <c r="O141" s="109">
        <v>1</v>
      </c>
    </row>
    <row r="142" spans="3:15" x14ac:dyDescent="0.25">
      <c r="C142" s="109" t="str">
        <f t="shared" si="37"/>
        <v>*</v>
      </c>
      <c r="D142" s="108">
        <f t="shared" si="39"/>
        <v>2050</v>
      </c>
      <c r="E142" s="109" t="str">
        <f>E70</f>
        <v>TRAELC</v>
      </c>
      <c r="F142" s="109" t="str">
        <f t="shared" si="40"/>
        <v>-TRARAIL*</v>
      </c>
      <c r="G142" s="109" t="str">
        <f t="shared" si="40"/>
        <v>TRAELC</v>
      </c>
      <c r="H142" s="130">
        <f t="shared" si="38"/>
        <v>0</v>
      </c>
      <c r="J142" s="176">
        <f t="shared" ref="J142:J148" si="41">ABS(J70*O142)</f>
        <v>0</v>
      </c>
      <c r="K142" s="109" t="str">
        <f t="shared" si="36"/>
        <v>Electricity-Private</v>
      </c>
      <c r="O142" s="109">
        <v>2</v>
      </c>
    </row>
    <row r="143" spans="3:15" x14ac:dyDescent="0.25">
      <c r="C143" s="109" t="str">
        <f t="shared" si="37"/>
        <v>*</v>
      </c>
      <c r="D143" s="108">
        <f t="shared" si="39"/>
        <v>2050</v>
      </c>
      <c r="F143" s="109" t="str">
        <f t="shared" si="40"/>
        <v>FT-TRAELC*</v>
      </c>
      <c r="G143" s="109" t="str">
        <f t="shared" si="40"/>
        <v>TRAELC</v>
      </c>
      <c r="H143" s="130">
        <f t="shared" si="38"/>
        <v>0</v>
      </c>
      <c r="J143" s="176">
        <f t="shared" si="41"/>
        <v>0</v>
      </c>
      <c r="K143" s="109" t="str">
        <f t="shared" si="36"/>
        <v>Electricity-Rail</v>
      </c>
      <c r="O143" s="109">
        <v>2</v>
      </c>
    </row>
    <row r="144" spans="3:15" x14ac:dyDescent="0.25">
      <c r="C144" s="109" t="str">
        <f t="shared" si="37"/>
        <v>FLO_TAX</v>
      </c>
      <c r="D144" s="108">
        <f t="shared" si="39"/>
        <v>2050</v>
      </c>
      <c r="F144" s="109" t="str">
        <f t="shared" si="40"/>
        <v>FT-TRAH2*</v>
      </c>
      <c r="G144" s="109" t="str">
        <f t="shared" si="40"/>
        <v>TRAH2G</v>
      </c>
      <c r="H144" s="130">
        <f t="shared" si="38"/>
        <v>3</v>
      </c>
      <c r="J144" s="176">
        <f t="shared" si="41"/>
        <v>3</v>
      </c>
      <c r="K144" s="109">
        <f t="shared" si="36"/>
        <v>0</v>
      </c>
      <c r="O144" s="109">
        <v>2</v>
      </c>
    </row>
    <row r="145" spans="1:17" x14ac:dyDescent="0.25">
      <c r="C145" s="109" t="str">
        <f t="shared" si="37"/>
        <v>FLO_TAX</v>
      </c>
      <c r="D145" s="108">
        <f t="shared" si="39"/>
        <v>2050</v>
      </c>
      <c r="F145" s="109" t="str">
        <f t="shared" si="40"/>
        <v>FT-AGRELC*</v>
      </c>
      <c r="G145" s="109" t="str">
        <f t="shared" si="40"/>
        <v>AGRELC</v>
      </c>
      <c r="H145" s="130">
        <f t="shared" si="38"/>
        <v>6.6000000000000005</v>
      </c>
      <c r="J145" s="176">
        <f t="shared" si="41"/>
        <v>6.6000000000000005</v>
      </c>
      <c r="K145" s="109" t="str">
        <f t="shared" ref="K145:K148" si="42">K73</f>
        <v>Electricity</v>
      </c>
      <c r="O145" s="109">
        <v>2</v>
      </c>
    </row>
    <row r="146" spans="1:17" x14ac:dyDescent="0.25">
      <c r="C146" s="109" t="str">
        <f t="shared" si="37"/>
        <v>FLO_TAX</v>
      </c>
      <c r="D146" s="108">
        <f t="shared" si="39"/>
        <v>2050</v>
      </c>
      <c r="F146" s="109" t="str">
        <f t="shared" si="40"/>
        <v>FT-AGROILDSL*</v>
      </c>
      <c r="G146" s="109" t="str">
        <f t="shared" si="40"/>
        <v>AGROILDSL</v>
      </c>
      <c r="H146" s="130">
        <f t="shared" si="38"/>
        <v>5</v>
      </c>
      <c r="J146" s="176">
        <f t="shared" si="41"/>
        <v>5</v>
      </c>
      <c r="K146" s="109" t="str">
        <f t="shared" si="42"/>
        <v>Diesel</v>
      </c>
      <c r="O146" s="109">
        <v>2</v>
      </c>
    </row>
    <row r="147" spans="1:17" x14ac:dyDescent="0.25">
      <c r="C147" s="109" t="str">
        <f t="shared" si="37"/>
        <v>*</v>
      </c>
      <c r="D147" s="108">
        <f t="shared" si="39"/>
        <v>2050</v>
      </c>
      <c r="F147" s="109" t="str">
        <f t="shared" si="40"/>
        <v>FT-AGRGASNAT*</v>
      </c>
      <c r="G147" s="109" t="str">
        <f t="shared" si="40"/>
        <v>AGRGASNAT</v>
      </c>
      <c r="H147" s="130">
        <f t="shared" si="38"/>
        <v>0</v>
      </c>
      <c r="J147" s="176">
        <f t="shared" si="41"/>
        <v>0</v>
      </c>
      <c r="K147" s="109" t="str">
        <f t="shared" si="42"/>
        <v>Natural Gas</v>
      </c>
      <c r="O147" s="109">
        <v>2</v>
      </c>
    </row>
    <row r="148" spans="1:17" x14ac:dyDescent="0.25">
      <c r="A148" s="169"/>
      <c r="B148" s="169"/>
      <c r="C148" s="169" t="str">
        <f t="shared" si="37"/>
        <v>*</v>
      </c>
      <c r="D148" s="151">
        <f t="shared" si="39"/>
        <v>2050</v>
      </c>
      <c r="E148" s="169"/>
      <c r="F148" s="169" t="str">
        <f t="shared" si="40"/>
        <v>FT-AGRCOABIC*</v>
      </c>
      <c r="G148" s="169" t="str">
        <f t="shared" si="40"/>
        <v>AGRCOABIC</v>
      </c>
      <c r="H148" s="175">
        <f t="shared" si="38"/>
        <v>0</v>
      </c>
      <c r="I148" s="169"/>
      <c r="J148" s="177">
        <f t="shared" si="41"/>
        <v>0</v>
      </c>
      <c r="K148" s="169" t="str">
        <f t="shared" si="42"/>
        <v>Other bituminous</v>
      </c>
      <c r="L148" s="169"/>
      <c r="M148" s="169"/>
      <c r="O148" s="109">
        <v>2</v>
      </c>
    </row>
    <row r="149" spans="1:17" x14ac:dyDescent="0.25">
      <c r="C149" s="109" t="s">
        <v>356</v>
      </c>
      <c r="D149" s="109">
        <v>2020</v>
      </c>
      <c r="F149" s="109" t="str">
        <f t="shared" ref="F149:G149" si="43">F7</f>
        <v>FT-RSDGASNAT*</v>
      </c>
      <c r="G149" s="109" t="str">
        <f t="shared" si="43"/>
        <v>RSDGASNAT</v>
      </c>
      <c r="H149" s="130">
        <f t="shared" si="38"/>
        <v>2.3100000000000005</v>
      </c>
      <c r="I149" s="130"/>
      <c r="J149" s="130">
        <f>H7*(1+Q149)</f>
        <v>2.3100000000000005</v>
      </c>
      <c r="P149" s="109" t="s">
        <v>350</v>
      </c>
      <c r="Q149" s="109">
        <f>(O77-1)/30*3</f>
        <v>0.1</v>
      </c>
    </row>
    <row r="150" spans="1:17" x14ac:dyDescent="0.25">
      <c r="C150" s="109" t="s">
        <v>356</v>
      </c>
      <c r="D150" s="109">
        <v>2020</v>
      </c>
      <c r="F150" s="109" t="str">
        <f>F13</f>
        <v>FT-RSDLTH*</v>
      </c>
      <c r="G150" s="109" t="str">
        <f>G13</f>
        <v>RSDLTH</v>
      </c>
      <c r="H150" s="130">
        <f t="shared" si="38"/>
        <v>2.09</v>
      </c>
      <c r="I150" s="130"/>
      <c r="J150" s="130">
        <f>H13*(1+Q150)</f>
        <v>2.09</v>
      </c>
      <c r="P150" s="109" t="s">
        <v>350</v>
      </c>
      <c r="Q150" s="109">
        <f>Q149</f>
        <v>0.1</v>
      </c>
    </row>
    <row r="151" spans="1:17" x14ac:dyDescent="0.25">
      <c r="C151" s="109" t="s">
        <v>356</v>
      </c>
      <c r="D151" s="109">
        <v>2020</v>
      </c>
      <c r="F151" s="109" t="str">
        <f t="shared" ref="F151:G151" si="44">F14</f>
        <v>FT-RSDELC*</v>
      </c>
      <c r="G151" s="109" t="str">
        <f t="shared" si="44"/>
        <v>RSDELC</v>
      </c>
      <c r="H151" s="130">
        <f t="shared" si="38"/>
        <v>12.65</v>
      </c>
      <c r="I151" s="130"/>
      <c r="J151" s="130">
        <f>H14*(1+Q151)</f>
        <v>12.65</v>
      </c>
      <c r="P151" s="109" t="s">
        <v>350</v>
      </c>
      <c r="Q151" s="109">
        <f>Q150</f>
        <v>0.1</v>
      </c>
    </row>
    <row r="152" spans="1:17" x14ac:dyDescent="0.25">
      <c r="C152" s="109" t="str">
        <f>C149</f>
        <v>FLO_SUB</v>
      </c>
      <c r="D152" s="109">
        <v>2035</v>
      </c>
      <c r="F152" s="109" t="str">
        <f t="shared" ref="F152:G154" si="45">F149</f>
        <v>FT-RSDGASNAT*</v>
      </c>
      <c r="G152" s="109" t="str">
        <f t="shared" si="45"/>
        <v>RSDGASNAT</v>
      </c>
      <c r="H152" s="130">
        <f t="shared" si="38"/>
        <v>0</v>
      </c>
      <c r="I152" s="130"/>
      <c r="J152" s="130">
        <v>0</v>
      </c>
      <c r="O152" s="109" t="s">
        <v>344</v>
      </c>
      <c r="P152" s="109" t="s">
        <v>350</v>
      </c>
    </row>
    <row r="153" spans="1:17" x14ac:dyDescent="0.25">
      <c r="C153" s="109" t="str">
        <f t="shared" ref="C153:C154" si="46">C150</f>
        <v>FLO_SUB</v>
      </c>
      <c r="D153" s="109">
        <f>D152</f>
        <v>2035</v>
      </c>
      <c r="F153" s="109" t="str">
        <f t="shared" si="45"/>
        <v>FT-RSDLTH*</v>
      </c>
      <c r="G153" s="109" t="str">
        <f t="shared" si="45"/>
        <v>RSDLTH</v>
      </c>
      <c r="H153" s="130">
        <f t="shared" si="38"/>
        <v>0</v>
      </c>
      <c r="I153" s="130"/>
      <c r="J153" s="130">
        <v>0</v>
      </c>
      <c r="O153" s="109" t="s">
        <v>344</v>
      </c>
      <c r="P153" s="109" t="s">
        <v>350</v>
      </c>
    </row>
    <row r="154" spans="1:17" x14ac:dyDescent="0.25">
      <c r="C154" s="109" t="str">
        <f t="shared" si="46"/>
        <v>FLO_SUB</v>
      </c>
      <c r="D154" s="109">
        <v>2035</v>
      </c>
      <c r="F154" s="109" t="str">
        <f t="shared" si="45"/>
        <v>FT-RSDELC*</v>
      </c>
      <c r="G154" s="109" t="str">
        <f t="shared" si="45"/>
        <v>RSDELC</v>
      </c>
      <c r="H154" s="130">
        <f t="shared" si="38"/>
        <v>0</v>
      </c>
      <c r="I154" s="130"/>
      <c r="J154" s="130">
        <v>0</v>
      </c>
      <c r="O154" s="109" t="s">
        <v>344</v>
      </c>
      <c r="P154" s="109" t="s">
        <v>350</v>
      </c>
    </row>
    <row r="155" spans="1:17" x14ac:dyDescent="0.25">
      <c r="C155" s="109" t="s">
        <v>401</v>
      </c>
      <c r="D155" s="109">
        <f>D152</f>
        <v>2035</v>
      </c>
      <c r="F155" s="109" t="str">
        <f>F79</f>
        <v>FT-RSDGASNAT*</v>
      </c>
      <c r="G155" s="109" t="str">
        <f>G79</f>
        <v>RSDGASNAT</v>
      </c>
      <c r="H155" s="130">
        <f>J155</f>
        <v>0</v>
      </c>
      <c r="I155" s="130"/>
      <c r="J155" s="130">
        <v>0</v>
      </c>
      <c r="O155" s="109" t="s">
        <v>345</v>
      </c>
      <c r="P155" s="109" t="s">
        <v>351</v>
      </c>
    </row>
    <row r="156" spans="1:17" x14ac:dyDescent="0.25">
      <c r="C156" s="109" t="s">
        <v>401</v>
      </c>
      <c r="D156" s="109">
        <f t="shared" ref="D156:D157" si="47">D153</f>
        <v>2035</v>
      </c>
      <c r="F156" s="109" t="str">
        <f>F85</f>
        <v>FT-RSDLTH*</v>
      </c>
      <c r="G156" s="109" t="str">
        <f>G85</f>
        <v>RSDLTH</v>
      </c>
      <c r="H156" s="130">
        <f t="shared" ref="H156" si="48">J156</f>
        <v>0</v>
      </c>
      <c r="I156" s="130"/>
      <c r="J156" s="130">
        <v>0</v>
      </c>
      <c r="O156" s="109" t="s">
        <v>345</v>
      </c>
      <c r="P156" s="109" t="s">
        <v>351</v>
      </c>
    </row>
    <row r="157" spans="1:17" x14ac:dyDescent="0.25">
      <c r="A157" s="117"/>
      <c r="B157" s="117"/>
      <c r="C157" s="117" t="s">
        <v>401</v>
      </c>
      <c r="D157" s="109">
        <f t="shared" si="47"/>
        <v>2035</v>
      </c>
      <c r="E157" s="117"/>
      <c r="F157" s="117" t="str">
        <f>F86</f>
        <v>FT-RSDELC*</v>
      </c>
      <c r="G157" s="117" t="str">
        <f>G86</f>
        <v>RSDELC</v>
      </c>
      <c r="H157" s="178">
        <f>J157</f>
        <v>0</v>
      </c>
      <c r="I157" s="178"/>
      <c r="J157" s="178">
        <v>0</v>
      </c>
      <c r="K157" s="117"/>
      <c r="L157" s="117"/>
      <c r="M157" s="117"/>
      <c r="O157" s="109" t="s">
        <v>345</v>
      </c>
      <c r="P157" s="109" t="s">
        <v>351</v>
      </c>
    </row>
    <row r="158" spans="1:17" x14ac:dyDescent="0.25">
      <c r="C158" s="109" t="s">
        <v>401</v>
      </c>
      <c r="D158" s="109">
        <v>2050</v>
      </c>
      <c r="F158" s="109" t="str">
        <f t="shared" ref="F158:G160" si="49">F155</f>
        <v>FT-RSDGASNAT*</v>
      </c>
      <c r="G158" s="109" t="str">
        <f t="shared" si="49"/>
        <v>RSDGASNAT</v>
      </c>
      <c r="H158" s="130">
        <f>J158</f>
        <v>3</v>
      </c>
      <c r="I158" s="130"/>
      <c r="J158" s="130">
        <v>3</v>
      </c>
      <c r="M158" s="117"/>
      <c r="N158" s="117"/>
      <c r="P158" s="109" t="s">
        <v>351</v>
      </c>
    </row>
    <row r="159" spans="1:17" x14ac:dyDescent="0.25">
      <c r="C159" s="109" t="s">
        <v>401</v>
      </c>
      <c r="D159" s="109">
        <v>2050</v>
      </c>
      <c r="F159" s="109" t="str">
        <f t="shared" si="49"/>
        <v>FT-RSDLTH*</v>
      </c>
      <c r="G159" s="109" t="str">
        <f t="shared" si="49"/>
        <v>RSDLTH</v>
      </c>
      <c r="H159" s="130">
        <f t="shared" ref="H159" si="50">J159</f>
        <v>1</v>
      </c>
      <c r="I159" s="130"/>
      <c r="J159" s="130">
        <v>1</v>
      </c>
      <c r="P159" s="109" t="s">
        <v>351</v>
      </c>
    </row>
    <row r="160" spans="1:17" x14ac:dyDescent="0.25">
      <c r="A160" s="169"/>
      <c r="B160" s="169"/>
      <c r="C160" s="169" t="s">
        <v>401</v>
      </c>
      <c r="D160" s="169">
        <v>2050</v>
      </c>
      <c r="E160" s="169"/>
      <c r="F160" s="169" t="str">
        <f t="shared" si="49"/>
        <v>FT-RSDELC*</v>
      </c>
      <c r="G160" s="169" t="str">
        <f t="shared" si="49"/>
        <v>RSDELC</v>
      </c>
      <c r="H160" s="175">
        <f>J160</f>
        <v>10</v>
      </c>
      <c r="I160" s="175"/>
      <c r="J160" s="175">
        <v>10</v>
      </c>
      <c r="K160" s="169"/>
      <c r="L160" s="169"/>
      <c r="M160" s="169"/>
      <c r="P160" s="109" t="s">
        <v>351</v>
      </c>
    </row>
    <row r="161" spans="1:17" x14ac:dyDescent="0.25">
      <c r="C161" s="109" t="s">
        <v>356</v>
      </c>
      <c r="D161" s="109">
        <v>2020</v>
      </c>
      <c r="F161" s="109" t="str">
        <f>F18</f>
        <v>FT-TERGASNAT*</v>
      </c>
      <c r="G161" s="109" t="str">
        <f>G18</f>
        <v>TERGASNAT</v>
      </c>
      <c r="H161" s="130">
        <f t="shared" ref="H161:H166" si="51">J161</f>
        <v>1.1550000000000002</v>
      </c>
      <c r="I161" s="130"/>
      <c r="J161" s="130">
        <f>H18*(1+Q161)</f>
        <v>1.1550000000000002</v>
      </c>
      <c r="P161" s="109" t="s">
        <v>350</v>
      </c>
      <c r="Q161" s="109">
        <f>Q149</f>
        <v>0.1</v>
      </c>
    </row>
    <row r="162" spans="1:17" x14ac:dyDescent="0.25">
      <c r="C162" s="109" t="s">
        <v>356</v>
      </c>
      <c r="D162" s="109">
        <v>2020</v>
      </c>
      <c r="F162" s="109" t="str">
        <f>F25</f>
        <v>FT-TERLTH*</v>
      </c>
      <c r="G162" s="109" t="str">
        <f>G25</f>
        <v>TERLTH</v>
      </c>
      <c r="H162" s="130">
        <f t="shared" si="51"/>
        <v>1.0449999999999999</v>
      </c>
      <c r="I162" s="130"/>
      <c r="J162" s="130">
        <f>H25*(1+Q162)</f>
        <v>1.0449999999999999</v>
      </c>
      <c r="P162" s="109" t="s">
        <v>350</v>
      </c>
      <c r="Q162" s="109">
        <f>Q161</f>
        <v>0.1</v>
      </c>
    </row>
    <row r="163" spans="1:17" x14ac:dyDescent="0.25">
      <c r="C163" s="109" t="s">
        <v>356</v>
      </c>
      <c r="D163" s="109">
        <v>2020</v>
      </c>
      <c r="F163" s="109" t="str">
        <f>F26</f>
        <v>FT-TERELC*</v>
      </c>
      <c r="G163" s="109" t="str">
        <f>G26</f>
        <v>TERELC</v>
      </c>
      <c r="H163" s="130">
        <f t="shared" si="51"/>
        <v>6.3250000000000002</v>
      </c>
      <c r="I163" s="130"/>
      <c r="J163" s="130">
        <f>H26*(1+Q163)</f>
        <v>6.3250000000000002</v>
      </c>
      <c r="P163" s="109" t="s">
        <v>350</v>
      </c>
      <c r="Q163" s="109">
        <f>Q162</f>
        <v>0.1</v>
      </c>
    </row>
    <row r="164" spans="1:17" x14ac:dyDescent="0.25">
      <c r="C164" s="109" t="str">
        <f>C161</f>
        <v>FLO_SUB</v>
      </c>
      <c r="D164" s="109">
        <v>2035</v>
      </c>
      <c r="F164" s="109" t="str">
        <f t="shared" ref="F164:G166" si="52">F161</f>
        <v>FT-TERGASNAT*</v>
      </c>
      <c r="G164" s="109" t="str">
        <f t="shared" si="52"/>
        <v>TERGASNAT</v>
      </c>
      <c r="H164" s="130">
        <f t="shared" si="51"/>
        <v>0</v>
      </c>
      <c r="I164" s="130"/>
      <c r="J164" s="130">
        <v>0</v>
      </c>
      <c r="O164" s="109" t="s">
        <v>344</v>
      </c>
      <c r="P164" s="109" t="s">
        <v>350</v>
      </c>
    </row>
    <row r="165" spans="1:17" x14ac:dyDescent="0.25">
      <c r="C165" s="109" t="str">
        <f t="shared" ref="C165:C166" si="53">C162</f>
        <v>FLO_SUB</v>
      </c>
      <c r="D165" s="109">
        <f>D164</f>
        <v>2035</v>
      </c>
      <c r="F165" s="109" t="str">
        <f t="shared" si="52"/>
        <v>FT-TERLTH*</v>
      </c>
      <c r="G165" s="109" t="str">
        <f t="shared" si="52"/>
        <v>TERLTH</v>
      </c>
      <c r="H165" s="130">
        <f t="shared" si="51"/>
        <v>0</v>
      </c>
      <c r="I165" s="130"/>
      <c r="J165" s="130">
        <v>0</v>
      </c>
      <c r="O165" s="109" t="s">
        <v>344</v>
      </c>
      <c r="P165" s="109" t="s">
        <v>350</v>
      </c>
    </row>
    <row r="166" spans="1:17" x14ac:dyDescent="0.25">
      <c r="C166" s="109" t="str">
        <f t="shared" si="53"/>
        <v>FLO_SUB</v>
      </c>
      <c r="D166" s="109">
        <v>2035</v>
      </c>
      <c r="F166" s="109" t="str">
        <f t="shared" si="52"/>
        <v>FT-TERELC*</v>
      </c>
      <c r="G166" s="109" t="str">
        <f t="shared" si="52"/>
        <v>TERELC</v>
      </c>
      <c r="H166" s="130">
        <f t="shared" si="51"/>
        <v>0</v>
      </c>
      <c r="I166" s="130"/>
      <c r="J166" s="130">
        <v>0</v>
      </c>
      <c r="O166" s="109" t="s">
        <v>344</v>
      </c>
      <c r="P166" s="109" t="s">
        <v>350</v>
      </c>
    </row>
    <row r="167" spans="1:17" x14ac:dyDescent="0.25">
      <c r="C167" s="109" t="s">
        <v>401</v>
      </c>
      <c r="D167" s="109">
        <f>D164</f>
        <v>2035</v>
      </c>
      <c r="F167" s="109" t="str">
        <f t="shared" ref="F167:G169" si="54">F161</f>
        <v>FT-TERGASNAT*</v>
      </c>
      <c r="G167" s="109" t="str">
        <f t="shared" si="54"/>
        <v>TERGASNAT</v>
      </c>
      <c r="H167" s="130">
        <f>J167</f>
        <v>0</v>
      </c>
      <c r="I167" s="130"/>
      <c r="J167" s="130">
        <v>0</v>
      </c>
      <c r="O167" s="109" t="s">
        <v>345</v>
      </c>
      <c r="P167" s="109" t="s">
        <v>351</v>
      </c>
    </row>
    <row r="168" spans="1:17" x14ac:dyDescent="0.25">
      <c r="C168" s="109" t="s">
        <v>401</v>
      </c>
      <c r="D168" s="109">
        <f t="shared" ref="D168:D169" si="55">D165</f>
        <v>2035</v>
      </c>
      <c r="F168" s="109" t="str">
        <f t="shared" si="54"/>
        <v>FT-TERLTH*</v>
      </c>
      <c r="G168" s="109" t="str">
        <f t="shared" si="54"/>
        <v>TERLTH</v>
      </c>
      <c r="H168" s="130">
        <f t="shared" ref="H168" si="56">J168</f>
        <v>0</v>
      </c>
      <c r="I168" s="130"/>
      <c r="J168" s="130">
        <v>0</v>
      </c>
      <c r="O168" s="109" t="s">
        <v>345</v>
      </c>
      <c r="P168" s="109" t="s">
        <v>351</v>
      </c>
    </row>
    <row r="169" spans="1:17" x14ac:dyDescent="0.25">
      <c r="A169" s="117"/>
      <c r="B169" s="117"/>
      <c r="C169" s="117" t="s">
        <v>401</v>
      </c>
      <c r="D169" s="109">
        <f t="shared" si="55"/>
        <v>2035</v>
      </c>
      <c r="E169" s="117"/>
      <c r="F169" s="117" t="str">
        <f t="shared" si="54"/>
        <v>FT-TERELC*</v>
      </c>
      <c r="G169" s="117" t="str">
        <f t="shared" si="54"/>
        <v>TERELC</v>
      </c>
      <c r="H169" s="178">
        <f>J169</f>
        <v>0</v>
      </c>
      <c r="I169" s="178"/>
      <c r="J169" s="178">
        <v>0</v>
      </c>
      <c r="K169" s="117"/>
      <c r="L169" s="117"/>
      <c r="M169" s="117"/>
      <c r="O169" s="109" t="s">
        <v>345</v>
      </c>
      <c r="P169" s="109" t="s">
        <v>351</v>
      </c>
    </row>
    <row r="170" spans="1:17" x14ac:dyDescent="0.25">
      <c r="C170" s="109" t="s">
        <v>401</v>
      </c>
      <c r="D170" s="109">
        <v>2050</v>
      </c>
      <c r="F170" s="109" t="str">
        <f t="shared" ref="F170:G172" si="57">F167</f>
        <v>FT-TERGASNAT*</v>
      </c>
      <c r="G170" s="109" t="str">
        <f t="shared" si="57"/>
        <v>TERGASNAT</v>
      </c>
      <c r="H170" s="130">
        <f>J170</f>
        <v>1</v>
      </c>
      <c r="I170" s="130"/>
      <c r="J170" s="130">
        <v>1</v>
      </c>
      <c r="P170" s="109" t="s">
        <v>351</v>
      </c>
    </row>
    <row r="171" spans="1:17" x14ac:dyDescent="0.25">
      <c r="C171" s="109" t="s">
        <v>401</v>
      </c>
      <c r="D171" s="109">
        <v>2050</v>
      </c>
      <c r="F171" s="109" t="str">
        <f t="shared" si="57"/>
        <v>FT-TERLTH*</v>
      </c>
      <c r="G171" s="109" t="str">
        <f t="shared" si="57"/>
        <v>TERLTH</v>
      </c>
      <c r="H171" s="130">
        <f t="shared" ref="H171" si="58">J171</f>
        <v>0.5</v>
      </c>
      <c r="I171" s="130"/>
      <c r="J171" s="130">
        <f>J159/2</f>
        <v>0.5</v>
      </c>
      <c r="P171" s="109" t="s">
        <v>351</v>
      </c>
    </row>
    <row r="172" spans="1:17" x14ac:dyDescent="0.25">
      <c r="A172" s="169"/>
      <c r="B172" s="169"/>
      <c r="C172" s="169" t="s">
        <v>401</v>
      </c>
      <c r="D172" s="169">
        <v>2050</v>
      </c>
      <c r="E172" s="169"/>
      <c r="F172" s="169" t="str">
        <f t="shared" si="57"/>
        <v>FT-TERELC*</v>
      </c>
      <c r="G172" s="169" t="str">
        <f t="shared" si="57"/>
        <v>TERELC</v>
      </c>
      <c r="H172" s="175">
        <f>J172</f>
        <v>5</v>
      </c>
      <c r="I172" s="175"/>
      <c r="J172" s="175">
        <v>5</v>
      </c>
      <c r="K172" s="169"/>
      <c r="L172" s="169"/>
      <c r="M172" s="169"/>
      <c r="P172" s="109" t="s">
        <v>351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M37"/>
  <sheetViews>
    <sheetView tabSelected="1" workbookViewId="0">
      <selection sqref="A1:XFD1048576"/>
    </sheetView>
  </sheetViews>
  <sheetFormatPr defaultRowHeight="13.2" x14ac:dyDescent="0.25"/>
  <cols>
    <col min="1" max="1" width="9.109375" style="108"/>
    <col min="2" max="2" width="11.5546875" style="109" customWidth="1"/>
    <col min="3" max="3" width="13" style="109" customWidth="1"/>
    <col min="4" max="4" width="14.33203125" style="109" customWidth="1"/>
    <col min="5" max="5" width="11.88671875" style="109" customWidth="1"/>
    <col min="6" max="6" width="10.109375" style="109" bestFit="1" customWidth="1"/>
    <col min="7" max="7" width="9.44140625" style="109" bestFit="1" customWidth="1"/>
    <col min="8" max="8" width="22.88671875" style="109" customWidth="1"/>
    <col min="9" max="10" width="10.6640625" style="109" bestFit="1" customWidth="1"/>
    <col min="11" max="16384" width="8.88671875" style="109"/>
  </cols>
  <sheetData>
    <row r="1" spans="1:13" ht="18.600000000000001" thickBot="1" x14ac:dyDescent="0.4">
      <c r="B1" s="179" t="s">
        <v>133</v>
      </c>
      <c r="C1" s="179"/>
      <c r="D1" s="179"/>
      <c r="E1" s="179"/>
      <c r="F1" s="179"/>
      <c r="G1" s="179"/>
      <c r="H1" s="179"/>
      <c r="I1" s="179"/>
      <c r="J1" s="179"/>
      <c r="L1" s="109" t="s">
        <v>139</v>
      </c>
      <c r="M1" s="109" t="s">
        <v>156</v>
      </c>
    </row>
    <row r="2" spans="1:13" x14ac:dyDescent="0.25">
      <c r="A2" s="180"/>
      <c r="B2" s="181" t="s">
        <v>186</v>
      </c>
      <c r="C2" s="182"/>
      <c r="D2" s="183"/>
      <c r="E2" s="184" t="s">
        <v>187</v>
      </c>
      <c r="F2" s="184"/>
      <c r="G2" s="184"/>
      <c r="H2" s="185" t="s">
        <v>188</v>
      </c>
      <c r="I2" s="184"/>
      <c r="J2" s="186"/>
    </row>
    <row r="3" spans="1:13" x14ac:dyDescent="0.25">
      <c r="A3" s="187"/>
      <c r="B3" s="188" t="s">
        <v>134</v>
      </c>
      <c r="C3" s="189" t="s">
        <v>134</v>
      </c>
      <c r="D3" s="189" t="s">
        <v>134</v>
      </c>
      <c r="E3" s="188" t="s">
        <v>135</v>
      </c>
      <c r="F3" s="188" t="s">
        <v>135</v>
      </c>
      <c r="G3" s="145" t="s">
        <v>135</v>
      </c>
      <c r="H3" s="188" t="s">
        <v>136</v>
      </c>
      <c r="I3" s="188" t="s">
        <v>136</v>
      </c>
      <c r="J3" s="189" t="s">
        <v>136</v>
      </c>
    </row>
    <row r="4" spans="1:13" ht="13.8" thickBot="1" x14ac:dyDescent="0.3">
      <c r="A4" s="190"/>
      <c r="B4" s="191" t="s">
        <v>137</v>
      </c>
      <c r="C4" s="192" t="s">
        <v>138</v>
      </c>
      <c r="D4" s="192" t="s">
        <v>36</v>
      </c>
      <c r="E4" s="191" t="s">
        <v>137</v>
      </c>
      <c r="F4" s="191" t="s">
        <v>138</v>
      </c>
      <c r="G4" s="119" t="s">
        <v>36</v>
      </c>
      <c r="H4" s="191" t="s">
        <v>137</v>
      </c>
      <c r="I4" s="191" t="s">
        <v>138</v>
      </c>
      <c r="J4" s="192" t="s">
        <v>36</v>
      </c>
    </row>
    <row r="5" spans="1:13" x14ac:dyDescent="0.25">
      <c r="A5" s="193">
        <v>2015</v>
      </c>
      <c r="B5" s="194">
        <v>46.647923122257644</v>
      </c>
      <c r="C5" s="194">
        <v>40.404205895292186</v>
      </c>
      <c r="D5" s="195">
        <v>11.705016657975669</v>
      </c>
      <c r="E5" s="196">
        <v>8.0219988172412116</v>
      </c>
      <c r="F5" s="196">
        <v>6.9482727248997733</v>
      </c>
      <c r="G5" s="197">
        <v>2.0129005430740614</v>
      </c>
      <c r="H5" s="194">
        <v>335.86477778843278</v>
      </c>
      <c r="I5" s="196">
        <v>290.91004971806393</v>
      </c>
      <c r="J5" s="198">
        <v>84.276052516582794</v>
      </c>
    </row>
    <row r="6" spans="1:13" x14ac:dyDescent="0.25">
      <c r="A6" s="199">
        <v>2016</v>
      </c>
      <c r="B6" s="194">
        <v>39.518869288606119</v>
      </c>
      <c r="C6" s="194">
        <v>27.117245075334743</v>
      </c>
      <c r="D6" s="196">
        <v>12.54304297067455</v>
      </c>
      <c r="E6" s="196">
        <v>6.7960222336381975</v>
      </c>
      <c r="F6" s="196">
        <v>4.6633267541418304</v>
      </c>
      <c r="G6" s="197">
        <v>2.1570151282329406</v>
      </c>
      <c r="H6" s="194">
        <v>284.53563124945902</v>
      </c>
      <c r="I6" s="194">
        <v>195.24400834720345</v>
      </c>
      <c r="J6" s="196">
        <v>90.309837140987042</v>
      </c>
    </row>
    <row r="7" spans="1:13" x14ac:dyDescent="0.25">
      <c r="A7" s="199">
        <v>2017</v>
      </c>
      <c r="B7" s="194">
        <v>47.7799254684573</v>
      </c>
      <c r="C7" s="194">
        <v>33.638670042774073</v>
      </c>
      <c r="D7" s="196">
        <v>17.295416693138474</v>
      </c>
      <c r="E7" s="196">
        <v>8.2166681803022001</v>
      </c>
      <c r="F7" s="196">
        <v>5.7848099815604597</v>
      </c>
      <c r="G7" s="197">
        <v>2.97427630148555</v>
      </c>
      <c r="H7" s="194">
        <v>344.01518816074201</v>
      </c>
      <c r="I7" s="194">
        <v>242.19823054938888</v>
      </c>
      <c r="J7" s="196">
        <v>124.52690056907655</v>
      </c>
    </row>
    <row r="8" spans="1:13" x14ac:dyDescent="0.25">
      <c r="A8" s="199">
        <v>2018</v>
      </c>
      <c r="B8" s="194">
        <v>57.679669555843326</v>
      </c>
      <c r="C8" s="194">
        <v>37.457139604901961</v>
      </c>
      <c r="D8" s="196">
        <v>15.698038793054227</v>
      </c>
      <c r="E8" s="196">
        <v>9.9191177224150167</v>
      </c>
      <c r="F8" s="196">
        <v>6.4414685477045497</v>
      </c>
      <c r="G8" s="197">
        <v>2.6995767485905806</v>
      </c>
      <c r="H8" s="194">
        <v>415.29328856744104</v>
      </c>
      <c r="I8" s="194">
        <v>269.69118940234256</v>
      </c>
      <c r="J8" s="196">
        <v>113.02578888935932</v>
      </c>
    </row>
    <row r="9" spans="1:13" x14ac:dyDescent="0.25">
      <c r="A9" s="199">
        <v>2019</v>
      </c>
      <c r="B9" s="194">
        <v>63.39473737662982</v>
      </c>
      <c r="C9" s="194">
        <v>40.722823509642552</v>
      </c>
      <c r="D9" s="196">
        <v>16.156169080914566</v>
      </c>
      <c r="E9" s="196">
        <v>10.901932480933761</v>
      </c>
      <c r="F9" s="196">
        <v>7.003065091941969</v>
      </c>
      <c r="G9" s="197">
        <v>2.7783609769414559</v>
      </c>
      <c r="H9" s="194">
        <v>456.44174395833949</v>
      </c>
      <c r="I9" s="194">
        <v>293.20409470615056</v>
      </c>
      <c r="J9" s="196">
        <v>116.32432432312541</v>
      </c>
    </row>
    <row r="10" spans="1:13" x14ac:dyDescent="0.25">
      <c r="A10" s="199">
        <v>2020</v>
      </c>
      <c r="B10" s="194">
        <v>69.173641988499796</v>
      </c>
      <c r="C10" s="194">
        <v>44.146091159150068</v>
      </c>
      <c r="D10" s="196">
        <v>16.581681404586231</v>
      </c>
      <c r="E10" s="196">
        <v>11.895725191487497</v>
      </c>
      <c r="F10" s="196">
        <v>7.5917611623645858</v>
      </c>
      <c r="G10" s="197">
        <v>2.8515359251223096</v>
      </c>
      <c r="H10" s="194">
        <v>498.04982387733941</v>
      </c>
      <c r="I10" s="194">
        <v>317.85160206459881</v>
      </c>
      <c r="J10" s="196">
        <v>119.38801060261237</v>
      </c>
    </row>
    <row r="11" spans="1:13" x14ac:dyDescent="0.25">
      <c r="A11" s="199">
        <v>2021</v>
      </c>
      <c r="B11" s="194">
        <v>74.920028852118918</v>
      </c>
      <c r="C11" s="194">
        <v>47.506483304482408</v>
      </c>
      <c r="D11" s="196">
        <v>17.298161865096379</v>
      </c>
      <c r="E11" s="196">
        <v>12.883925855910389</v>
      </c>
      <c r="F11" s="196">
        <v>8.1696445923443513</v>
      </c>
      <c r="G11" s="197">
        <v>2.9747483860870814</v>
      </c>
      <c r="H11" s="194">
        <v>539.42377619623517</v>
      </c>
      <c r="I11" s="194">
        <v>342.04640615514836</v>
      </c>
      <c r="J11" s="196">
        <v>124.54666579136128</v>
      </c>
    </row>
    <row r="12" spans="1:13" x14ac:dyDescent="0.25">
      <c r="A12" s="199">
        <v>2022</v>
      </c>
      <c r="B12" s="194">
        <v>78.534823975681576</v>
      </c>
      <c r="C12" s="194">
        <v>49.349808897747124</v>
      </c>
      <c r="D12" s="196">
        <v>17.564899770992266</v>
      </c>
      <c r="E12" s="196">
        <v>13.505558723247045</v>
      </c>
      <c r="F12" s="196">
        <v>8.4866395352961508</v>
      </c>
      <c r="G12" s="197">
        <v>3.0206190491818168</v>
      </c>
      <c r="H12" s="194">
        <v>565.4502802646831</v>
      </c>
      <c r="I12" s="194">
        <v>355.31833980910744</v>
      </c>
      <c r="J12" s="196">
        <v>126.46717717740256</v>
      </c>
    </row>
    <row r="13" spans="1:13" x14ac:dyDescent="0.25">
      <c r="A13" s="199">
        <v>2023</v>
      </c>
      <c r="B13" s="194">
        <v>83.476773147603396</v>
      </c>
      <c r="C13" s="194">
        <v>51.761214459307737</v>
      </c>
      <c r="D13" s="196">
        <v>17.775915599965703</v>
      </c>
      <c r="E13" s="196">
        <v>14.355421005606773</v>
      </c>
      <c r="F13" s="196">
        <v>8.9013266482042539</v>
      </c>
      <c r="G13" s="197">
        <v>3.0569072398909203</v>
      </c>
      <c r="H13" s="194">
        <v>601.03228583691578</v>
      </c>
      <c r="I13" s="194">
        <v>372.68044596265889</v>
      </c>
      <c r="J13" s="196">
        <v>127.98648993056111</v>
      </c>
    </row>
    <row r="14" spans="1:13" x14ac:dyDescent="0.25">
      <c r="A14" s="199">
        <v>2024</v>
      </c>
      <c r="B14" s="194">
        <v>87.810430110199079</v>
      </c>
      <c r="C14" s="194">
        <v>54.017749769019538</v>
      </c>
      <c r="D14" s="196">
        <v>18.077111618523102</v>
      </c>
      <c r="E14" s="196">
        <v>15.100675857299926</v>
      </c>
      <c r="F14" s="196">
        <v>9.2893808717144513</v>
      </c>
      <c r="G14" s="197">
        <v>3.108703631732264</v>
      </c>
      <c r="H14" s="194">
        <v>632.23459100576054</v>
      </c>
      <c r="I14" s="194">
        <v>388.92748719495086</v>
      </c>
      <c r="J14" s="196">
        <v>130.15509952928679</v>
      </c>
    </row>
    <row r="15" spans="1:13" x14ac:dyDescent="0.25">
      <c r="A15" s="199">
        <v>2025</v>
      </c>
      <c r="B15" s="194">
        <v>91.470553245569576</v>
      </c>
      <c r="C15" s="194">
        <v>56.083132220007698</v>
      </c>
      <c r="D15" s="196">
        <v>18.363121707928922</v>
      </c>
      <c r="E15" s="196">
        <v>15.730103739564845</v>
      </c>
      <c r="F15" s="196">
        <v>9.6445627205516242</v>
      </c>
      <c r="G15" s="197">
        <v>3.1578885138312849</v>
      </c>
      <c r="H15" s="194">
        <v>658.58745649813568</v>
      </c>
      <c r="I15" s="194">
        <v>403.79822894547226</v>
      </c>
      <c r="J15" s="196">
        <v>132.21437052559182</v>
      </c>
    </row>
    <row r="16" spans="1:13" x14ac:dyDescent="0.25">
      <c r="A16" s="199">
        <v>2026</v>
      </c>
      <c r="B16" s="194">
        <v>93.754981851488338</v>
      </c>
      <c r="C16" s="194">
        <v>56.970994369652722</v>
      </c>
      <c r="D16" s="196">
        <v>19.066710727465065</v>
      </c>
      <c r="E16" s="196">
        <v>16.122954746601604</v>
      </c>
      <c r="F16" s="196">
        <v>9.7972475270254034</v>
      </c>
      <c r="G16" s="197">
        <v>3.2788840459957118</v>
      </c>
      <c r="H16" s="194">
        <v>675.03532930245251</v>
      </c>
      <c r="I16" s="194">
        <v>410.1908313088345</v>
      </c>
      <c r="J16" s="196">
        <v>137.28020741358253</v>
      </c>
    </row>
    <row r="17" spans="1:10" x14ac:dyDescent="0.25">
      <c r="A17" s="199">
        <v>2027</v>
      </c>
      <c r="B17" s="194">
        <v>95.820429798557186</v>
      </c>
      <c r="C17" s="194">
        <v>57.801828295955907</v>
      </c>
      <c r="D17" s="196">
        <v>19.768705754545042</v>
      </c>
      <c r="E17" s="196">
        <v>16.478147858737263</v>
      </c>
      <c r="F17" s="196">
        <v>9.9401252443604307</v>
      </c>
      <c r="G17" s="197">
        <v>3.3996054607988033</v>
      </c>
      <c r="H17" s="194">
        <v>689.90654262437761</v>
      </c>
      <c r="I17" s="194">
        <v>416.17283079261784</v>
      </c>
      <c r="J17" s="196">
        <v>142.33456756507024</v>
      </c>
    </row>
    <row r="18" spans="1:10" x14ac:dyDescent="0.25">
      <c r="A18" s="199">
        <v>2028</v>
      </c>
      <c r="B18" s="194">
        <v>97.22536638427168</v>
      </c>
      <c r="C18" s="194">
        <v>58.72374647036569</v>
      </c>
      <c r="D18" s="196">
        <v>20.496044509434807</v>
      </c>
      <c r="E18" s="196">
        <v>16.719753462471484</v>
      </c>
      <c r="F18" s="196">
        <v>10.098666632908975</v>
      </c>
      <c r="G18" s="197">
        <v>3.5246852122845751</v>
      </c>
      <c r="H18" s="194">
        <v>700.02207794909373</v>
      </c>
      <c r="I18" s="194">
        <v>422.81063633812386</v>
      </c>
      <c r="J18" s="196">
        <v>147.57140241080867</v>
      </c>
    </row>
    <row r="19" spans="1:10" x14ac:dyDescent="0.25">
      <c r="A19" s="199">
        <v>2029</v>
      </c>
      <c r="B19" s="194">
        <v>99.429519932406038</v>
      </c>
      <c r="C19" s="194">
        <v>59.646726559095022</v>
      </c>
      <c r="D19" s="196">
        <v>21.230029263219585</v>
      </c>
      <c r="E19" s="196">
        <v>17.09879964443784</v>
      </c>
      <c r="F19" s="196">
        <v>10.257390637849531</v>
      </c>
      <c r="G19" s="197">
        <v>3.650907869857194</v>
      </c>
      <c r="H19" s="194">
        <v>715.89197079974679</v>
      </c>
      <c r="I19" s="194">
        <v>429.456087660614</v>
      </c>
      <c r="J19" s="196">
        <v>152.85608841031026</v>
      </c>
    </row>
    <row r="20" spans="1:10" x14ac:dyDescent="0.25">
      <c r="A20" s="199">
        <v>2030</v>
      </c>
      <c r="B20" s="194">
        <v>100.76520225011646</v>
      </c>
      <c r="C20" s="194">
        <v>60.99039274803318</v>
      </c>
      <c r="D20" s="196">
        <v>22.038119674192302</v>
      </c>
      <c r="E20" s="196">
        <v>17.328495657801625</v>
      </c>
      <c r="F20" s="196">
        <v>10.48845962992832</v>
      </c>
      <c r="G20" s="197">
        <v>3.7898744065678933</v>
      </c>
      <c r="H20" s="194">
        <v>725.50887579373784</v>
      </c>
      <c r="I20" s="194">
        <v>439.13047648145766</v>
      </c>
      <c r="J20" s="196">
        <v>158.67433471471679</v>
      </c>
    </row>
    <row r="21" spans="1:10" x14ac:dyDescent="0.25">
      <c r="A21" s="199">
        <v>2031</v>
      </c>
      <c r="B21" s="194">
        <v>102.03735629945062</v>
      </c>
      <c r="C21" s="194">
        <v>61.841401407266041</v>
      </c>
      <c r="D21" s="196">
        <v>22.235333856599606</v>
      </c>
      <c r="E21" s="196">
        <v>17.54726677548592</v>
      </c>
      <c r="F21" s="196">
        <v>10.634806776829929</v>
      </c>
      <c r="G21" s="197">
        <v>3.8237891412897</v>
      </c>
      <c r="H21" s="194">
        <v>734.6683776213423</v>
      </c>
      <c r="I21" s="194">
        <v>445.25773392612831</v>
      </c>
      <c r="J21" s="196">
        <v>160.0942756920966</v>
      </c>
    </row>
    <row r="22" spans="1:10" x14ac:dyDescent="0.25">
      <c r="A22" s="199">
        <v>2032</v>
      </c>
      <c r="B22" s="194">
        <v>102.66323874797321</v>
      </c>
      <c r="C22" s="194">
        <v>62.813238068775107</v>
      </c>
      <c r="D22" s="196">
        <v>22.519773335329759</v>
      </c>
      <c r="E22" s="196">
        <v>17.654899182798488</v>
      </c>
      <c r="F22" s="196">
        <v>10.801932599961324</v>
      </c>
      <c r="G22" s="197">
        <v>3.872703926969864</v>
      </c>
      <c r="H22" s="194">
        <v>739.1747276456249</v>
      </c>
      <c r="I22" s="194">
        <v>452.2549522912189</v>
      </c>
      <c r="J22" s="196">
        <v>162.14223830058361</v>
      </c>
    </row>
    <row r="23" spans="1:10" x14ac:dyDescent="0.25">
      <c r="A23" s="199">
        <v>2033</v>
      </c>
      <c r="B23" s="194">
        <v>103.38354163552876</v>
      </c>
      <c r="C23" s="194">
        <v>63.683290254044408</v>
      </c>
      <c r="D23" s="196">
        <v>22.81863358227967</v>
      </c>
      <c r="E23" s="196">
        <v>17.778768982894025</v>
      </c>
      <c r="F23" s="196">
        <v>10.951554643859742</v>
      </c>
      <c r="G23" s="197">
        <v>3.9240986383971914</v>
      </c>
      <c r="H23" s="194">
        <v>744.3609042870836</v>
      </c>
      <c r="I23" s="194">
        <v>458.51932301366128</v>
      </c>
      <c r="J23" s="196">
        <v>164.29403035718931</v>
      </c>
    </row>
    <row r="24" spans="1:10" x14ac:dyDescent="0.25">
      <c r="A24" s="199">
        <v>2034</v>
      </c>
      <c r="B24" s="194">
        <v>104.19792962007271</v>
      </c>
      <c r="C24" s="194">
        <v>64.472465128071846</v>
      </c>
      <c r="D24" s="196">
        <v>23.092784241502489</v>
      </c>
      <c r="E24" s="196">
        <v>17.918818507321188</v>
      </c>
      <c r="F24" s="196">
        <v>11.087268293735484</v>
      </c>
      <c r="G24" s="197">
        <v>3.9712440656066188</v>
      </c>
      <c r="H24" s="194">
        <v>750.22449308492901</v>
      </c>
      <c r="I24" s="194">
        <v>464.20137756101519</v>
      </c>
      <c r="J24" s="196">
        <v>166.26791352448708</v>
      </c>
    </row>
    <row r="25" spans="1:10" x14ac:dyDescent="0.25">
      <c r="A25" s="199">
        <v>2035</v>
      </c>
      <c r="B25" s="194">
        <v>105.11540097496815</v>
      </c>
      <c r="C25" s="194">
        <v>65.138457962366758</v>
      </c>
      <c r="D25" s="196">
        <v>23.335888624016903</v>
      </c>
      <c r="E25" s="196">
        <v>18.07659518056202</v>
      </c>
      <c r="F25" s="196">
        <v>11.201798445806837</v>
      </c>
      <c r="G25" s="197">
        <v>4.0130504942419432</v>
      </c>
      <c r="H25" s="194">
        <v>756.83028155554541</v>
      </c>
      <c r="I25" s="194">
        <v>468.99652213182293</v>
      </c>
      <c r="J25" s="196">
        <v>168.01826367831075</v>
      </c>
    </row>
    <row r="26" spans="1:10" x14ac:dyDescent="0.25">
      <c r="A26" s="199">
        <v>2036</v>
      </c>
      <c r="B26" s="194">
        <v>106.15233124400517</v>
      </c>
      <c r="C26" s="194">
        <v>65.766186196996841</v>
      </c>
      <c r="D26" s="196">
        <v>23.491528086411304</v>
      </c>
      <c r="E26" s="196">
        <v>18.254915089252822</v>
      </c>
      <c r="F26" s="196">
        <v>11.309748271194641</v>
      </c>
      <c r="G26" s="197">
        <v>4.0398156640432159</v>
      </c>
      <c r="H26" s="194">
        <v>764.29617351989828</v>
      </c>
      <c r="I26" s="194">
        <v>473.51616180544778</v>
      </c>
      <c r="J26" s="196">
        <v>169.13886691106785</v>
      </c>
    </row>
    <row r="27" spans="1:10" x14ac:dyDescent="0.25">
      <c r="A27" s="199">
        <v>2037</v>
      </c>
      <c r="B27" s="194">
        <v>107.33390627670806</v>
      </c>
      <c r="C27" s="194">
        <v>66.277803746725553</v>
      </c>
      <c r="D27" s="196">
        <v>23.684722056847132</v>
      </c>
      <c r="E27" s="196">
        <v>18.458109419898204</v>
      </c>
      <c r="F27" s="196">
        <v>11.397730652919268</v>
      </c>
      <c r="G27" s="197">
        <v>4.0730390467492912</v>
      </c>
      <c r="H27" s="194">
        <v>772.80350694949243</v>
      </c>
      <c r="I27" s="194">
        <v>477.19980521657976</v>
      </c>
      <c r="J27" s="196">
        <v>170.52986238540942</v>
      </c>
    </row>
    <row r="28" spans="1:10" x14ac:dyDescent="0.25">
      <c r="A28" s="199">
        <v>2038</v>
      </c>
      <c r="B28" s="194">
        <v>108.61588307253336</v>
      </c>
      <c r="C28" s="194">
        <v>66.774976801926073</v>
      </c>
      <c r="D28" s="196">
        <v>23.905196375991267</v>
      </c>
      <c r="E28" s="196">
        <v>18.678569745921472</v>
      </c>
      <c r="F28" s="196">
        <v>11.483229028706116</v>
      </c>
      <c r="G28" s="197">
        <v>4.1109538049856003</v>
      </c>
      <c r="H28" s="194">
        <v>782.03373249525418</v>
      </c>
      <c r="I28" s="194">
        <v>480.779448350309</v>
      </c>
      <c r="J28" s="196">
        <v>172.11727621331613</v>
      </c>
    </row>
    <row r="29" spans="1:10" x14ac:dyDescent="0.25">
      <c r="A29" s="199">
        <v>2039</v>
      </c>
      <c r="B29" s="194">
        <v>109.94396770251805</v>
      </c>
      <c r="C29" s="194">
        <v>67.326926172398046</v>
      </c>
      <c r="D29" s="196">
        <v>24.148292442859411</v>
      </c>
      <c r="E29" s="196">
        <v>18.906959192178512</v>
      </c>
      <c r="F29" s="196">
        <v>11.578147235150135</v>
      </c>
      <c r="G29" s="197">
        <v>4.1527588035871723</v>
      </c>
      <c r="H29" s="194">
        <v>791.59593418138252</v>
      </c>
      <c r="I29" s="194">
        <v>484.75348063848139</v>
      </c>
      <c r="J29" s="196">
        <v>173.86756649453454</v>
      </c>
    </row>
    <row r="30" spans="1:10" ht="13.8" thickBot="1" x14ac:dyDescent="0.3">
      <c r="A30" s="200">
        <v>2040</v>
      </c>
      <c r="B30" s="201">
        <v>111.30022422100549</v>
      </c>
      <c r="C30" s="201">
        <v>67.335011717325685</v>
      </c>
      <c r="D30" s="202">
        <v>24.323381365668133</v>
      </c>
      <c r="E30" s="202">
        <v>19.140193331213325</v>
      </c>
      <c r="F30" s="202">
        <v>11.579537698594271</v>
      </c>
      <c r="G30" s="203">
        <v>4.1828686785327829</v>
      </c>
      <c r="H30" s="201">
        <v>801.36097330246082</v>
      </c>
      <c r="I30" s="201">
        <v>484.81169651538767</v>
      </c>
      <c r="J30" s="202">
        <v>175.12820573024595</v>
      </c>
    </row>
    <row r="31" spans="1:10" x14ac:dyDescent="0.25">
      <c r="A31" s="109"/>
      <c r="B31" s="117"/>
      <c r="E31" s="204" t="s">
        <v>189</v>
      </c>
      <c r="H31" s="204" t="s">
        <v>190</v>
      </c>
    </row>
    <row r="32" spans="1:10" x14ac:dyDescent="0.25">
      <c r="A32" s="109"/>
    </row>
    <row r="33" spans="1:1" x14ac:dyDescent="0.25">
      <c r="A33" s="109"/>
    </row>
    <row r="34" spans="1:1" x14ac:dyDescent="0.25">
      <c r="A34" s="109"/>
    </row>
    <row r="35" spans="1:1" x14ac:dyDescent="0.25">
      <c r="A35" s="109"/>
    </row>
    <row r="36" spans="1:1" x14ac:dyDescent="0.25">
      <c r="A36" s="109"/>
    </row>
    <row r="37" spans="1:1" x14ac:dyDescent="0.25">
      <c r="A37" s="109"/>
    </row>
  </sheetData>
  <mergeCells count="5">
    <mergeCell ref="B1:J1"/>
    <mergeCell ref="A2:A4"/>
    <mergeCell ref="B2:D2"/>
    <mergeCell ref="E2:G2"/>
    <mergeCell ref="H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2:P107"/>
  <sheetViews>
    <sheetView topLeftCell="A23" zoomScale="85" zoomScaleNormal="85" workbookViewId="0">
      <selection activeCell="AL7" sqref="AL7"/>
    </sheetView>
  </sheetViews>
  <sheetFormatPr defaultRowHeight="13.2" x14ac:dyDescent="0.25"/>
  <cols>
    <col min="1" max="1" width="24.44140625" customWidth="1"/>
    <col min="2" max="2" width="15.88671875" customWidth="1"/>
    <col min="3" max="3" width="9.6640625" customWidth="1"/>
    <col min="4" max="4" width="11.109375" customWidth="1"/>
    <col min="5" max="5" width="11.5546875" bestFit="1" customWidth="1"/>
    <col min="6" max="6" width="7.109375" customWidth="1"/>
    <col min="7" max="7" width="18" customWidth="1"/>
    <col min="8" max="8" width="12.44140625" customWidth="1"/>
    <col min="11" max="11" width="16.109375" customWidth="1"/>
    <col min="12" max="12" width="33" bestFit="1" customWidth="1"/>
    <col min="16" max="16" width="9.88671875" customWidth="1"/>
    <col min="17" max="17" width="43.6640625" customWidth="1"/>
    <col min="18" max="18" width="74.88671875" customWidth="1"/>
  </cols>
  <sheetData>
    <row r="2" spans="1:13" ht="15.6" x14ac:dyDescent="0.3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13" x14ac:dyDescent="0.25">
      <c r="A3" t="s">
        <v>1</v>
      </c>
      <c r="B3">
        <f>24*365</f>
        <v>8760</v>
      </c>
      <c r="C3" t="s">
        <v>2</v>
      </c>
      <c r="M3" s="2"/>
    </row>
    <row r="4" spans="1:13" ht="15.6" x14ac:dyDescent="0.3">
      <c r="A4" s="99" t="s">
        <v>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13" x14ac:dyDescent="0.25">
      <c r="B5" s="5">
        <v>1</v>
      </c>
      <c r="C5" s="4" t="s">
        <v>4</v>
      </c>
      <c r="D5" s="4" t="s">
        <v>5</v>
      </c>
      <c r="F5" s="4" t="s">
        <v>6</v>
      </c>
      <c r="M5" s="2"/>
    </row>
    <row r="6" spans="1:13" x14ac:dyDescent="0.25">
      <c r="B6" s="5">
        <v>1</v>
      </c>
      <c r="C6" s="4" t="s">
        <v>7</v>
      </c>
      <c r="E6">
        <v>277.8</v>
      </c>
      <c r="F6" s="4" t="s">
        <v>8</v>
      </c>
      <c r="M6" s="2"/>
    </row>
    <row r="7" spans="1:13" x14ac:dyDescent="0.25">
      <c r="B7" s="5">
        <v>1</v>
      </c>
      <c r="C7" s="4" t="s">
        <v>9</v>
      </c>
      <c r="E7" s="5">
        <f>B7/3600*1000</f>
        <v>0.27777777777777779</v>
      </c>
      <c r="F7" s="4" t="s">
        <v>8</v>
      </c>
      <c r="M7" s="2"/>
    </row>
    <row r="8" spans="1:13" x14ac:dyDescent="0.25">
      <c r="B8" s="26">
        <f>1000000000000000</f>
        <v>1000000000000000</v>
      </c>
      <c r="C8" s="4" t="s">
        <v>10</v>
      </c>
      <c r="F8" s="4"/>
      <c r="M8" s="2"/>
    </row>
    <row r="9" spans="1:13" x14ac:dyDescent="0.25">
      <c r="B9" s="26">
        <f>B8/3600</f>
        <v>277777777777.77777</v>
      </c>
      <c r="C9" s="4" t="s">
        <v>11</v>
      </c>
      <c r="F9" s="4"/>
      <c r="M9" s="2"/>
    </row>
    <row r="10" spans="1:13" x14ac:dyDescent="0.25">
      <c r="B10" s="26">
        <f>B9/1000000000</f>
        <v>277.77777777777777</v>
      </c>
      <c r="C10" s="4" t="s">
        <v>6</v>
      </c>
      <c r="M10" s="2"/>
    </row>
    <row r="12" spans="1:13" ht="15.6" x14ac:dyDescent="0.3">
      <c r="A12" s="99" t="s">
        <v>12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1:13" x14ac:dyDescent="0.25">
      <c r="A13" s="6" t="s">
        <v>46</v>
      </c>
      <c r="B13" s="23">
        <v>5.82</v>
      </c>
      <c r="C13" s="6" t="s">
        <v>7</v>
      </c>
    </row>
    <row r="14" spans="1:13" x14ac:dyDescent="0.25">
      <c r="A14" s="6" t="s">
        <v>13</v>
      </c>
      <c r="B14" s="23">
        <v>1.0549999999999999</v>
      </c>
      <c r="C14" s="6" t="s">
        <v>7</v>
      </c>
    </row>
    <row r="15" spans="1:13" ht="13.8" thickBot="1" x14ac:dyDescent="0.3">
      <c r="A15" s="6" t="s">
        <v>14</v>
      </c>
      <c r="B15" s="23">
        <v>41.868000000000002</v>
      </c>
      <c r="C15" s="6" t="s">
        <v>7</v>
      </c>
      <c r="D15" s="6"/>
    </row>
    <row r="16" spans="1:13" ht="13.8" thickBot="1" x14ac:dyDescent="0.3">
      <c r="A16" s="7" t="s">
        <v>15</v>
      </c>
      <c r="B16" s="24">
        <v>3.5999999999999999E-3</v>
      </c>
      <c r="C16" s="7" t="s">
        <v>7</v>
      </c>
      <c r="E16" s="57" t="s">
        <v>16</v>
      </c>
      <c r="F16" s="84">
        <f>1/B16</f>
        <v>277.77777777777777</v>
      </c>
      <c r="G16" s="58" t="s">
        <v>6</v>
      </c>
      <c r="H16" s="85">
        <f>F16*1000000</f>
        <v>277777777.77777779</v>
      </c>
      <c r="I16" s="59" t="s">
        <v>8</v>
      </c>
      <c r="L16" s="65" t="s">
        <v>66</v>
      </c>
      <c r="M16" s="66"/>
    </row>
    <row r="17" spans="1:13" ht="13.8" thickBot="1" x14ac:dyDescent="0.3">
      <c r="A17" s="9" t="s">
        <v>17</v>
      </c>
      <c r="B17" s="25">
        <v>28.1</v>
      </c>
      <c r="C17" s="9" t="s">
        <v>7</v>
      </c>
      <c r="L17" s="67"/>
      <c r="M17" s="68" t="s">
        <v>67</v>
      </c>
    </row>
    <row r="18" spans="1:13" x14ac:dyDescent="0.25">
      <c r="A18" s="11" t="s">
        <v>18</v>
      </c>
      <c r="B18" s="25">
        <v>41.84</v>
      </c>
      <c r="C18" s="9" t="s">
        <v>7</v>
      </c>
      <c r="L18" s="44" t="s">
        <v>55</v>
      </c>
      <c r="M18" s="61">
        <v>1.022</v>
      </c>
    </row>
    <row r="19" spans="1:13" x14ac:dyDescent="0.25">
      <c r="A19" s="11" t="s">
        <v>19</v>
      </c>
      <c r="B19" s="23">
        <v>31.536000000000001</v>
      </c>
      <c r="C19" s="9" t="s">
        <v>52</v>
      </c>
      <c r="L19" s="12" t="s">
        <v>56</v>
      </c>
      <c r="M19" s="62">
        <v>1.08</v>
      </c>
    </row>
    <row r="20" spans="1:13" ht="13.8" thickBot="1" x14ac:dyDescent="0.3">
      <c r="A20" s="9"/>
      <c r="B20" s="10"/>
      <c r="C20" s="10"/>
      <c r="L20" s="12" t="s">
        <v>57</v>
      </c>
      <c r="M20" s="62">
        <v>1.0149999999999999</v>
      </c>
    </row>
    <row r="21" spans="1:13" x14ac:dyDescent="0.25">
      <c r="A21" s="83" t="s">
        <v>87</v>
      </c>
      <c r="B21" s="69"/>
      <c r="C21" s="70" t="s">
        <v>20</v>
      </c>
      <c r="D21" s="71" t="s">
        <v>21</v>
      </c>
      <c r="E21" s="71" t="s">
        <v>22</v>
      </c>
      <c r="F21" s="71" t="s">
        <v>23</v>
      </c>
      <c r="G21" s="87" t="s">
        <v>89</v>
      </c>
      <c r="L21" s="12" t="s">
        <v>58</v>
      </c>
      <c r="M21" s="62">
        <v>1.1499999999999999</v>
      </c>
    </row>
    <row r="22" spans="1:13" x14ac:dyDescent="0.25">
      <c r="A22" s="12"/>
      <c r="B22" s="72" t="s">
        <v>24</v>
      </c>
      <c r="C22" s="13">
        <f>$B$15/F22</f>
        <v>3.4943032800000003E-2</v>
      </c>
      <c r="D22" s="73">
        <v>1.07</v>
      </c>
      <c r="E22" s="74">
        <v>0.78</v>
      </c>
      <c r="F22" s="75">
        <f>1000/(D22*E22)</f>
        <v>1198.1787682722261</v>
      </c>
      <c r="G22" s="62">
        <f>C22/E22</f>
        <v>4.479876E-2</v>
      </c>
      <c r="L22" s="12" t="s">
        <v>59</v>
      </c>
      <c r="M22" s="62">
        <v>1.1299999999999999</v>
      </c>
    </row>
    <row r="23" spans="1:13" x14ac:dyDescent="0.25">
      <c r="A23" s="12"/>
      <c r="B23" s="72" t="s">
        <v>25</v>
      </c>
      <c r="C23" s="13">
        <f>$B$15/F23</f>
        <v>3.7266706799999993E-2</v>
      </c>
      <c r="D23" s="73">
        <v>1.0349999999999999</v>
      </c>
      <c r="E23" s="74">
        <v>0.86</v>
      </c>
      <c r="F23" s="75">
        <f>1000/(D23*E23)</f>
        <v>1123.4692731153805</v>
      </c>
      <c r="G23" s="62">
        <f>C23/E23</f>
        <v>4.3333379999999991E-2</v>
      </c>
      <c r="L23" s="12" t="s">
        <v>60</v>
      </c>
      <c r="M23" s="62">
        <v>1.07</v>
      </c>
    </row>
    <row r="24" spans="1:13" x14ac:dyDescent="0.25">
      <c r="A24" s="12"/>
      <c r="B24" s="72"/>
      <c r="C24" s="76" t="s">
        <v>26</v>
      </c>
      <c r="D24" s="76" t="s">
        <v>21</v>
      </c>
      <c r="E24" s="76" t="s">
        <v>22</v>
      </c>
      <c r="F24" s="76" t="s">
        <v>23</v>
      </c>
      <c r="G24" s="77" t="s">
        <v>27</v>
      </c>
      <c r="L24" s="12" t="s">
        <v>61</v>
      </c>
      <c r="M24" s="62">
        <v>1.07</v>
      </c>
    </row>
    <row r="25" spans="1:13" x14ac:dyDescent="0.25">
      <c r="A25" s="12"/>
      <c r="B25" s="78" t="s">
        <v>28</v>
      </c>
      <c r="C25" s="73">
        <f>(B15/F25)*1000</f>
        <v>36.375420815999995</v>
      </c>
      <c r="D25" s="16">
        <v>1.0343</v>
      </c>
      <c r="E25" s="74">
        <v>0.84</v>
      </c>
      <c r="F25" s="75">
        <f>1000/(D25*E25)</f>
        <v>1150.9969935958529</v>
      </c>
      <c r="G25" s="79">
        <f>D25*B15</f>
        <v>43.304072400000003</v>
      </c>
      <c r="L25" s="12" t="s">
        <v>62</v>
      </c>
      <c r="M25" s="62">
        <v>1.0649999999999999</v>
      </c>
    </row>
    <row r="26" spans="1:13" x14ac:dyDescent="0.25">
      <c r="A26" s="12"/>
      <c r="B26" s="78"/>
      <c r="C26" s="15" t="s">
        <v>27</v>
      </c>
      <c r="D26" s="76" t="s">
        <v>21</v>
      </c>
      <c r="E26" s="76" t="s">
        <v>22</v>
      </c>
      <c r="F26" s="76" t="s">
        <v>23</v>
      </c>
      <c r="G26" s="62"/>
      <c r="L26" s="12" t="s">
        <v>38</v>
      </c>
      <c r="M26" s="62">
        <v>1.0449999999999999</v>
      </c>
    </row>
    <row r="27" spans="1:13" ht="13.8" thickBot="1" x14ac:dyDescent="0.3">
      <c r="A27" s="12"/>
      <c r="B27" s="80" t="s">
        <v>29</v>
      </c>
      <c r="C27" s="81">
        <f>D27*B15</f>
        <v>40.193280000000001</v>
      </c>
      <c r="D27" s="38">
        <v>0.96</v>
      </c>
      <c r="E27" s="37">
        <v>0.95</v>
      </c>
      <c r="F27" s="82">
        <f>1000/(D27*E27)</f>
        <v>1096.4912280701756</v>
      </c>
      <c r="G27" s="64"/>
      <c r="L27" s="12" t="s">
        <v>63</v>
      </c>
      <c r="M27" s="62">
        <v>1.075</v>
      </c>
    </row>
    <row r="28" spans="1:13" x14ac:dyDescent="0.25">
      <c r="A28" s="22"/>
      <c r="B28" s="19"/>
      <c r="C28" s="13"/>
      <c r="D28" s="5"/>
      <c r="E28" s="14"/>
      <c r="F28" s="8"/>
      <c r="L28" s="12" t="s">
        <v>64</v>
      </c>
      <c r="M28" s="62">
        <v>1.0349999999999999</v>
      </c>
    </row>
    <row r="29" spans="1:13" ht="13.8" thickBot="1" x14ac:dyDescent="0.3">
      <c r="C29" s="1"/>
      <c r="D29" s="6"/>
      <c r="E29" s="1"/>
      <c r="G29" s="6"/>
      <c r="L29" s="63" t="s">
        <v>65</v>
      </c>
      <c r="M29" s="64">
        <v>0.96</v>
      </c>
    </row>
    <row r="31" spans="1:13" ht="15.6" x14ac:dyDescent="0.3">
      <c r="A31" s="99" t="s">
        <v>30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1:13" x14ac:dyDescent="0.25">
      <c r="A32" s="20"/>
      <c r="B32" s="32"/>
      <c r="C32" s="21"/>
      <c r="D32" s="21"/>
      <c r="E32" s="21"/>
      <c r="F32" s="21"/>
      <c r="G32" s="21"/>
      <c r="H32" s="21"/>
      <c r="I32" s="21"/>
      <c r="J32" s="21"/>
    </row>
    <row r="33" spans="1:13" s="30" customFormat="1" x14ac:dyDescent="0.25">
      <c r="A33" s="31"/>
      <c r="B33" s="28"/>
      <c r="C33" s="18"/>
      <c r="G33" s="27"/>
    </row>
    <row r="34" spans="1:13" s="30" customFormat="1" x14ac:dyDescent="0.25">
      <c r="B34" s="31"/>
      <c r="C34" s="14"/>
      <c r="D34" s="3"/>
      <c r="G34" s="29"/>
    </row>
    <row r="35" spans="1:13" s="30" customFormat="1" x14ac:dyDescent="0.25">
      <c r="B35" s="31"/>
      <c r="C35" s="14"/>
    </row>
    <row r="37" spans="1:13" s="30" customFormat="1" ht="16.2" thickBot="1" x14ac:dyDescent="0.35">
      <c r="A37" s="99" t="s">
        <v>86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1:13" ht="13.8" thickBot="1" x14ac:dyDescent="0.3">
      <c r="B38" s="54" t="s">
        <v>53</v>
      </c>
      <c r="C38" s="59" t="s">
        <v>51</v>
      </c>
    </row>
    <row r="39" spans="1:13" ht="13.8" thickBot="1" x14ac:dyDescent="0.3">
      <c r="A39" s="57" t="s">
        <v>44</v>
      </c>
      <c r="B39" s="58">
        <v>1</v>
      </c>
      <c r="C39" s="60">
        <f>B39/B13</f>
        <v>0.1718213058419244</v>
      </c>
    </row>
    <row r="40" spans="1:13" ht="13.8" thickBot="1" x14ac:dyDescent="0.3">
      <c r="B40" s="31"/>
      <c r="C40" s="31" t="s">
        <v>48</v>
      </c>
      <c r="I40" s="43" t="s">
        <v>69</v>
      </c>
    </row>
    <row r="41" spans="1:13" ht="13.8" thickBot="1" x14ac:dyDescent="0.3">
      <c r="B41" s="54" t="s">
        <v>54</v>
      </c>
      <c r="C41" s="55" t="s">
        <v>68</v>
      </c>
      <c r="D41" s="56" t="s">
        <v>51</v>
      </c>
      <c r="G41" s="34" t="s">
        <v>70</v>
      </c>
      <c r="H41" s="39">
        <f>I41*J41</f>
        <v>922.89999999999986</v>
      </c>
      <c r="I41" s="35">
        <v>9.2289999999999992</v>
      </c>
      <c r="J41" s="41">
        <v>100</v>
      </c>
      <c r="K41" s="27" t="s">
        <v>85</v>
      </c>
      <c r="L41" s="27"/>
    </row>
    <row r="42" spans="1:13" ht="13.8" thickBot="1" x14ac:dyDescent="0.3">
      <c r="A42" s="44" t="s">
        <v>35</v>
      </c>
      <c r="B42" s="45">
        <v>1</v>
      </c>
      <c r="C42" s="46">
        <f>B42/M22</f>
        <v>0.88495575221238942</v>
      </c>
      <c r="D42" s="47">
        <f>C42/$B$15</f>
        <v>2.1136805011282827E-2</v>
      </c>
      <c r="G42" s="36" t="s">
        <v>72</v>
      </c>
      <c r="H42" s="40">
        <f>H41*D42</f>
        <v>19.507157344912919</v>
      </c>
      <c r="I42" s="100">
        <f>H42/J42</f>
        <v>1.1353165574739319</v>
      </c>
      <c r="J42" s="42">
        <f>J41*C39</f>
        <v>17.182130584192439</v>
      </c>
      <c r="K42" s="27" t="s">
        <v>84</v>
      </c>
    </row>
    <row r="43" spans="1:13" x14ac:dyDescent="0.25">
      <c r="A43" s="48" t="s">
        <v>38</v>
      </c>
      <c r="B43" s="33">
        <v>1</v>
      </c>
      <c r="C43" s="49">
        <f>B43/M26</f>
        <v>0.95693779904306231</v>
      </c>
      <c r="D43" s="50">
        <f t="shared" ref="D43:D46" si="0">C43/$B$15</f>
        <v>2.2856066662918274E-2</v>
      </c>
      <c r="G43" s="34" t="s">
        <v>73</v>
      </c>
      <c r="H43" s="39">
        <f>I43*J43</f>
        <v>1031.4000000000001</v>
      </c>
      <c r="I43" s="101">
        <v>10.314</v>
      </c>
      <c r="J43" s="41">
        <v>100</v>
      </c>
      <c r="K43" s="27" t="s">
        <v>85</v>
      </c>
      <c r="L43" s="86"/>
    </row>
    <row r="44" spans="1:13" ht="13.8" thickBot="1" x14ac:dyDescent="0.3">
      <c r="A44" s="48" t="s">
        <v>25</v>
      </c>
      <c r="B44" s="33">
        <v>1</v>
      </c>
      <c r="C44" s="49">
        <f>B44/M28</f>
        <v>0.96618357487922713</v>
      </c>
      <c r="D44" s="50">
        <f t="shared" si="0"/>
        <v>2.3076898224878836E-2</v>
      </c>
      <c r="G44" s="36" t="s">
        <v>74</v>
      </c>
      <c r="H44" s="40">
        <f>H43*D43</f>
        <v>23.573747156133908</v>
      </c>
      <c r="I44" s="100">
        <f>H44/J44</f>
        <v>1.3719920844869935</v>
      </c>
      <c r="J44" s="42">
        <f>J43*$C$39</f>
        <v>17.182130584192439</v>
      </c>
      <c r="K44" s="27" t="s">
        <v>84</v>
      </c>
    </row>
    <row r="45" spans="1:13" x14ac:dyDescent="0.25">
      <c r="A45" s="48" t="s">
        <v>71</v>
      </c>
      <c r="B45" s="33">
        <v>1</v>
      </c>
      <c r="C45" s="49">
        <f>B45/M29</f>
        <v>1.0416666666666667</v>
      </c>
      <c r="D45" s="50">
        <f t="shared" si="0"/>
        <v>2.4879780898697496E-2</v>
      </c>
      <c r="G45" s="34" t="s">
        <v>75</v>
      </c>
      <c r="H45" s="39">
        <f>I45*J45</f>
        <v>944.6</v>
      </c>
      <c r="I45" s="101">
        <v>9.4459999999999997</v>
      </c>
      <c r="J45" s="41">
        <v>100</v>
      </c>
      <c r="K45" s="27" t="s">
        <v>85</v>
      </c>
    </row>
    <row r="46" spans="1:13" ht="13.8" thickBot="1" x14ac:dyDescent="0.3">
      <c r="A46" s="36" t="s">
        <v>24</v>
      </c>
      <c r="B46" s="51">
        <v>1</v>
      </c>
      <c r="C46" s="52">
        <f>B46/M24</f>
        <v>0.93457943925233644</v>
      </c>
      <c r="D46" s="53">
        <f t="shared" si="0"/>
        <v>2.2322046413784664E-2</v>
      </c>
      <c r="G46" s="36" t="s">
        <v>76</v>
      </c>
      <c r="H46" s="40">
        <f>H45*D44</f>
        <v>21.798438063220548</v>
      </c>
      <c r="I46" s="100">
        <f>H46/J46</f>
        <v>1.2686690952794359</v>
      </c>
      <c r="J46" s="42">
        <f>J45*$C$39</f>
        <v>17.182130584192439</v>
      </c>
      <c r="K46" s="27" t="s">
        <v>84</v>
      </c>
    </row>
    <row r="47" spans="1:13" x14ac:dyDescent="0.25">
      <c r="G47" s="34" t="s">
        <v>77</v>
      </c>
      <c r="H47" s="39">
        <f>I47*J47</f>
        <v>487.8</v>
      </c>
      <c r="I47" s="101">
        <v>4.8780000000000001</v>
      </c>
      <c r="J47" s="41">
        <v>100</v>
      </c>
      <c r="K47" s="27" t="s">
        <v>85</v>
      </c>
    </row>
    <row r="48" spans="1:13" ht="13.8" thickBot="1" x14ac:dyDescent="0.3">
      <c r="G48" s="36" t="s">
        <v>78</v>
      </c>
      <c r="H48" s="40">
        <f>H47*D45</f>
        <v>12.136357122384638</v>
      </c>
      <c r="I48" s="100">
        <f>H48/J48</f>
        <v>0.7063359845227859</v>
      </c>
      <c r="J48" s="42">
        <f>J47*$C$39</f>
        <v>17.182130584192439</v>
      </c>
      <c r="K48" s="27" t="s">
        <v>84</v>
      </c>
    </row>
    <row r="49" spans="1:13" x14ac:dyDescent="0.25">
      <c r="G49" s="34" t="s">
        <v>79</v>
      </c>
      <c r="H49" s="39">
        <f>I49*J49</f>
        <v>1085.8</v>
      </c>
      <c r="I49" s="101">
        <v>10.858000000000001</v>
      </c>
      <c r="J49" s="41">
        <v>100</v>
      </c>
      <c r="K49" s="27" t="s">
        <v>85</v>
      </c>
    </row>
    <row r="50" spans="1:13" ht="13.8" thickBot="1" x14ac:dyDescent="0.3">
      <c r="G50" s="36" t="s">
        <v>80</v>
      </c>
      <c r="H50" s="40">
        <f>H49*D46</f>
        <v>24.237277996087389</v>
      </c>
      <c r="I50" s="100">
        <f>H50/J50</f>
        <v>1.4106095793722861</v>
      </c>
      <c r="J50" s="42">
        <f>J49*$C$39</f>
        <v>17.182130584192439</v>
      </c>
      <c r="K50" s="27" t="s">
        <v>84</v>
      </c>
    </row>
    <row r="53" spans="1:13" s="98" customFormat="1" ht="16.2" thickBot="1" x14ac:dyDescent="0.35">
      <c r="A53" s="99" t="s">
        <v>278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1:13" ht="13.8" thickBot="1" x14ac:dyDescent="0.3">
      <c r="A54" s="104" t="s">
        <v>275</v>
      </c>
      <c r="B54" s="105" t="s">
        <v>277</v>
      </c>
      <c r="C54" s="105" t="s">
        <v>310</v>
      </c>
      <c r="D54" s="106" t="s">
        <v>51</v>
      </c>
    </row>
    <row r="55" spans="1:13" x14ac:dyDescent="0.25">
      <c r="A55" s="102" t="s">
        <v>274</v>
      </c>
      <c r="B55" s="107">
        <f>173/A57</f>
        <v>5.242424242424242E-3</v>
      </c>
      <c r="C55" s="107">
        <f>B55*1</f>
        <v>5.242424242424242E-3</v>
      </c>
      <c r="D55" s="79">
        <f>C55*1000</f>
        <v>5.2424242424242422</v>
      </c>
    </row>
    <row r="56" spans="1:13" x14ac:dyDescent="0.25">
      <c r="A56" s="102" t="s">
        <v>276</v>
      </c>
      <c r="B56" s="22"/>
      <c r="C56" s="22"/>
      <c r="D56" s="62"/>
    </row>
    <row r="57" spans="1:13" ht="13.8" thickBot="1" x14ac:dyDescent="0.3">
      <c r="A57" s="63">
        <v>33000</v>
      </c>
      <c r="B57" s="103"/>
      <c r="C57" s="103"/>
      <c r="D57" s="64"/>
    </row>
    <row r="66" spans="16:16" x14ac:dyDescent="0.25">
      <c r="P66" s="17"/>
    </row>
    <row r="107" spans="16:16" x14ac:dyDescent="0.25">
      <c r="P107" s="1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F21"/>
  <sheetViews>
    <sheetView zoomScale="85" zoomScaleNormal="85" workbookViewId="0">
      <selection activeCell="AL7" sqref="AL7"/>
    </sheetView>
  </sheetViews>
  <sheetFormatPr defaultRowHeight="16.5" customHeight="1" x14ac:dyDescent="0.25"/>
  <cols>
    <col min="1" max="1" width="28.44140625" style="30" customWidth="1"/>
    <col min="2" max="2" width="28.109375" style="30" customWidth="1"/>
    <col min="3" max="3" width="18.44140625" style="30" customWidth="1"/>
    <col min="4" max="4" width="10.5546875" style="30" bestFit="1" customWidth="1"/>
    <col min="5" max="5" width="12.88671875" style="30" customWidth="1"/>
    <col min="6" max="256" width="9.109375" style="30"/>
    <col min="257" max="257" width="28.44140625" style="30" customWidth="1"/>
    <col min="258" max="258" width="28.109375" style="30" customWidth="1"/>
    <col min="259" max="259" width="18.44140625" style="30" customWidth="1"/>
    <col min="260" max="260" width="10.5546875" style="30" bestFit="1" customWidth="1"/>
    <col min="261" max="261" width="12.88671875" style="30" customWidth="1"/>
    <col min="262" max="512" width="9.109375" style="30"/>
    <col min="513" max="513" width="28.44140625" style="30" customWidth="1"/>
    <col min="514" max="514" width="28.109375" style="30" customWidth="1"/>
    <col min="515" max="515" width="18.44140625" style="30" customWidth="1"/>
    <col min="516" max="516" width="10.5546875" style="30" bestFit="1" customWidth="1"/>
    <col min="517" max="517" width="12.88671875" style="30" customWidth="1"/>
    <col min="518" max="768" width="9.109375" style="30"/>
    <col min="769" max="769" width="28.44140625" style="30" customWidth="1"/>
    <col min="770" max="770" width="28.109375" style="30" customWidth="1"/>
    <col min="771" max="771" width="18.44140625" style="30" customWidth="1"/>
    <col min="772" max="772" width="10.5546875" style="30" bestFit="1" customWidth="1"/>
    <col min="773" max="773" width="12.88671875" style="30" customWidth="1"/>
    <col min="774" max="1024" width="9.109375" style="30"/>
    <col min="1025" max="1025" width="28.44140625" style="30" customWidth="1"/>
    <col min="1026" max="1026" width="28.109375" style="30" customWidth="1"/>
    <col min="1027" max="1027" width="18.44140625" style="30" customWidth="1"/>
    <col min="1028" max="1028" width="10.5546875" style="30" bestFit="1" customWidth="1"/>
    <col min="1029" max="1029" width="12.88671875" style="30" customWidth="1"/>
    <col min="1030" max="1280" width="9.109375" style="30"/>
    <col min="1281" max="1281" width="28.44140625" style="30" customWidth="1"/>
    <col min="1282" max="1282" width="28.109375" style="30" customWidth="1"/>
    <col min="1283" max="1283" width="18.44140625" style="30" customWidth="1"/>
    <col min="1284" max="1284" width="10.5546875" style="30" bestFit="1" customWidth="1"/>
    <col min="1285" max="1285" width="12.88671875" style="30" customWidth="1"/>
    <col min="1286" max="1536" width="9.109375" style="30"/>
    <col min="1537" max="1537" width="28.44140625" style="30" customWidth="1"/>
    <col min="1538" max="1538" width="28.109375" style="30" customWidth="1"/>
    <col min="1539" max="1539" width="18.44140625" style="30" customWidth="1"/>
    <col min="1540" max="1540" width="10.5546875" style="30" bestFit="1" customWidth="1"/>
    <col min="1541" max="1541" width="12.88671875" style="30" customWidth="1"/>
    <col min="1542" max="1792" width="9.109375" style="30"/>
    <col min="1793" max="1793" width="28.44140625" style="30" customWidth="1"/>
    <col min="1794" max="1794" width="28.109375" style="30" customWidth="1"/>
    <col min="1795" max="1795" width="18.44140625" style="30" customWidth="1"/>
    <col min="1796" max="1796" width="10.5546875" style="30" bestFit="1" customWidth="1"/>
    <col min="1797" max="1797" width="12.88671875" style="30" customWidth="1"/>
    <col min="1798" max="2048" width="9.109375" style="30"/>
    <col min="2049" max="2049" width="28.44140625" style="30" customWidth="1"/>
    <col min="2050" max="2050" width="28.109375" style="30" customWidth="1"/>
    <col min="2051" max="2051" width="18.44140625" style="30" customWidth="1"/>
    <col min="2052" max="2052" width="10.5546875" style="30" bestFit="1" customWidth="1"/>
    <col min="2053" max="2053" width="12.88671875" style="30" customWidth="1"/>
    <col min="2054" max="2304" width="9.109375" style="30"/>
    <col min="2305" max="2305" width="28.44140625" style="30" customWidth="1"/>
    <col min="2306" max="2306" width="28.109375" style="30" customWidth="1"/>
    <col min="2307" max="2307" width="18.44140625" style="30" customWidth="1"/>
    <col min="2308" max="2308" width="10.5546875" style="30" bestFit="1" customWidth="1"/>
    <col min="2309" max="2309" width="12.88671875" style="30" customWidth="1"/>
    <col min="2310" max="2560" width="9.109375" style="30"/>
    <col min="2561" max="2561" width="28.44140625" style="30" customWidth="1"/>
    <col min="2562" max="2562" width="28.109375" style="30" customWidth="1"/>
    <col min="2563" max="2563" width="18.44140625" style="30" customWidth="1"/>
    <col min="2564" max="2564" width="10.5546875" style="30" bestFit="1" customWidth="1"/>
    <col min="2565" max="2565" width="12.88671875" style="30" customWidth="1"/>
    <col min="2566" max="2816" width="9.109375" style="30"/>
    <col min="2817" max="2817" width="28.44140625" style="30" customWidth="1"/>
    <col min="2818" max="2818" width="28.109375" style="30" customWidth="1"/>
    <col min="2819" max="2819" width="18.44140625" style="30" customWidth="1"/>
    <col min="2820" max="2820" width="10.5546875" style="30" bestFit="1" customWidth="1"/>
    <col min="2821" max="2821" width="12.88671875" style="30" customWidth="1"/>
    <col min="2822" max="3072" width="9.109375" style="30"/>
    <col min="3073" max="3073" width="28.44140625" style="30" customWidth="1"/>
    <col min="3074" max="3074" width="28.109375" style="30" customWidth="1"/>
    <col min="3075" max="3075" width="18.44140625" style="30" customWidth="1"/>
    <col min="3076" max="3076" width="10.5546875" style="30" bestFit="1" customWidth="1"/>
    <col min="3077" max="3077" width="12.88671875" style="30" customWidth="1"/>
    <col min="3078" max="3328" width="9.109375" style="30"/>
    <col min="3329" max="3329" width="28.44140625" style="30" customWidth="1"/>
    <col min="3330" max="3330" width="28.109375" style="30" customWidth="1"/>
    <col min="3331" max="3331" width="18.44140625" style="30" customWidth="1"/>
    <col min="3332" max="3332" width="10.5546875" style="30" bestFit="1" customWidth="1"/>
    <col min="3333" max="3333" width="12.88671875" style="30" customWidth="1"/>
    <col min="3334" max="3584" width="9.109375" style="30"/>
    <col min="3585" max="3585" width="28.44140625" style="30" customWidth="1"/>
    <col min="3586" max="3586" width="28.109375" style="30" customWidth="1"/>
    <col min="3587" max="3587" width="18.44140625" style="30" customWidth="1"/>
    <col min="3588" max="3588" width="10.5546875" style="30" bestFit="1" customWidth="1"/>
    <col min="3589" max="3589" width="12.88671875" style="30" customWidth="1"/>
    <col min="3590" max="3840" width="9.109375" style="30"/>
    <col min="3841" max="3841" width="28.44140625" style="30" customWidth="1"/>
    <col min="3842" max="3842" width="28.109375" style="30" customWidth="1"/>
    <col min="3843" max="3843" width="18.44140625" style="30" customWidth="1"/>
    <col min="3844" max="3844" width="10.5546875" style="30" bestFit="1" customWidth="1"/>
    <col min="3845" max="3845" width="12.88671875" style="30" customWidth="1"/>
    <col min="3846" max="4096" width="9.109375" style="30"/>
    <col min="4097" max="4097" width="28.44140625" style="30" customWidth="1"/>
    <col min="4098" max="4098" width="28.109375" style="30" customWidth="1"/>
    <col min="4099" max="4099" width="18.44140625" style="30" customWidth="1"/>
    <col min="4100" max="4100" width="10.5546875" style="30" bestFit="1" customWidth="1"/>
    <col min="4101" max="4101" width="12.88671875" style="30" customWidth="1"/>
    <col min="4102" max="4352" width="9.109375" style="30"/>
    <col min="4353" max="4353" width="28.44140625" style="30" customWidth="1"/>
    <col min="4354" max="4354" width="28.109375" style="30" customWidth="1"/>
    <col min="4355" max="4355" width="18.44140625" style="30" customWidth="1"/>
    <col min="4356" max="4356" width="10.5546875" style="30" bestFit="1" customWidth="1"/>
    <col min="4357" max="4357" width="12.88671875" style="30" customWidth="1"/>
    <col min="4358" max="4608" width="9.109375" style="30"/>
    <col min="4609" max="4609" width="28.44140625" style="30" customWidth="1"/>
    <col min="4610" max="4610" width="28.109375" style="30" customWidth="1"/>
    <col min="4611" max="4611" width="18.44140625" style="30" customWidth="1"/>
    <col min="4612" max="4612" width="10.5546875" style="30" bestFit="1" customWidth="1"/>
    <col min="4613" max="4613" width="12.88671875" style="30" customWidth="1"/>
    <col min="4614" max="4864" width="9.109375" style="30"/>
    <col min="4865" max="4865" width="28.44140625" style="30" customWidth="1"/>
    <col min="4866" max="4866" width="28.109375" style="30" customWidth="1"/>
    <col min="4867" max="4867" width="18.44140625" style="30" customWidth="1"/>
    <col min="4868" max="4868" width="10.5546875" style="30" bestFit="1" customWidth="1"/>
    <col min="4869" max="4869" width="12.88671875" style="30" customWidth="1"/>
    <col min="4870" max="5120" width="9.109375" style="30"/>
    <col min="5121" max="5121" width="28.44140625" style="30" customWidth="1"/>
    <col min="5122" max="5122" width="28.109375" style="30" customWidth="1"/>
    <col min="5123" max="5123" width="18.44140625" style="30" customWidth="1"/>
    <col min="5124" max="5124" width="10.5546875" style="30" bestFit="1" customWidth="1"/>
    <col min="5125" max="5125" width="12.88671875" style="30" customWidth="1"/>
    <col min="5126" max="5376" width="9.109375" style="30"/>
    <col min="5377" max="5377" width="28.44140625" style="30" customWidth="1"/>
    <col min="5378" max="5378" width="28.109375" style="30" customWidth="1"/>
    <col min="5379" max="5379" width="18.44140625" style="30" customWidth="1"/>
    <col min="5380" max="5380" width="10.5546875" style="30" bestFit="1" customWidth="1"/>
    <col min="5381" max="5381" width="12.88671875" style="30" customWidth="1"/>
    <col min="5382" max="5632" width="9.109375" style="30"/>
    <col min="5633" max="5633" width="28.44140625" style="30" customWidth="1"/>
    <col min="5634" max="5634" width="28.109375" style="30" customWidth="1"/>
    <col min="5635" max="5635" width="18.44140625" style="30" customWidth="1"/>
    <col min="5636" max="5636" width="10.5546875" style="30" bestFit="1" customWidth="1"/>
    <col min="5637" max="5637" width="12.88671875" style="30" customWidth="1"/>
    <col min="5638" max="5888" width="9.109375" style="30"/>
    <col min="5889" max="5889" width="28.44140625" style="30" customWidth="1"/>
    <col min="5890" max="5890" width="28.109375" style="30" customWidth="1"/>
    <col min="5891" max="5891" width="18.44140625" style="30" customWidth="1"/>
    <col min="5892" max="5892" width="10.5546875" style="30" bestFit="1" customWidth="1"/>
    <col min="5893" max="5893" width="12.88671875" style="30" customWidth="1"/>
    <col min="5894" max="6144" width="9.109375" style="30"/>
    <col min="6145" max="6145" width="28.44140625" style="30" customWidth="1"/>
    <col min="6146" max="6146" width="28.109375" style="30" customWidth="1"/>
    <col min="6147" max="6147" width="18.44140625" style="30" customWidth="1"/>
    <col min="6148" max="6148" width="10.5546875" style="30" bestFit="1" customWidth="1"/>
    <col min="6149" max="6149" width="12.88671875" style="30" customWidth="1"/>
    <col min="6150" max="6400" width="9.109375" style="30"/>
    <col min="6401" max="6401" width="28.44140625" style="30" customWidth="1"/>
    <col min="6402" max="6402" width="28.109375" style="30" customWidth="1"/>
    <col min="6403" max="6403" width="18.44140625" style="30" customWidth="1"/>
    <col min="6404" max="6404" width="10.5546875" style="30" bestFit="1" customWidth="1"/>
    <col min="6405" max="6405" width="12.88671875" style="30" customWidth="1"/>
    <col min="6406" max="6656" width="9.109375" style="30"/>
    <col min="6657" max="6657" width="28.44140625" style="30" customWidth="1"/>
    <col min="6658" max="6658" width="28.109375" style="30" customWidth="1"/>
    <col min="6659" max="6659" width="18.44140625" style="30" customWidth="1"/>
    <col min="6660" max="6660" width="10.5546875" style="30" bestFit="1" customWidth="1"/>
    <col min="6661" max="6661" width="12.88671875" style="30" customWidth="1"/>
    <col min="6662" max="6912" width="9.109375" style="30"/>
    <col min="6913" max="6913" width="28.44140625" style="30" customWidth="1"/>
    <col min="6914" max="6914" width="28.109375" style="30" customWidth="1"/>
    <col min="6915" max="6915" width="18.44140625" style="30" customWidth="1"/>
    <col min="6916" max="6916" width="10.5546875" style="30" bestFit="1" customWidth="1"/>
    <col min="6917" max="6917" width="12.88671875" style="30" customWidth="1"/>
    <col min="6918" max="7168" width="9.109375" style="30"/>
    <col min="7169" max="7169" width="28.44140625" style="30" customWidth="1"/>
    <col min="7170" max="7170" width="28.109375" style="30" customWidth="1"/>
    <col min="7171" max="7171" width="18.44140625" style="30" customWidth="1"/>
    <col min="7172" max="7172" width="10.5546875" style="30" bestFit="1" customWidth="1"/>
    <col min="7173" max="7173" width="12.88671875" style="30" customWidth="1"/>
    <col min="7174" max="7424" width="9.109375" style="30"/>
    <col min="7425" max="7425" width="28.44140625" style="30" customWidth="1"/>
    <col min="7426" max="7426" width="28.109375" style="30" customWidth="1"/>
    <col min="7427" max="7427" width="18.44140625" style="30" customWidth="1"/>
    <col min="7428" max="7428" width="10.5546875" style="30" bestFit="1" customWidth="1"/>
    <col min="7429" max="7429" width="12.88671875" style="30" customWidth="1"/>
    <col min="7430" max="7680" width="9.109375" style="30"/>
    <col min="7681" max="7681" width="28.44140625" style="30" customWidth="1"/>
    <col min="7682" max="7682" width="28.109375" style="30" customWidth="1"/>
    <col min="7683" max="7683" width="18.44140625" style="30" customWidth="1"/>
    <col min="7684" max="7684" width="10.5546875" style="30" bestFit="1" customWidth="1"/>
    <col min="7685" max="7685" width="12.88671875" style="30" customWidth="1"/>
    <col min="7686" max="7936" width="9.109375" style="30"/>
    <col min="7937" max="7937" width="28.44140625" style="30" customWidth="1"/>
    <col min="7938" max="7938" width="28.109375" style="30" customWidth="1"/>
    <col min="7939" max="7939" width="18.44140625" style="30" customWidth="1"/>
    <col min="7940" max="7940" width="10.5546875" style="30" bestFit="1" customWidth="1"/>
    <col min="7941" max="7941" width="12.88671875" style="30" customWidth="1"/>
    <col min="7942" max="8192" width="9.109375" style="30"/>
    <col min="8193" max="8193" width="28.44140625" style="30" customWidth="1"/>
    <col min="8194" max="8194" width="28.109375" style="30" customWidth="1"/>
    <col min="8195" max="8195" width="18.44140625" style="30" customWidth="1"/>
    <col min="8196" max="8196" width="10.5546875" style="30" bestFit="1" customWidth="1"/>
    <col min="8197" max="8197" width="12.88671875" style="30" customWidth="1"/>
    <col min="8198" max="8448" width="9.109375" style="30"/>
    <col min="8449" max="8449" width="28.44140625" style="30" customWidth="1"/>
    <col min="8450" max="8450" width="28.109375" style="30" customWidth="1"/>
    <col min="8451" max="8451" width="18.44140625" style="30" customWidth="1"/>
    <col min="8452" max="8452" width="10.5546875" style="30" bestFit="1" customWidth="1"/>
    <col min="8453" max="8453" width="12.88671875" style="30" customWidth="1"/>
    <col min="8454" max="8704" width="9.109375" style="30"/>
    <col min="8705" max="8705" width="28.44140625" style="30" customWidth="1"/>
    <col min="8706" max="8706" width="28.109375" style="30" customWidth="1"/>
    <col min="8707" max="8707" width="18.44140625" style="30" customWidth="1"/>
    <col min="8708" max="8708" width="10.5546875" style="30" bestFit="1" customWidth="1"/>
    <col min="8709" max="8709" width="12.88671875" style="30" customWidth="1"/>
    <col min="8710" max="8960" width="9.109375" style="30"/>
    <col min="8961" max="8961" width="28.44140625" style="30" customWidth="1"/>
    <col min="8962" max="8962" width="28.109375" style="30" customWidth="1"/>
    <col min="8963" max="8963" width="18.44140625" style="30" customWidth="1"/>
    <col min="8964" max="8964" width="10.5546875" style="30" bestFit="1" customWidth="1"/>
    <col min="8965" max="8965" width="12.88671875" style="30" customWidth="1"/>
    <col min="8966" max="9216" width="9.109375" style="30"/>
    <col min="9217" max="9217" width="28.44140625" style="30" customWidth="1"/>
    <col min="9218" max="9218" width="28.109375" style="30" customWidth="1"/>
    <col min="9219" max="9219" width="18.44140625" style="30" customWidth="1"/>
    <col min="9220" max="9220" width="10.5546875" style="30" bestFit="1" customWidth="1"/>
    <col min="9221" max="9221" width="12.88671875" style="30" customWidth="1"/>
    <col min="9222" max="9472" width="9.109375" style="30"/>
    <col min="9473" max="9473" width="28.44140625" style="30" customWidth="1"/>
    <col min="9474" max="9474" width="28.109375" style="30" customWidth="1"/>
    <col min="9475" max="9475" width="18.44140625" style="30" customWidth="1"/>
    <col min="9476" max="9476" width="10.5546875" style="30" bestFit="1" customWidth="1"/>
    <col min="9477" max="9477" width="12.88671875" style="30" customWidth="1"/>
    <col min="9478" max="9728" width="9.109375" style="30"/>
    <col min="9729" max="9729" width="28.44140625" style="30" customWidth="1"/>
    <col min="9730" max="9730" width="28.109375" style="30" customWidth="1"/>
    <col min="9731" max="9731" width="18.44140625" style="30" customWidth="1"/>
    <col min="9732" max="9732" width="10.5546875" style="30" bestFit="1" customWidth="1"/>
    <col min="9733" max="9733" width="12.88671875" style="30" customWidth="1"/>
    <col min="9734" max="9984" width="9.109375" style="30"/>
    <col min="9985" max="9985" width="28.44140625" style="30" customWidth="1"/>
    <col min="9986" max="9986" width="28.109375" style="30" customWidth="1"/>
    <col min="9987" max="9987" width="18.44140625" style="30" customWidth="1"/>
    <col min="9988" max="9988" width="10.5546875" style="30" bestFit="1" customWidth="1"/>
    <col min="9989" max="9989" width="12.88671875" style="30" customWidth="1"/>
    <col min="9990" max="10240" width="9.109375" style="30"/>
    <col min="10241" max="10241" width="28.44140625" style="30" customWidth="1"/>
    <col min="10242" max="10242" width="28.109375" style="30" customWidth="1"/>
    <col min="10243" max="10243" width="18.44140625" style="30" customWidth="1"/>
    <col min="10244" max="10244" width="10.5546875" style="30" bestFit="1" customWidth="1"/>
    <col min="10245" max="10245" width="12.88671875" style="30" customWidth="1"/>
    <col min="10246" max="10496" width="9.109375" style="30"/>
    <col min="10497" max="10497" width="28.44140625" style="30" customWidth="1"/>
    <col min="10498" max="10498" width="28.109375" style="30" customWidth="1"/>
    <col min="10499" max="10499" width="18.44140625" style="30" customWidth="1"/>
    <col min="10500" max="10500" width="10.5546875" style="30" bestFit="1" customWidth="1"/>
    <col min="10501" max="10501" width="12.88671875" style="30" customWidth="1"/>
    <col min="10502" max="10752" width="9.109375" style="30"/>
    <col min="10753" max="10753" width="28.44140625" style="30" customWidth="1"/>
    <col min="10754" max="10754" width="28.109375" style="30" customWidth="1"/>
    <col min="10755" max="10755" width="18.44140625" style="30" customWidth="1"/>
    <col min="10756" max="10756" width="10.5546875" style="30" bestFit="1" customWidth="1"/>
    <col min="10757" max="10757" width="12.88671875" style="30" customWidth="1"/>
    <col min="10758" max="11008" width="9.109375" style="30"/>
    <col min="11009" max="11009" width="28.44140625" style="30" customWidth="1"/>
    <col min="11010" max="11010" width="28.109375" style="30" customWidth="1"/>
    <col min="11011" max="11011" width="18.44140625" style="30" customWidth="1"/>
    <col min="11012" max="11012" width="10.5546875" style="30" bestFit="1" customWidth="1"/>
    <col min="11013" max="11013" width="12.88671875" style="30" customWidth="1"/>
    <col min="11014" max="11264" width="9.109375" style="30"/>
    <col min="11265" max="11265" width="28.44140625" style="30" customWidth="1"/>
    <col min="11266" max="11266" width="28.109375" style="30" customWidth="1"/>
    <col min="11267" max="11267" width="18.44140625" style="30" customWidth="1"/>
    <col min="11268" max="11268" width="10.5546875" style="30" bestFit="1" customWidth="1"/>
    <col min="11269" max="11269" width="12.88671875" style="30" customWidth="1"/>
    <col min="11270" max="11520" width="9.109375" style="30"/>
    <col min="11521" max="11521" width="28.44140625" style="30" customWidth="1"/>
    <col min="11522" max="11522" width="28.109375" style="30" customWidth="1"/>
    <col min="11523" max="11523" width="18.44140625" style="30" customWidth="1"/>
    <col min="11524" max="11524" width="10.5546875" style="30" bestFit="1" customWidth="1"/>
    <col min="11525" max="11525" width="12.88671875" style="30" customWidth="1"/>
    <col min="11526" max="11776" width="9.109375" style="30"/>
    <col min="11777" max="11777" width="28.44140625" style="30" customWidth="1"/>
    <col min="11778" max="11778" width="28.109375" style="30" customWidth="1"/>
    <col min="11779" max="11779" width="18.44140625" style="30" customWidth="1"/>
    <col min="11780" max="11780" width="10.5546875" style="30" bestFit="1" customWidth="1"/>
    <col min="11781" max="11781" width="12.88671875" style="30" customWidth="1"/>
    <col min="11782" max="12032" width="9.109375" style="30"/>
    <col min="12033" max="12033" width="28.44140625" style="30" customWidth="1"/>
    <col min="12034" max="12034" width="28.109375" style="30" customWidth="1"/>
    <col min="12035" max="12035" width="18.44140625" style="30" customWidth="1"/>
    <col min="12036" max="12036" width="10.5546875" style="30" bestFit="1" customWidth="1"/>
    <col min="12037" max="12037" width="12.88671875" style="30" customWidth="1"/>
    <col min="12038" max="12288" width="9.109375" style="30"/>
    <col min="12289" max="12289" width="28.44140625" style="30" customWidth="1"/>
    <col min="12290" max="12290" width="28.109375" style="30" customWidth="1"/>
    <col min="12291" max="12291" width="18.44140625" style="30" customWidth="1"/>
    <col min="12292" max="12292" width="10.5546875" style="30" bestFit="1" customWidth="1"/>
    <col min="12293" max="12293" width="12.88671875" style="30" customWidth="1"/>
    <col min="12294" max="12544" width="9.109375" style="30"/>
    <col min="12545" max="12545" width="28.44140625" style="30" customWidth="1"/>
    <col min="12546" max="12546" width="28.109375" style="30" customWidth="1"/>
    <col min="12547" max="12547" width="18.44140625" style="30" customWidth="1"/>
    <col min="12548" max="12548" width="10.5546875" style="30" bestFit="1" customWidth="1"/>
    <col min="12549" max="12549" width="12.88671875" style="30" customWidth="1"/>
    <col min="12550" max="12800" width="9.109375" style="30"/>
    <col min="12801" max="12801" width="28.44140625" style="30" customWidth="1"/>
    <col min="12802" max="12802" width="28.109375" style="30" customWidth="1"/>
    <col min="12803" max="12803" width="18.44140625" style="30" customWidth="1"/>
    <col min="12804" max="12804" width="10.5546875" style="30" bestFit="1" customWidth="1"/>
    <col min="12805" max="12805" width="12.88671875" style="30" customWidth="1"/>
    <col min="12806" max="13056" width="9.109375" style="30"/>
    <col min="13057" max="13057" width="28.44140625" style="30" customWidth="1"/>
    <col min="13058" max="13058" width="28.109375" style="30" customWidth="1"/>
    <col min="13059" max="13059" width="18.44140625" style="30" customWidth="1"/>
    <col min="13060" max="13060" width="10.5546875" style="30" bestFit="1" customWidth="1"/>
    <col min="13061" max="13061" width="12.88671875" style="30" customWidth="1"/>
    <col min="13062" max="13312" width="9.109375" style="30"/>
    <col min="13313" max="13313" width="28.44140625" style="30" customWidth="1"/>
    <col min="13314" max="13314" width="28.109375" style="30" customWidth="1"/>
    <col min="13315" max="13315" width="18.44140625" style="30" customWidth="1"/>
    <col min="13316" max="13316" width="10.5546875" style="30" bestFit="1" customWidth="1"/>
    <col min="13317" max="13317" width="12.88671875" style="30" customWidth="1"/>
    <col min="13318" max="13568" width="9.109375" style="30"/>
    <col min="13569" max="13569" width="28.44140625" style="30" customWidth="1"/>
    <col min="13570" max="13570" width="28.109375" style="30" customWidth="1"/>
    <col min="13571" max="13571" width="18.44140625" style="30" customWidth="1"/>
    <col min="13572" max="13572" width="10.5546875" style="30" bestFit="1" customWidth="1"/>
    <col min="13573" max="13573" width="12.88671875" style="30" customWidth="1"/>
    <col min="13574" max="13824" width="9.109375" style="30"/>
    <col min="13825" max="13825" width="28.44140625" style="30" customWidth="1"/>
    <col min="13826" max="13826" width="28.109375" style="30" customWidth="1"/>
    <col min="13827" max="13827" width="18.44140625" style="30" customWidth="1"/>
    <col min="13828" max="13828" width="10.5546875" style="30" bestFit="1" customWidth="1"/>
    <col min="13829" max="13829" width="12.88671875" style="30" customWidth="1"/>
    <col min="13830" max="14080" width="9.109375" style="30"/>
    <col min="14081" max="14081" width="28.44140625" style="30" customWidth="1"/>
    <col min="14082" max="14082" width="28.109375" style="30" customWidth="1"/>
    <col min="14083" max="14083" width="18.44140625" style="30" customWidth="1"/>
    <col min="14084" max="14084" width="10.5546875" style="30" bestFit="1" customWidth="1"/>
    <col min="14085" max="14085" width="12.88671875" style="30" customWidth="1"/>
    <col min="14086" max="14336" width="9.109375" style="30"/>
    <col min="14337" max="14337" width="28.44140625" style="30" customWidth="1"/>
    <col min="14338" max="14338" width="28.109375" style="30" customWidth="1"/>
    <col min="14339" max="14339" width="18.44140625" style="30" customWidth="1"/>
    <col min="14340" max="14340" width="10.5546875" style="30" bestFit="1" customWidth="1"/>
    <col min="14341" max="14341" width="12.88671875" style="30" customWidth="1"/>
    <col min="14342" max="14592" width="9.109375" style="30"/>
    <col min="14593" max="14593" width="28.44140625" style="30" customWidth="1"/>
    <col min="14594" max="14594" width="28.109375" style="30" customWidth="1"/>
    <col min="14595" max="14595" width="18.44140625" style="30" customWidth="1"/>
    <col min="14596" max="14596" width="10.5546875" style="30" bestFit="1" customWidth="1"/>
    <col min="14597" max="14597" width="12.88671875" style="30" customWidth="1"/>
    <col min="14598" max="14848" width="9.109375" style="30"/>
    <col min="14849" max="14849" width="28.44140625" style="30" customWidth="1"/>
    <col min="14850" max="14850" width="28.109375" style="30" customWidth="1"/>
    <col min="14851" max="14851" width="18.44140625" style="30" customWidth="1"/>
    <col min="14852" max="14852" width="10.5546875" style="30" bestFit="1" customWidth="1"/>
    <col min="14853" max="14853" width="12.88671875" style="30" customWidth="1"/>
    <col min="14854" max="15104" width="9.109375" style="30"/>
    <col min="15105" max="15105" width="28.44140625" style="30" customWidth="1"/>
    <col min="15106" max="15106" width="28.109375" style="30" customWidth="1"/>
    <col min="15107" max="15107" width="18.44140625" style="30" customWidth="1"/>
    <col min="15108" max="15108" width="10.5546875" style="30" bestFit="1" customWidth="1"/>
    <col min="15109" max="15109" width="12.88671875" style="30" customWidth="1"/>
    <col min="15110" max="15360" width="9.109375" style="30"/>
    <col min="15361" max="15361" width="28.44140625" style="30" customWidth="1"/>
    <col min="15362" max="15362" width="28.109375" style="30" customWidth="1"/>
    <col min="15363" max="15363" width="18.44140625" style="30" customWidth="1"/>
    <col min="15364" max="15364" width="10.5546875" style="30" bestFit="1" customWidth="1"/>
    <col min="15365" max="15365" width="12.88671875" style="30" customWidth="1"/>
    <col min="15366" max="15616" width="9.109375" style="30"/>
    <col min="15617" max="15617" width="28.44140625" style="30" customWidth="1"/>
    <col min="15618" max="15618" width="28.109375" style="30" customWidth="1"/>
    <col min="15619" max="15619" width="18.44140625" style="30" customWidth="1"/>
    <col min="15620" max="15620" width="10.5546875" style="30" bestFit="1" customWidth="1"/>
    <col min="15621" max="15621" width="12.88671875" style="30" customWidth="1"/>
    <col min="15622" max="15872" width="9.109375" style="30"/>
    <col min="15873" max="15873" width="28.44140625" style="30" customWidth="1"/>
    <col min="15874" max="15874" width="28.109375" style="30" customWidth="1"/>
    <col min="15875" max="15875" width="18.44140625" style="30" customWidth="1"/>
    <col min="15876" max="15876" width="10.5546875" style="30" bestFit="1" customWidth="1"/>
    <col min="15877" max="15877" width="12.88671875" style="30" customWidth="1"/>
    <col min="15878" max="16128" width="9.109375" style="30"/>
    <col min="16129" max="16129" width="28.44140625" style="30" customWidth="1"/>
    <col min="16130" max="16130" width="28.109375" style="30" customWidth="1"/>
    <col min="16131" max="16131" width="18.44140625" style="30" customWidth="1"/>
    <col min="16132" max="16132" width="10.5546875" style="30" bestFit="1" customWidth="1"/>
    <col min="16133" max="16133" width="12.88671875" style="30" customWidth="1"/>
    <col min="16134" max="16384" width="9.109375" style="30"/>
  </cols>
  <sheetData>
    <row r="1" spans="1:6" ht="16.5" customHeight="1" x14ac:dyDescent="0.3">
      <c r="A1" s="88" t="s">
        <v>92</v>
      </c>
      <c r="B1" s="89"/>
      <c r="E1" s="90" t="s">
        <v>93</v>
      </c>
      <c r="F1" s="91">
        <v>2017</v>
      </c>
    </row>
    <row r="2" spans="1:6" ht="16.5" customHeight="1" x14ac:dyDescent="0.3">
      <c r="A2" s="92" t="s">
        <v>94</v>
      </c>
      <c r="B2" s="93" t="s">
        <v>4</v>
      </c>
      <c r="E2" s="90" t="s">
        <v>95</v>
      </c>
      <c r="F2" s="92">
        <v>2050</v>
      </c>
    </row>
    <row r="3" spans="1:6" ht="16.5" customHeight="1" x14ac:dyDescent="0.3">
      <c r="A3" s="92" t="s">
        <v>96</v>
      </c>
      <c r="B3" s="93" t="s">
        <v>311</v>
      </c>
    </row>
    <row r="4" spans="1:6" ht="16.5" customHeight="1" x14ac:dyDescent="0.3">
      <c r="A4" s="92" t="s">
        <v>97</v>
      </c>
      <c r="B4" s="93" t="s">
        <v>98</v>
      </c>
    </row>
    <row r="5" spans="1:6" ht="16.5" customHeight="1" x14ac:dyDescent="0.3">
      <c r="A5" s="92" t="s">
        <v>99</v>
      </c>
      <c r="B5" s="93" t="s">
        <v>19</v>
      </c>
      <c r="C5" s="94"/>
    </row>
    <row r="6" spans="1:6" ht="16.5" customHeight="1" x14ac:dyDescent="0.3">
      <c r="A6" s="92" t="s">
        <v>100</v>
      </c>
      <c r="B6" s="93" t="s">
        <v>101</v>
      </c>
    </row>
    <row r="8" spans="1:6" ht="16.5" customHeight="1" x14ac:dyDescent="0.3">
      <c r="A8" s="110" t="s">
        <v>102</v>
      </c>
      <c r="B8" s="110"/>
    </row>
    <row r="10" spans="1:6" ht="16.5" customHeight="1" x14ac:dyDescent="0.3">
      <c r="A10" s="88" t="s">
        <v>40</v>
      </c>
      <c r="B10" s="88" t="s">
        <v>103</v>
      </c>
      <c r="C10" s="88" t="s">
        <v>104</v>
      </c>
      <c r="D10" s="88" t="s">
        <v>105</v>
      </c>
      <c r="E10" s="88" t="s">
        <v>106</v>
      </c>
    </row>
    <row r="11" spans="1:6" ht="16.5" customHeight="1" x14ac:dyDescent="0.3">
      <c r="A11" s="95" t="s">
        <v>107</v>
      </c>
      <c r="B11" s="92" t="s">
        <v>108</v>
      </c>
      <c r="C11" s="92" t="s">
        <v>109</v>
      </c>
      <c r="D11" s="96" t="s">
        <v>110</v>
      </c>
      <c r="E11" s="97"/>
    </row>
    <row r="12" spans="1:6" ht="16.5" customHeight="1" x14ac:dyDescent="0.3">
      <c r="A12" s="95" t="s">
        <v>39</v>
      </c>
      <c r="B12" s="92" t="s">
        <v>111</v>
      </c>
      <c r="C12" s="92" t="s">
        <v>112</v>
      </c>
      <c r="D12" s="97" t="s">
        <v>51</v>
      </c>
      <c r="E12" s="97" t="str">
        <f>B3&amp;"/"&amp;B2</f>
        <v>M$/PJ</v>
      </c>
    </row>
    <row r="13" spans="1:6" ht="16.5" customHeight="1" x14ac:dyDescent="0.3">
      <c r="A13" s="95" t="s">
        <v>113</v>
      </c>
      <c r="B13" s="92" t="s">
        <v>114</v>
      </c>
      <c r="C13" s="92" t="s">
        <v>109</v>
      </c>
      <c r="D13" s="96" t="str">
        <f>B2&amp;"/year"</f>
        <v>PJ/year</v>
      </c>
      <c r="E13" s="97"/>
    </row>
    <row r="14" spans="1:6" ht="16.5" customHeight="1" x14ac:dyDescent="0.3">
      <c r="A14" s="95" t="s">
        <v>115</v>
      </c>
      <c r="B14" s="92" t="s">
        <v>116</v>
      </c>
      <c r="C14" s="92" t="s">
        <v>109</v>
      </c>
      <c r="D14" s="97" t="s">
        <v>312</v>
      </c>
      <c r="E14" s="97" t="str">
        <f>B3&amp;"/"&amp;B2&amp;"/a"</f>
        <v>M$/PJ/a</v>
      </c>
    </row>
    <row r="15" spans="1:6" ht="16.5" customHeight="1" x14ac:dyDescent="0.3">
      <c r="A15" s="95" t="s">
        <v>117</v>
      </c>
      <c r="B15" s="92" t="s">
        <v>118</v>
      </c>
      <c r="C15" s="92" t="s">
        <v>109</v>
      </c>
      <c r="D15" s="97" t="s">
        <v>51</v>
      </c>
      <c r="E15" s="97" t="str">
        <f>B3&amp;"/"&amp;B2</f>
        <v>M$/PJ</v>
      </c>
    </row>
    <row r="16" spans="1:6" ht="16.5" customHeight="1" x14ac:dyDescent="0.3">
      <c r="A16" s="95" t="s">
        <v>119</v>
      </c>
      <c r="B16" s="92" t="s">
        <v>120</v>
      </c>
      <c r="C16" s="92" t="s">
        <v>109</v>
      </c>
      <c r="D16" s="97" t="s">
        <v>121</v>
      </c>
      <c r="E16" s="97" t="str">
        <f>B2&amp;"/"&amp;B5</f>
        <v>PJ/GW</v>
      </c>
    </row>
    <row r="17" spans="1:5" ht="16.5" customHeight="1" x14ac:dyDescent="0.3">
      <c r="A17" s="95" t="s">
        <v>107</v>
      </c>
      <c r="B17" s="92" t="s">
        <v>108</v>
      </c>
      <c r="C17" s="92" t="s">
        <v>109</v>
      </c>
      <c r="D17" s="96" t="s">
        <v>110</v>
      </c>
      <c r="E17" s="97"/>
    </row>
    <row r="18" spans="1:5" ht="16.5" customHeight="1" x14ac:dyDescent="0.3">
      <c r="A18" s="95" t="s">
        <v>122</v>
      </c>
      <c r="B18" s="92" t="s">
        <v>123</v>
      </c>
      <c r="C18" s="92" t="s">
        <v>124</v>
      </c>
      <c r="D18" s="96" t="s">
        <v>125</v>
      </c>
      <c r="E18" s="97"/>
    </row>
    <row r="19" spans="1:5" ht="16.5" customHeight="1" x14ac:dyDescent="0.3">
      <c r="A19" s="95" t="s">
        <v>119</v>
      </c>
      <c r="B19" s="92" t="s">
        <v>126</v>
      </c>
      <c r="C19" s="92"/>
      <c r="D19" s="96" t="str">
        <f>IF(B2="PJ","TJ/unit","GJ/unit")</f>
        <v>TJ/unit</v>
      </c>
      <c r="E19" s="97"/>
    </row>
    <row r="20" spans="1:5" ht="16.5" customHeight="1" x14ac:dyDescent="0.3">
      <c r="A20" s="95" t="s">
        <v>127</v>
      </c>
      <c r="B20" s="92" t="s">
        <v>128</v>
      </c>
      <c r="C20" s="92" t="s">
        <v>109</v>
      </c>
      <c r="D20" s="97" t="s">
        <v>129</v>
      </c>
      <c r="E20" s="97"/>
    </row>
    <row r="21" spans="1:5" ht="16.5" customHeight="1" x14ac:dyDescent="0.3">
      <c r="A21" s="95" t="s">
        <v>122</v>
      </c>
      <c r="B21" s="92" t="s">
        <v>123</v>
      </c>
      <c r="C21" s="92" t="s">
        <v>130</v>
      </c>
      <c r="D21" s="96" t="str">
        <f>B2&amp;"/year"</f>
        <v>PJ/year</v>
      </c>
      <c r="E21" s="97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BW82"/>
  <sheetViews>
    <sheetView topLeftCell="AX1" zoomScale="70" zoomScaleNormal="70" workbookViewId="0">
      <selection activeCell="AX1" sqref="A1:XFD1048576"/>
    </sheetView>
  </sheetViews>
  <sheetFormatPr defaultRowHeight="13.2" x14ac:dyDescent="0.25"/>
  <cols>
    <col min="1" max="1" width="18.5546875" style="109" customWidth="1"/>
    <col min="2" max="2" width="16" style="109" customWidth="1"/>
    <col min="3" max="3" width="23.6640625" style="108" customWidth="1"/>
    <col min="4" max="4" width="12.88671875" style="108" bestFit="1" customWidth="1"/>
    <col min="5" max="5" width="15.44140625" style="108" bestFit="1" customWidth="1"/>
    <col min="6" max="6" width="7.44140625" style="109" customWidth="1"/>
    <col min="7" max="7" width="13.109375" style="109" bestFit="1" customWidth="1"/>
    <col min="8" max="8" width="7.6640625" style="109" bestFit="1" customWidth="1"/>
    <col min="9" max="9" width="20.33203125" style="109" customWidth="1"/>
    <col min="10" max="10" width="12.88671875" style="109" bestFit="1" customWidth="1"/>
    <col min="11" max="11" width="15.44140625" style="109" bestFit="1" customWidth="1"/>
    <col min="12" max="12" width="8.88671875" style="109"/>
    <col min="13" max="13" width="13.109375" style="109" bestFit="1" customWidth="1"/>
    <col min="14" max="14" width="7.6640625" style="109" bestFit="1" customWidth="1"/>
    <col min="15" max="15" width="15.109375" style="109" customWidth="1"/>
    <col min="16" max="16" width="12.88671875" style="109" bestFit="1" customWidth="1"/>
    <col min="17" max="17" width="15.44140625" style="109" bestFit="1" customWidth="1"/>
    <col min="18" max="18" width="12.5546875" style="109" customWidth="1"/>
    <col min="19" max="19" width="13.109375" style="109" bestFit="1" customWidth="1"/>
    <col min="20" max="20" width="7.6640625" style="109" bestFit="1" customWidth="1"/>
    <col min="21" max="21" width="12.33203125" style="109" bestFit="1" customWidth="1"/>
    <col min="22" max="22" width="12.88671875" style="109" bestFit="1" customWidth="1"/>
    <col min="23" max="23" width="15.44140625" style="109" bestFit="1" customWidth="1"/>
    <col min="24" max="24" width="8.88671875" style="109"/>
    <col min="25" max="25" width="13.109375" style="109" bestFit="1" customWidth="1"/>
    <col min="26" max="26" width="7.6640625" style="109" bestFit="1" customWidth="1"/>
    <col min="27" max="27" width="12.33203125" style="109" bestFit="1" customWidth="1"/>
    <col min="28" max="28" width="12.88671875" style="109" bestFit="1" customWidth="1"/>
    <col min="29" max="29" width="15.44140625" style="109" bestFit="1" customWidth="1"/>
    <col min="30" max="30" width="8.88671875" style="109"/>
    <col min="31" max="31" width="13.109375" style="109" bestFit="1" customWidth="1"/>
    <col min="32" max="32" width="7.6640625" style="109" bestFit="1" customWidth="1"/>
    <col min="33" max="33" width="12.33203125" style="109" bestFit="1" customWidth="1"/>
    <col min="34" max="34" width="12.88671875" style="109" bestFit="1" customWidth="1"/>
    <col min="35" max="35" width="15.44140625" style="109" bestFit="1" customWidth="1"/>
    <col min="36" max="36" width="8.88671875" style="109"/>
    <col min="37" max="37" width="13.109375" style="109" bestFit="1" customWidth="1"/>
    <col min="38" max="38" width="7.6640625" style="109" bestFit="1" customWidth="1"/>
    <col min="39" max="39" width="12.33203125" style="109" bestFit="1" customWidth="1"/>
    <col min="40" max="40" width="12.88671875" style="109" bestFit="1" customWidth="1"/>
    <col min="41" max="41" width="15.44140625" style="109" bestFit="1" customWidth="1"/>
    <col min="42" max="42" width="8.88671875" style="109"/>
    <col min="43" max="43" width="13.109375" style="109" bestFit="1" customWidth="1"/>
    <col min="44" max="44" width="7.6640625" style="109" bestFit="1" customWidth="1"/>
    <col min="45" max="45" width="12.33203125" style="109" bestFit="1" customWidth="1"/>
    <col min="46" max="46" width="12.88671875" style="109" bestFit="1" customWidth="1"/>
    <col min="47" max="47" width="15.44140625" style="109" bestFit="1" customWidth="1"/>
    <col min="48" max="48" width="8.88671875" style="109"/>
    <col min="49" max="49" width="13.109375" style="109" bestFit="1" customWidth="1"/>
    <col min="50" max="50" width="7.6640625" style="109" bestFit="1" customWidth="1"/>
    <col min="51" max="51" width="12.33203125" style="109" bestFit="1" customWidth="1"/>
    <col min="52" max="52" width="12.88671875" style="109" bestFit="1" customWidth="1"/>
    <col min="53" max="53" width="15.44140625" style="109" bestFit="1" customWidth="1"/>
    <col min="54" max="56" width="8.88671875" style="109"/>
    <col min="57" max="57" width="24.5546875" style="109" customWidth="1"/>
    <col min="58" max="58" width="19.44140625" style="109" customWidth="1"/>
    <col min="59" max="59" width="15.44140625" style="109" bestFit="1" customWidth="1"/>
    <col min="60" max="62" width="15.44140625" style="109" customWidth="1"/>
    <col min="63" max="63" width="18.88671875" style="109" bestFit="1" customWidth="1"/>
    <col min="64" max="66" width="15.44140625" style="109" customWidth="1"/>
    <col min="67" max="67" width="12" style="109" customWidth="1"/>
    <col min="68" max="68" width="10.33203125" style="109" customWidth="1"/>
    <col min="69" max="69" width="17.6640625" style="109" bestFit="1" customWidth="1"/>
    <col min="70" max="70" width="19.33203125" style="109" bestFit="1" customWidth="1"/>
    <col min="71" max="71" width="14.33203125" style="109" customWidth="1"/>
    <col min="72" max="72" width="2.5546875" style="109" customWidth="1"/>
    <col min="73" max="75" width="9.109375" style="109"/>
    <col min="76" max="76" width="13.109375" style="109" bestFit="1" customWidth="1"/>
    <col min="77" max="77" width="10" style="109" bestFit="1" customWidth="1"/>
    <col min="78" max="81" width="9.109375" style="109"/>
    <col min="82" max="82" width="16" style="109" bestFit="1" customWidth="1"/>
    <col min="83" max="83" width="10.5546875" style="109" bestFit="1" customWidth="1"/>
    <col min="84" max="87" width="9.109375" style="109"/>
    <col min="88" max="88" width="16" style="109" bestFit="1" customWidth="1"/>
    <col min="89" max="89" width="10.5546875" style="109" bestFit="1" customWidth="1"/>
    <col min="90" max="93" width="9.109375" style="109"/>
    <col min="94" max="94" width="16" style="109" bestFit="1" customWidth="1"/>
    <col min="95" max="95" width="11.33203125" style="109" bestFit="1" customWidth="1"/>
    <col min="96" max="98" width="9.109375" style="109"/>
    <col min="99" max="16384" width="8.88671875" style="109"/>
  </cols>
  <sheetData>
    <row r="1" spans="1:75" ht="17.399999999999999" x14ac:dyDescent="0.3">
      <c r="A1" s="111" t="s">
        <v>153</v>
      </c>
      <c r="B1" s="111"/>
      <c r="C1" s="111"/>
      <c r="D1" s="111"/>
      <c r="H1" s="116"/>
    </row>
    <row r="2" spans="1:75" ht="13.8" x14ac:dyDescent="0.25">
      <c r="BC2" s="155" t="s">
        <v>301</v>
      </c>
      <c r="BO2" s="155" t="s">
        <v>335</v>
      </c>
      <c r="BR2" s="116" t="s">
        <v>266</v>
      </c>
      <c r="BS2" s="156">
        <v>0.02</v>
      </c>
    </row>
    <row r="4" spans="1:75" x14ac:dyDescent="0.25">
      <c r="A4" s="109" t="s">
        <v>47</v>
      </c>
      <c r="B4" s="108"/>
      <c r="C4" s="125"/>
      <c r="F4" s="108"/>
      <c r="G4" s="109" t="s">
        <v>47</v>
      </c>
      <c r="H4" s="108"/>
      <c r="I4" s="125"/>
      <c r="J4" s="108"/>
      <c r="K4" s="108"/>
      <c r="L4" s="108"/>
      <c r="M4" s="109" t="s">
        <v>47</v>
      </c>
      <c r="N4" s="108"/>
      <c r="O4" s="125"/>
      <c r="P4" s="108"/>
      <c r="Q4" s="108"/>
      <c r="R4" s="108"/>
      <c r="S4" s="109" t="s">
        <v>47</v>
      </c>
      <c r="T4" s="108"/>
      <c r="U4" s="125"/>
      <c r="V4" s="108"/>
      <c r="W4" s="108"/>
      <c r="X4" s="108"/>
      <c r="Y4" s="109" t="s">
        <v>47</v>
      </c>
      <c r="Z4" s="108"/>
      <c r="AA4" s="125"/>
      <c r="AB4" s="108"/>
      <c r="AC4" s="108"/>
      <c r="AD4" s="108"/>
      <c r="AE4" s="109" t="s">
        <v>47</v>
      </c>
      <c r="AF4" s="108"/>
      <c r="AG4" s="125"/>
      <c r="AH4" s="108"/>
      <c r="AI4" s="108"/>
      <c r="AJ4" s="108"/>
      <c r="AK4" s="109" t="s">
        <v>47</v>
      </c>
      <c r="AL4" s="108"/>
      <c r="AM4" s="125"/>
      <c r="AN4" s="108"/>
      <c r="AO4" s="108"/>
      <c r="AP4" s="108"/>
      <c r="AQ4" s="109" t="s">
        <v>47</v>
      </c>
      <c r="AR4" s="108"/>
      <c r="AS4" s="125"/>
      <c r="AT4" s="108"/>
      <c r="AU4" s="108"/>
      <c r="AV4" s="108"/>
      <c r="AW4" s="109" t="s">
        <v>47</v>
      </c>
      <c r="AX4" s="108"/>
      <c r="AY4" s="125"/>
      <c r="AZ4" s="108"/>
      <c r="BA4" s="108"/>
      <c r="BB4" s="108"/>
      <c r="BC4" s="109" t="s">
        <v>47</v>
      </c>
      <c r="BD4" s="108"/>
      <c r="BE4" s="125"/>
      <c r="BF4" s="108"/>
      <c r="BG4" s="108"/>
      <c r="BH4" s="108"/>
      <c r="BI4" s="108"/>
      <c r="BJ4" s="108"/>
      <c r="BK4" s="108"/>
      <c r="BL4" s="108"/>
      <c r="BM4" s="108"/>
      <c r="BN4" s="108"/>
      <c r="BO4" s="109" t="s">
        <v>352</v>
      </c>
      <c r="BP4" s="108"/>
      <c r="BQ4" s="125"/>
      <c r="BR4" s="108"/>
      <c r="BS4" s="108"/>
      <c r="BT4" s="108"/>
      <c r="BU4" s="108"/>
      <c r="BV4" s="108"/>
      <c r="BW4" s="108"/>
    </row>
    <row r="5" spans="1:75" ht="13.8" x14ac:dyDescent="0.25">
      <c r="A5" s="157" t="s">
        <v>40</v>
      </c>
      <c r="B5" s="157" t="s">
        <v>41</v>
      </c>
      <c r="C5" s="158" t="s">
        <v>42</v>
      </c>
      <c r="D5" s="157" t="s">
        <v>43</v>
      </c>
      <c r="E5" s="157" t="s">
        <v>149</v>
      </c>
      <c r="F5" s="159"/>
      <c r="G5" s="157" t="s">
        <v>40</v>
      </c>
      <c r="H5" s="157" t="s">
        <v>41</v>
      </c>
      <c r="I5" s="158" t="s">
        <v>42</v>
      </c>
      <c r="J5" s="157" t="s">
        <v>43</v>
      </c>
      <c r="K5" s="157" t="str">
        <f>$E$5</f>
        <v>AllRegions</v>
      </c>
      <c r="L5" s="159"/>
      <c r="M5" s="157" t="s">
        <v>40</v>
      </c>
      <c r="N5" s="157" t="s">
        <v>41</v>
      </c>
      <c r="O5" s="158" t="s">
        <v>42</v>
      </c>
      <c r="P5" s="157" t="s">
        <v>43</v>
      </c>
      <c r="Q5" s="157" t="str">
        <f>$E$5</f>
        <v>AllRegions</v>
      </c>
      <c r="R5" s="159"/>
      <c r="S5" s="157" t="s">
        <v>40</v>
      </c>
      <c r="T5" s="157" t="s">
        <v>41</v>
      </c>
      <c r="U5" s="158" t="s">
        <v>42</v>
      </c>
      <c r="V5" s="157" t="s">
        <v>43</v>
      </c>
      <c r="W5" s="157" t="str">
        <f>$E$5</f>
        <v>AllRegions</v>
      </c>
      <c r="X5" s="159"/>
      <c r="Y5" s="157" t="s">
        <v>40</v>
      </c>
      <c r="Z5" s="157" t="s">
        <v>41</v>
      </c>
      <c r="AA5" s="158" t="s">
        <v>42</v>
      </c>
      <c r="AB5" s="157" t="s">
        <v>43</v>
      </c>
      <c r="AC5" s="157" t="str">
        <f>$E$5</f>
        <v>AllRegions</v>
      </c>
      <c r="AD5" s="159"/>
      <c r="AE5" s="157" t="s">
        <v>40</v>
      </c>
      <c r="AF5" s="157" t="s">
        <v>41</v>
      </c>
      <c r="AG5" s="158" t="s">
        <v>42</v>
      </c>
      <c r="AH5" s="157" t="s">
        <v>43</v>
      </c>
      <c r="AI5" s="157" t="str">
        <f>$E$5</f>
        <v>AllRegions</v>
      </c>
      <c r="AJ5" s="159"/>
      <c r="AK5" s="157" t="s">
        <v>40</v>
      </c>
      <c r="AL5" s="157" t="s">
        <v>41</v>
      </c>
      <c r="AM5" s="158" t="s">
        <v>42</v>
      </c>
      <c r="AN5" s="157" t="s">
        <v>43</v>
      </c>
      <c r="AO5" s="157" t="str">
        <f>$E$5</f>
        <v>AllRegions</v>
      </c>
      <c r="AP5" s="159"/>
      <c r="AQ5" s="157" t="s">
        <v>40</v>
      </c>
      <c r="AR5" s="157" t="s">
        <v>41</v>
      </c>
      <c r="AS5" s="158" t="s">
        <v>42</v>
      </c>
      <c r="AT5" s="157" t="s">
        <v>43</v>
      </c>
      <c r="AU5" s="157" t="str">
        <f>$E$5</f>
        <v>AllRegions</v>
      </c>
      <c r="AV5" s="159"/>
      <c r="AW5" s="157" t="s">
        <v>40</v>
      </c>
      <c r="AX5" s="157" t="s">
        <v>41</v>
      </c>
      <c r="AY5" s="158" t="s">
        <v>42</v>
      </c>
      <c r="AZ5" s="157" t="s">
        <v>43</v>
      </c>
      <c r="BA5" s="157" t="str">
        <f>$E$5</f>
        <v>AllRegions</v>
      </c>
      <c r="BB5" s="159"/>
      <c r="BC5" s="157" t="s">
        <v>40</v>
      </c>
      <c r="BD5" s="157" t="s">
        <v>41</v>
      </c>
      <c r="BE5" s="158" t="s">
        <v>42</v>
      </c>
      <c r="BF5" s="157" t="s">
        <v>43</v>
      </c>
      <c r="BG5" s="157" t="str">
        <f>$E$5</f>
        <v>AllRegions</v>
      </c>
      <c r="BH5" s="159"/>
      <c r="BI5" s="159"/>
      <c r="BJ5" s="159"/>
      <c r="BK5" s="159"/>
      <c r="BL5" s="159"/>
      <c r="BM5" s="159"/>
      <c r="BN5" s="159"/>
      <c r="BO5" s="157" t="s">
        <v>40</v>
      </c>
      <c r="BP5" s="157" t="s">
        <v>41</v>
      </c>
      <c r="BQ5" s="158" t="s">
        <v>42</v>
      </c>
      <c r="BR5" s="157" t="s">
        <v>43</v>
      </c>
      <c r="BS5" s="157" t="str">
        <f>$E$5</f>
        <v>AllRegions</v>
      </c>
      <c r="BT5" s="159"/>
      <c r="BU5" s="159" t="s">
        <v>271</v>
      </c>
      <c r="BV5" s="159" t="s">
        <v>193</v>
      </c>
      <c r="BW5" s="160" t="s">
        <v>151</v>
      </c>
    </row>
    <row r="6" spans="1:75" x14ac:dyDescent="0.25">
      <c r="A6" s="108" t="s">
        <v>39</v>
      </c>
      <c r="B6" s="126">
        <v>2017</v>
      </c>
      <c r="C6" s="108" t="str">
        <f>Worldprices!B56</f>
        <v>IMPOILCRD*</v>
      </c>
      <c r="D6" s="108" t="str">
        <f>Worldprices!AO56</f>
        <v>*OILCRD</v>
      </c>
      <c r="E6" s="161">
        <f>VLOOKUP(C6,Worldprices!$B$49:$AN$92,$BW6,FALSE)</f>
        <v>8.7037233085960022</v>
      </c>
      <c r="F6" s="161"/>
      <c r="G6" s="108" t="s">
        <v>39</v>
      </c>
      <c r="H6" s="126">
        <v>2017</v>
      </c>
      <c r="I6" s="108" t="str">
        <f>Worldprices!B57</f>
        <v>IMPOILDSL*</v>
      </c>
      <c r="J6" s="108" t="str">
        <f>Worldprices!AO57</f>
        <v>*OILDSL</v>
      </c>
      <c r="K6" s="161">
        <f>VLOOKUP(I6,Worldprices!$B$49:$AN$92,$BW6,FALSE)</f>
        <v>11.042144775479029</v>
      </c>
      <c r="L6" s="161"/>
      <c r="M6" s="108" t="s">
        <v>39</v>
      </c>
      <c r="N6" s="126">
        <v>2017</v>
      </c>
      <c r="O6" s="108" t="str">
        <f>Worldprices!B58</f>
        <v>IMPOILGSL*</v>
      </c>
      <c r="P6" s="108" t="str">
        <f>Worldprices!AO58</f>
        <v>*OILGSL</v>
      </c>
      <c r="Q6" s="161">
        <f>VLOOKUP(O6,Worldprices!$B$49:$AN$92,$BW6,FALSE)</f>
        <v>12.277555475311368</v>
      </c>
      <c r="R6" s="161"/>
      <c r="S6" s="108" t="s">
        <v>39</v>
      </c>
      <c r="T6" s="126">
        <v>2017</v>
      </c>
      <c r="U6" s="108" t="str">
        <f>Worldprices!B59</f>
        <v>IMPOILLPG*</v>
      </c>
      <c r="V6" s="108" t="str">
        <f>Worldprices!AO59</f>
        <v>*OILLPG</v>
      </c>
      <c r="W6" s="161">
        <f>VLOOKUP(U6,Worldprices!$B$49:$AN$92,$BW6,FALSE)</f>
        <v>9.8787259552564617</v>
      </c>
      <c r="X6" s="161"/>
      <c r="Y6" s="108" t="s">
        <v>39</v>
      </c>
      <c r="Z6" s="126">
        <v>2017</v>
      </c>
      <c r="AA6" s="108" t="str">
        <f>Worldprices!B60</f>
        <v>IMPOILHFO*</v>
      </c>
      <c r="AB6" s="108" t="str">
        <f>Worldprices!AO60</f>
        <v>*OILHFO</v>
      </c>
      <c r="AC6" s="161">
        <f>VLOOKUP(AA6,Worldprices!$B$49:$AN$92,$BW6,FALSE)</f>
        <v>6.1474397728613566</v>
      </c>
      <c r="AD6" s="161"/>
      <c r="AE6" s="108" t="s">
        <v>39</v>
      </c>
      <c r="AF6" s="126">
        <v>2017</v>
      </c>
      <c r="AG6" s="108" t="str">
        <f>Worldprices!B61</f>
        <v>IMPOILKER*</v>
      </c>
      <c r="AH6" s="108" t="str">
        <f>Worldprices!AO61</f>
        <v>*OILKER</v>
      </c>
      <c r="AI6" s="161">
        <f>VLOOKUP(AG6,Worldprices!$B$49:$AN$92,$BW6,FALSE)</f>
        <v>11.941439484958661</v>
      </c>
      <c r="AJ6" s="161"/>
      <c r="AK6" s="108" t="s">
        <v>39</v>
      </c>
      <c r="AL6" s="126">
        <v>2017</v>
      </c>
      <c r="AM6" s="108" t="str">
        <f>Worldprices!B62</f>
        <v>IMPOILPCK*</v>
      </c>
      <c r="AN6" s="108" t="str">
        <f>Worldprices!AO62</f>
        <v>*OILPCK</v>
      </c>
      <c r="AO6" s="161">
        <f>VLOOKUP(AM6,Worldprices!$B$49:$AN$92,$BW6,FALSE)</f>
        <v>6.1477529721910766</v>
      </c>
      <c r="AP6" s="161"/>
      <c r="AQ6" s="108" t="s">
        <v>39</v>
      </c>
      <c r="AR6" s="126">
        <v>2017</v>
      </c>
      <c r="AS6" s="108" t="str">
        <f>Worldprices!B63</f>
        <v>IMPOILBIT*</v>
      </c>
      <c r="AT6" s="108" t="str">
        <f>Worldprices!AO63</f>
        <v>*OILBIT</v>
      </c>
      <c r="AU6" s="161">
        <f>VLOOKUP(AS6,Worldprices!$B$49:$AN$92,$BW6,FALSE)</f>
        <v>6.1477529721910766</v>
      </c>
      <c r="AV6" s="161"/>
      <c r="AW6" s="108" t="s">
        <v>39</v>
      </c>
      <c r="AX6" s="126">
        <v>2017</v>
      </c>
      <c r="AY6" s="108" t="str">
        <f>Worldprices!B64</f>
        <v>IMPOILLUB*</v>
      </c>
      <c r="AZ6" s="108" t="str">
        <f>Worldprices!AO64</f>
        <v>*OILLUB</v>
      </c>
      <c r="BA6" s="161">
        <f>VLOOKUP(AY6,Worldprices!$B$49:$AN$92,$BW6,FALSE)</f>
        <v>6.1477529721910766</v>
      </c>
      <c r="BB6" s="161"/>
      <c r="BC6" s="108" t="s">
        <v>39</v>
      </c>
      <c r="BD6" s="126">
        <v>2017</v>
      </c>
      <c r="BE6" s="108" t="str">
        <f>Worldprices!B65</f>
        <v>IMPGASNAT_**</v>
      </c>
      <c r="BF6" s="108" t="str">
        <f>LEFT(Worldprices!$AO$65,8)&amp;"*"</f>
        <v>PITGASNA*</v>
      </c>
      <c r="BG6" s="161">
        <f>VLOOKUP(BE6,Worldprices!$B$49:$AN$92,$BW6,FALSE)</f>
        <v>5.631260814256823</v>
      </c>
      <c r="BH6" s="161"/>
      <c r="BI6" s="161"/>
      <c r="BJ6" s="161"/>
      <c r="BK6" s="161"/>
      <c r="BL6" s="161"/>
      <c r="BM6" s="161"/>
      <c r="BN6" s="161"/>
      <c r="BO6" s="108" t="s">
        <v>39</v>
      </c>
      <c r="BP6" s="126">
        <v>2017</v>
      </c>
      <c r="BQ6" s="108" t="s">
        <v>336</v>
      </c>
      <c r="BR6" s="108" t="s">
        <v>265</v>
      </c>
      <c r="BS6" s="161">
        <v>15</v>
      </c>
      <c r="BT6" s="161"/>
      <c r="BU6" s="161"/>
      <c r="BV6" s="161"/>
      <c r="BW6" s="108">
        <v>5</v>
      </c>
    </row>
    <row r="7" spans="1:75" x14ac:dyDescent="0.25">
      <c r="A7" s="108" t="str">
        <f>A6</f>
        <v>COST</v>
      </c>
      <c r="B7" s="126">
        <v>2018</v>
      </c>
      <c r="C7" s="108" t="str">
        <f>C6</f>
        <v>IMPOILCRD*</v>
      </c>
      <c r="D7" s="108" t="str">
        <f>D6</f>
        <v>*OILCRD</v>
      </c>
      <c r="E7" s="161">
        <f>VLOOKUP(C7,Worldprices!$B$49:$AN$92,$BW7,FALSE)</f>
        <v>11.111111111111111</v>
      </c>
      <c r="F7" s="161"/>
      <c r="G7" s="108" t="str">
        <f>G6</f>
        <v>COST</v>
      </c>
      <c r="H7" s="126">
        <v>2018</v>
      </c>
      <c r="I7" s="108" t="str">
        <f>I6</f>
        <v>IMPOILDSL*</v>
      </c>
      <c r="J7" s="108" t="str">
        <f>J6</f>
        <v>*OILDSL</v>
      </c>
      <c r="K7" s="161">
        <f>VLOOKUP(I7,Worldprices!$B$49:$AN$92,$BW7,FALSE)</f>
        <v>14.09632328088262</v>
      </c>
      <c r="L7" s="161"/>
      <c r="M7" s="108" t="str">
        <f>M6</f>
        <v>COST</v>
      </c>
      <c r="N7" s="126">
        <v>2018</v>
      </c>
      <c r="O7" s="108" t="str">
        <f>O6</f>
        <v>IMPOILGSL*</v>
      </c>
      <c r="P7" s="108" t="str">
        <f>P6</f>
        <v>*OILGSL</v>
      </c>
      <c r="Q7" s="161">
        <f>VLOOKUP(O7,Worldprices!$B$49:$AN$92,$BW7,FALSE)</f>
        <v>15.67343977080318</v>
      </c>
      <c r="R7" s="161"/>
      <c r="S7" s="108" t="str">
        <f>S6</f>
        <v>COST</v>
      </c>
      <c r="T7" s="126">
        <v>2018</v>
      </c>
      <c r="U7" s="108" t="str">
        <f>U6</f>
        <v>IMPOILLPG*</v>
      </c>
      <c r="V7" s="108" t="str">
        <f>V6</f>
        <v>*OILLPG</v>
      </c>
      <c r="W7" s="161">
        <f>VLOOKUP(U7,Worldprices!$B$49:$AN$92,$BW7,FALSE)</f>
        <v>12.611111111111111</v>
      </c>
      <c r="X7" s="161"/>
      <c r="Y7" s="108" t="str">
        <f>Y6</f>
        <v>COST</v>
      </c>
      <c r="Z7" s="126">
        <v>2018</v>
      </c>
      <c r="AA7" s="108" t="str">
        <f>AA6</f>
        <v>IMPOILHFO*</v>
      </c>
      <c r="AB7" s="108" t="str">
        <f>AB6</f>
        <v>*OILHFO</v>
      </c>
      <c r="AC7" s="161">
        <f>VLOOKUP(AA7,Worldprices!$B$49:$AN$92,$BW7,FALSE)</f>
        <v>7.847777777777778</v>
      </c>
      <c r="AD7" s="161"/>
      <c r="AE7" s="108" t="str">
        <f>AE6</f>
        <v>COST</v>
      </c>
      <c r="AF7" s="126">
        <v>2018</v>
      </c>
      <c r="AG7" s="108" t="str">
        <f>AG6</f>
        <v>IMPOILKER*</v>
      </c>
      <c r="AH7" s="108" t="str">
        <f>AH6</f>
        <v>*OILKER</v>
      </c>
      <c r="AI7" s="161">
        <f>VLOOKUP(AG7,Worldprices!$B$49:$AN$92,$BW7,FALSE)</f>
        <v>15.244356494299927</v>
      </c>
      <c r="AJ7" s="161"/>
      <c r="AK7" s="108" t="str">
        <f>AK6</f>
        <v>COST</v>
      </c>
      <c r="AL7" s="126">
        <v>2018</v>
      </c>
      <c r="AM7" s="108" t="str">
        <f>AM6</f>
        <v>IMPOILPCK*</v>
      </c>
      <c r="AN7" s="108" t="str">
        <f>AN6</f>
        <v>*OILPCK</v>
      </c>
      <c r="AO7" s="161">
        <f>VLOOKUP(AM7,Worldprices!$B$49:$AN$92,$BW7,FALSE)</f>
        <v>7.8481776058087318</v>
      </c>
      <c r="AP7" s="161"/>
      <c r="AQ7" s="108" t="str">
        <f>AQ6</f>
        <v>COST</v>
      </c>
      <c r="AR7" s="126">
        <v>2018</v>
      </c>
      <c r="AS7" s="108" t="str">
        <f>AS6</f>
        <v>IMPOILBIT*</v>
      </c>
      <c r="AT7" s="108" t="str">
        <f>AT6</f>
        <v>*OILBIT</v>
      </c>
      <c r="AU7" s="161">
        <f>VLOOKUP(AS7,Worldprices!$B$49:$AN$92,$BW7,FALSE)</f>
        <v>7.8481776058087318</v>
      </c>
      <c r="AV7" s="161"/>
      <c r="AW7" s="108" t="str">
        <f>AW6</f>
        <v>COST</v>
      </c>
      <c r="AX7" s="126">
        <v>2018</v>
      </c>
      <c r="AY7" s="108" t="str">
        <f>AY6</f>
        <v>IMPOILLUB*</v>
      </c>
      <c r="AZ7" s="108" t="str">
        <f>AZ6</f>
        <v>*OILLUB</v>
      </c>
      <c r="BA7" s="161">
        <f>VLOOKUP(AY7,Worldprices!$B$49:$AN$92,$BW7,FALSE)</f>
        <v>7.8481776058087318</v>
      </c>
      <c r="BB7" s="161"/>
      <c r="BC7" s="108" t="str">
        <f>BC6</f>
        <v>COST</v>
      </c>
      <c r="BD7" s="126">
        <v>2018</v>
      </c>
      <c r="BE7" s="108" t="str">
        <f>BE6</f>
        <v>IMPGASNAT_**</v>
      </c>
      <c r="BF7" s="108" t="str">
        <f>BF6</f>
        <v>PITGASNA*</v>
      </c>
      <c r="BG7" s="161">
        <f>VLOOKUP(BE7,Worldprices!$B$49:$AN$92,$BW7,FALSE)</f>
        <v>7.2034091999999994</v>
      </c>
      <c r="BH7" s="161"/>
      <c r="BI7" s="161"/>
      <c r="BJ7" s="161"/>
      <c r="BK7" s="161"/>
      <c r="BL7" s="161"/>
      <c r="BM7" s="161"/>
      <c r="BN7" s="161"/>
      <c r="BO7" s="108" t="str">
        <f>BO6</f>
        <v>COST</v>
      </c>
      <c r="BP7" s="126">
        <v>2018</v>
      </c>
      <c r="BQ7" s="108" t="str">
        <f>BQ6</f>
        <v>IMPELC*, -IMPELC_Flex*</v>
      </c>
      <c r="BR7" s="108" t="str">
        <f>BR6</f>
        <v>ELCHIGG</v>
      </c>
      <c r="BS7" s="161">
        <f t="shared" ref="BS7:BS39" si="0">BS6*(1+$BS$2)</f>
        <v>15.3</v>
      </c>
      <c r="BT7" s="161"/>
      <c r="BU7" s="161"/>
      <c r="BV7" s="161"/>
      <c r="BW7" s="108">
        <f>BW6+1</f>
        <v>6</v>
      </c>
    </row>
    <row r="8" spans="1:75" hidden="1" x14ac:dyDescent="0.25">
      <c r="A8" s="108" t="str">
        <f t="shared" ref="A8:A39" si="1">A7</f>
        <v>COST</v>
      </c>
      <c r="B8" s="126">
        <v>2019</v>
      </c>
      <c r="C8" s="108" t="str">
        <f t="shared" ref="C8:D39" si="2">C7</f>
        <v>IMPOILCRD*</v>
      </c>
      <c r="D8" s="108" t="str">
        <f t="shared" si="2"/>
        <v>*OILCRD</v>
      </c>
      <c r="E8" s="161">
        <f>VLOOKUP(C8,Worldprices!$B$49:$AN$92,$BW8,FALSE)</f>
        <v>11.696623093681916</v>
      </c>
      <c r="F8" s="161"/>
      <c r="G8" s="108" t="str">
        <f t="shared" ref="G8:G39" si="3">G7</f>
        <v>COST</v>
      </c>
      <c r="H8" s="126">
        <v>2019</v>
      </c>
      <c r="I8" s="108" t="str">
        <f t="shared" ref="I8:J39" si="4">I7</f>
        <v>IMPOILDSL*</v>
      </c>
      <c r="J8" s="108" t="str">
        <f t="shared" si="4"/>
        <v>*OILDSL</v>
      </c>
      <c r="K8" s="161">
        <f>VLOOKUP(I8,Worldprices!$B$49:$AN$92,$BW8,FALSE)</f>
        <v>14.839144238085995</v>
      </c>
      <c r="L8" s="161"/>
      <c r="M8" s="108" t="str">
        <f t="shared" ref="M8:M39" si="5">M7</f>
        <v>COST</v>
      </c>
      <c r="N8" s="126">
        <v>2019</v>
      </c>
      <c r="O8" s="108" t="str">
        <f t="shared" ref="O8:P39" si="6">O7</f>
        <v>IMPOILGSL*</v>
      </c>
      <c r="P8" s="108" t="str">
        <f t="shared" si="6"/>
        <v>*OILGSL</v>
      </c>
      <c r="Q8" s="161">
        <f>VLOOKUP(O8,Worldprices!$B$49:$AN$92,$BW8,FALSE)</f>
        <v>16.499368582254817</v>
      </c>
      <c r="R8" s="161"/>
      <c r="S8" s="108" t="str">
        <f t="shared" ref="S8:S39" si="7">S7</f>
        <v>COST</v>
      </c>
      <c r="T8" s="126">
        <v>2019</v>
      </c>
      <c r="U8" s="108" t="str">
        <f t="shared" ref="U8:V39" si="8">U7</f>
        <v>IMPOILLPG*</v>
      </c>
      <c r="V8" s="108" t="str">
        <f t="shared" si="8"/>
        <v>*OILLPG</v>
      </c>
      <c r="W8" s="161">
        <f>VLOOKUP(U8,Worldprices!$B$49:$AN$92,$BW8,FALSE)</f>
        <v>13.275667211328974</v>
      </c>
      <c r="X8" s="161"/>
      <c r="Y8" s="108" t="str">
        <f t="shared" ref="Y8:Y39" si="9">Y7</f>
        <v>COST</v>
      </c>
      <c r="Z8" s="126">
        <v>2019</v>
      </c>
      <c r="AA8" s="108" t="str">
        <f t="shared" ref="AA8:AB39" si="10">AA7</f>
        <v>IMPOILHFO*</v>
      </c>
      <c r="AB8" s="108" t="str">
        <f t="shared" si="10"/>
        <v>*OILHFO</v>
      </c>
      <c r="AC8" s="161">
        <f>VLOOKUP(AA8,Worldprices!$B$49:$AN$92,$BW8,FALSE)</f>
        <v>8.2613248910675381</v>
      </c>
      <c r="AD8" s="161"/>
      <c r="AE8" s="108" t="str">
        <f t="shared" ref="AE8:AE39" si="11">AE7</f>
        <v>COST</v>
      </c>
      <c r="AF8" s="126">
        <v>2019</v>
      </c>
      <c r="AG8" s="108" t="str">
        <f t="shared" ref="AG8:AH39" si="12">AG7</f>
        <v>IMPOILKER*</v>
      </c>
      <c r="AH8" s="108" t="str">
        <f t="shared" si="12"/>
        <v>*OILKER</v>
      </c>
      <c r="AI8" s="161">
        <f>VLOOKUP(AG8,Worldprices!$B$49:$AN$92,$BW8,FALSE)</f>
        <v>16.047674299759358</v>
      </c>
      <c r="AJ8" s="161"/>
      <c r="AK8" s="108" t="str">
        <f t="shared" ref="AK8:AK39" si="13">AK7</f>
        <v>COST</v>
      </c>
      <c r="AL8" s="126">
        <v>2019</v>
      </c>
      <c r="AM8" s="108" t="str">
        <f t="shared" ref="AM8:AM39" si="14">AM7</f>
        <v>IMPOILPCK*</v>
      </c>
      <c r="AN8" s="108" t="str">
        <f t="shared" ref="AN8:AN39" si="15">AN7</f>
        <v>*OILPCK</v>
      </c>
      <c r="AO8" s="161">
        <f>VLOOKUP(AM8,Worldprices!$B$49:$AN$92,$BW8,FALSE)</f>
        <v>8.2617457884677705</v>
      </c>
      <c r="AP8" s="161"/>
      <c r="AQ8" s="108" t="str">
        <f t="shared" ref="AQ8:AQ39" si="16">AQ7</f>
        <v>COST</v>
      </c>
      <c r="AR8" s="126">
        <v>2019</v>
      </c>
      <c r="AS8" s="108" t="str">
        <f t="shared" ref="AS8:AS39" si="17">AS7</f>
        <v>IMPOILBIT*</v>
      </c>
      <c r="AT8" s="108" t="str">
        <f t="shared" ref="AT8:AT39" si="18">AT7</f>
        <v>*OILBIT</v>
      </c>
      <c r="AU8" s="161">
        <f>VLOOKUP(AS8,Worldprices!$B$49:$AN$92,$BW8,FALSE)</f>
        <v>8.2617457884677705</v>
      </c>
      <c r="AV8" s="161"/>
      <c r="AW8" s="108" t="str">
        <f t="shared" ref="AW8:AW39" si="19">AW7</f>
        <v>COST</v>
      </c>
      <c r="AX8" s="126">
        <v>2019</v>
      </c>
      <c r="AY8" s="108" t="str">
        <f t="shared" ref="AY8:AY39" si="20">AY7</f>
        <v>IMPOILLUB*</v>
      </c>
      <c r="AZ8" s="108" t="str">
        <f t="shared" ref="AZ8:AZ39" si="21">AZ7</f>
        <v>*OILLUB</v>
      </c>
      <c r="BA8" s="161">
        <f>VLOOKUP(AY8,Worldprices!$B$49:$AN$92,$BW8,FALSE)</f>
        <v>8.2617457884677705</v>
      </c>
      <c r="BB8" s="161"/>
      <c r="BC8" s="108" t="str">
        <f t="shared" ref="BC8:BC39" si="22">BC7</f>
        <v>COST</v>
      </c>
      <c r="BD8" s="126">
        <v>2019</v>
      </c>
      <c r="BE8" s="108" t="str">
        <f t="shared" ref="BE8:BE39" si="23">BE7</f>
        <v>IMPGASNAT_**</v>
      </c>
      <c r="BF8" s="108" t="str">
        <f t="shared" ref="BF8:BF39" si="24">BF7</f>
        <v>PITGASNA*</v>
      </c>
      <c r="BG8" s="161">
        <f>VLOOKUP(BE8,Worldprices!$B$49:$AN$92,$BW8,FALSE)</f>
        <v>7.306089375</v>
      </c>
      <c r="BH8" s="161"/>
      <c r="BI8" s="161"/>
      <c r="BJ8" s="161"/>
      <c r="BK8" s="161"/>
      <c r="BL8" s="161"/>
      <c r="BM8" s="161"/>
      <c r="BN8" s="161"/>
      <c r="BO8" s="108" t="str">
        <f t="shared" ref="BO8:BO39" si="25">BO7</f>
        <v>COST</v>
      </c>
      <c r="BP8" s="126">
        <v>2019</v>
      </c>
      <c r="BQ8" s="108" t="str">
        <f t="shared" ref="BQ8:BQ39" si="26">BQ7</f>
        <v>IMPELC*, -IMPELC_Flex*</v>
      </c>
      <c r="BR8" s="108" t="str">
        <f t="shared" ref="BR8:BR9" si="27">BR7</f>
        <v>ELCHIGG</v>
      </c>
      <c r="BS8" s="161">
        <f t="shared" si="0"/>
        <v>15.606000000000002</v>
      </c>
      <c r="BT8" s="161"/>
      <c r="BU8" s="161"/>
      <c r="BV8" s="161"/>
      <c r="BW8" s="108">
        <f t="shared" ref="BW8:BW39" si="28">BW7+1</f>
        <v>7</v>
      </c>
    </row>
    <row r="9" spans="1:75" x14ac:dyDescent="0.25">
      <c r="A9" s="108" t="str">
        <f t="shared" si="1"/>
        <v>COST</v>
      </c>
      <c r="B9" s="126">
        <v>2020</v>
      </c>
      <c r="C9" s="108" t="str">
        <f t="shared" si="2"/>
        <v>IMPOILCRD*</v>
      </c>
      <c r="D9" s="108" t="str">
        <f t="shared" si="2"/>
        <v>*OILCRD</v>
      </c>
      <c r="E9" s="161">
        <f>VLOOKUP(C9,Worldprices!$B$49:$AN$92,$BW9,FALSE)</f>
        <v>7.7977487291212775</v>
      </c>
      <c r="F9" s="161"/>
      <c r="G9" s="108" t="str">
        <f t="shared" si="3"/>
        <v>COST</v>
      </c>
      <c r="H9" s="126">
        <v>2020</v>
      </c>
      <c r="I9" s="108" t="str">
        <f t="shared" si="4"/>
        <v>IMPOILDSL*</v>
      </c>
      <c r="J9" s="108" t="str">
        <f t="shared" si="4"/>
        <v>*OILDSL</v>
      </c>
      <c r="K9" s="161">
        <f>VLOOKUP(I9,Worldprices!$B$49:$AN$92,$BW9,FALSE)</f>
        <v>9.8927628253906619</v>
      </c>
      <c r="L9" s="161"/>
      <c r="M9" s="108" t="str">
        <f t="shared" si="5"/>
        <v>COST</v>
      </c>
      <c r="N9" s="126">
        <v>2020</v>
      </c>
      <c r="O9" s="108" t="str">
        <f t="shared" si="6"/>
        <v>IMPOILGSL*</v>
      </c>
      <c r="P9" s="108" t="str">
        <f t="shared" si="6"/>
        <v>*OILGSL</v>
      </c>
      <c r="Q9" s="161">
        <f>VLOOKUP(O9,Worldprices!$B$49:$AN$92,$BW9,FALSE)</f>
        <v>10.999579054836545</v>
      </c>
      <c r="R9" s="161"/>
      <c r="S9" s="108" t="str">
        <f t="shared" si="7"/>
        <v>COST</v>
      </c>
      <c r="T9" s="126">
        <v>2020</v>
      </c>
      <c r="U9" s="108" t="str">
        <f t="shared" si="8"/>
        <v>IMPOILLPG*</v>
      </c>
      <c r="V9" s="108" t="str">
        <f t="shared" si="8"/>
        <v>*OILLPG</v>
      </c>
      <c r="W9" s="161">
        <f>VLOOKUP(U9,Worldprices!$B$49:$AN$92,$BW9,FALSE)</f>
        <v>8.8504448075526501</v>
      </c>
      <c r="X9" s="161"/>
      <c r="Y9" s="108" t="str">
        <f t="shared" si="9"/>
        <v>COST</v>
      </c>
      <c r="Z9" s="126">
        <v>2020</v>
      </c>
      <c r="AA9" s="108" t="str">
        <f t="shared" si="10"/>
        <v>IMPOILHFO*</v>
      </c>
      <c r="AB9" s="108" t="str">
        <f t="shared" si="10"/>
        <v>*OILHFO</v>
      </c>
      <c r="AC9" s="161">
        <f>VLOOKUP(AA9,Worldprices!$B$49:$AN$92,$BW9,FALSE)</f>
        <v>5.507549927378359</v>
      </c>
      <c r="AD9" s="161"/>
      <c r="AE9" s="108" t="str">
        <f t="shared" si="11"/>
        <v>COST</v>
      </c>
      <c r="AF9" s="126">
        <v>2020</v>
      </c>
      <c r="AG9" s="108" t="str">
        <f t="shared" si="12"/>
        <v>IMPOILKER*</v>
      </c>
      <c r="AH9" s="108" t="str">
        <f t="shared" si="12"/>
        <v>*OILKER</v>
      </c>
      <c r="AI9" s="161">
        <f>VLOOKUP(AG9,Worldprices!$B$49:$AN$92,$BW9,FALSE)</f>
        <v>10.698449533172907</v>
      </c>
      <c r="AJ9" s="161"/>
      <c r="AK9" s="108" t="str">
        <f t="shared" si="13"/>
        <v>COST</v>
      </c>
      <c r="AL9" s="126">
        <v>2020</v>
      </c>
      <c r="AM9" s="108" t="str">
        <f t="shared" si="14"/>
        <v>IMPOILPCK*</v>
      </c>
      <c r="AN9" s="108" t="str">
        <f t="shared" si="15"/>
        <v>*OILPCK</v>
      </c>
      <c r="AO9" s="161">
        <f>VLOOKUP(AM9,Worldprices!$B$49:$AN$92,$BW9,FALSE)</f>
        <v>5.5078305256451801</v>
      </c>
      <c r="AP9" s="161"/>
      <c r="AQ9" s="108" t="str">
        <f t="shared" si="16"/>
        <v>COST</v>
      </c>
      <c r="AR9" s="126">
        <v>2020</v>
      </c>
      <c r="AS9" s="108" t="str">
        <f t="shared" si="17"/>
        <v>IMPOILBIT*</v>
      </c>
      <c r="AT9" s="108" t="str">
        <f t="shared" si="18"/>
        <v>*OILBIT</v>
      </c>
      <c r="AU9" s="161">
        <f>VLOOKUP(AS9,Worldprices!$B$49:$AN$92,$BW9,FALSE)</f>
        <v>5.5078305256451801</v>
      </c>
      <c r="AV9" s="161"/>
      <c r="AW9" s="108" t="str">
        <f t="shared" si="19"/>
        <v>COST</v>
      </c>
      <c r="AX9" s="126">
        <v>2020</v>
      </c>
      <c r="AY9" s="108" t="str">
        <f t="shared" si="20"/>
        <v>IMPOILLUB*</v>
      </c>
      <c r="AZ9" s="108" t="str">
        <f t="shared" si="21"/>
        <v>*OILLUB</v>
      </c>
      <c r="BA9" s="161">
        <f>VLOOKUP(AY9,Worldprices!$B$49:$AN$92,$BW9,FALSE)</f>
        <v>5.5078305256451801</v>
      </c>
      <c r="BB9" s="161"/>
      <c r="BC9" s="108" t="str">
        <f t="shared" si="22"/>
        <v>COST</v>
      </c>
      <c r="BD9" s="126">
        <v>2020</v>
      </c>
      <c r="BE9" s="108" t="str">
        <f t="shared" si="23"/>
        <v>IMPGASNAT_**</v>
      </c>
      <c r="BF9" s="108" t="str">
        <f t="shared" si="24"/>
        <v>PITGASNA*</v>
      </c>
      <c r="BG9" s="161">
        <f>VLOOKUP(BE9,Worldprices!$B$49:$AN$92,$BW9,FALSE)</f>
        <v>4.8707262499999997</v>
      </c>
      <c r="BH9" s="161"/>
      <c r="BI9" s="161"/>
      <c r="BJ9" s="161"/>
      <c r="BK9" s="161"/>
      <c r="BL9" s="161"/>
      <c r="BM9" s="161"/>
      <c r="BN9" s="161"/>
      <c r="BO9" s="108" t="str">
        <f t="shared" si="25"/>
        <v>COST</v>
      </c>
      <c r="BP9" s="126">
        <v>2020</v>
      </c>
      <c r="BQ9" s="108" t="str">
        <f t="shared" si="26"/>
        <v>IMPELC*, -IMPELC_Flex*</v>
      </c>
      <c r="BR9" s="108" t="str">
        <f t="shared" si="27"/>
        <v>ELCHIGG</v>
      </c>
      <c r="BS9" s="161">
        <f t="shared" si="0"/>
        <v>15.918120000000002</v>
      </c>
      <c r="BT9" s="161"/>
      <c r="BU9" s="161"/>
      <c r="BV9" s="161"/>
      <c r="BW9" s="108">
        <f t="shared" si="28"/>
        <v>8</v>
      </c>
    </row>
    <row r="10" spans="1:75" hidden="1" x14ac:dyDescent="0.25">
      <c r="A10" s="108" t="str">
        <f t="shared" si="1"/>
        <v>COST</v>
      </c>
      <c r="B10" s="126">
        <v>2021</v>
      </c>
      <c r="C10" s="108" t="str">
        <f t="shared" si="2"/>
        <v>IMPOILCRD*</v>
      </c>
      <c r="D10" s="108" t="str">
        <f t="shared" si="2"/>
        <v>*OILCRD</v>
      </c>
      <c r="E10" s="161">
        <f>VLOOKUP(C10,Worldprices!$B$49:$AN$92,$BW10,FALSE)</f>
        <v>8.5477487291212775</v>
      </c>
      <c r="F10" s="161"/>
      <c r="G10" s="108" t="str">
        <f t="shared" si="3"/>
        <v>COST</v>
      </c>
      <c r="H10" s="126">
        <v>2021</v>
      </c>
      <c r="I10" s="108" t="str">
        <f t="shared" si="4"/>
        <v>IMPOILDSL*</v>
      </c>
      <c r="J10" s="108" t="str">
        <f t="shared" si="4"/>
        <v>*OILDSL</v>
      </c>
      <c r="K10" s="161">
        <f>VLOOKUP(I10,Worldprices!$B$49:$AN$92,$BW10,FALSE)</f>
        <v>10.84426464685024</v>
      </c>
      <c r="L10" s="161"/>
      <c r="M10" s="108" t="str">
        <f t="shared" si="5"/>
        <v>COST</v>
      </c>
      <c r="N10" s="126">
        <v>2021</v>
      </c>
      <c r="O10" s="108" t="str">
        <f t="shared" si="6"/>
        <v>IMPOILGSL*</v>
      </c>
      <c r="P10" s="108" t="str">
        <f t="shared" si="6"/>
        <v>*OILGSL</v>
      </c>
      <c r="Q10" s="161">
        <f>VLOOKUP(O10,Worldprices!$B$49:$AN$92,$BW10,FALSE)</f>
        <v>12.057536239365758</v>
      </c>
      <c r="R10" s="161"/>
      <c r="S10" s="108" t="str">
        <f t="shared" si="7"/>
        <v>COST</v>
      </c>
      <c r="T10" s="126">
        <v>2021</v>
      </c>
      <c r="U10" s="108" t="str">
        <f t="shared" si="8"/>
        <v>IMPOILLPG*</v>
      </c>
      <c r="V10" s="108" t="str">
        <f t="shared" si="8"/>
        <v>*OILLPG</v>
      </c>
      <c r="W10" s="161">
        <f>VLOOKUP(U10,Worldprices!$B$49:$AN$92,$BW10,FALSE)</f>
        <v>9.7016948075526503</v>
      </c>
      <c r="X10" s="161"/>
      <c r="Y10" s="108" t="str">
        <f t="shared" si="9"/>
        <v>COST</v>
      </c>
      <c r="Z10" s="126">
        <v>2021</v>
      </c>
      <c r="AA10" s="108" t="str">
        <f t="shared" si="10"/>
        <v>IMPOILHFO*</v>
      </c>
      <c r="AB10" s="108" t="str">
        <f t="shared" si="10"/>
        <v>*OILHFO</v>
      </c>
      <c r="AC10" s="161">
        <f>VLOOKUP(AA10,Worldprices!$B$49:$AN$92,$BW10,FALSE)</f>
        <v>6.037274927378359</v>
      </c>
      <c r="AD10" s="161"/>
      <c r="AE10" s="108" t="str">
        <f t="shared" si="11"/>
        <v>COST</v>
      </c>
      <c r="AF10" s="126">
        <v>2021</v>
      </c>
      <c r="AG10" s="108" t="str">
        <f t="shared" si="12"/>
        <v>IMPOILKER*</v>
      </c>
      <c r="AH10" s="108" t="str">
        <f t="shared" si="12"/>
        <v>*OILKER</v>
      </c>
      <c r="AI10" s="161">
        <f>VLOOKUP(AG10,Worldprices!$B$49:$AN$92,$BW10,FALSE)</f>
        <v>11.727443596538151</v>
      </c>
      <c r="AJ10" s="161"/>
      <c r="AK10" s="108" t="str">
        <f t="shared" si="13"/>
        <v>COST</v>
      </c>
      <c r="AL10" s="126">
        <v>2021</v>
      </c>
      <c r="AM10" s="108" t="str">
        <f t="shared" si="14"/>
        <v>IMPOILPCK*</v>
      </c>
      <c r="AN10" s="108" t="str">
        <f t="shared" si="15"/>
        <v>*OILPCK</v>
      </c>
      <c r="AO10" s="161">
        <f>VLOOKUP(AM10,Worldprices!$B$49:$AN$92,$BW10,FALSE)</f>
        <v>6.0375825140372692</v>
      </c>
      <c r="AP10" s="161"/>
      <c r="AQ10" s="108" t="str">
        <f t="shared" si="16"/>
        <v>COST</v>
      </c>
      <c r="AR10" s="126">
        <v>2021</v>
      </c>
      <c r="AS10" s="108" t="str">
        <f t="shared" si="17"/>
        <v>IMPOILBIT*</v>
      </c>
      <c r="AT10" s="108" t="str">
        <f t="shared" si="18"/>
        <v>*OILBIT</v>
      </c>
      <c r="AU10" s="161">
        <f>VLOOKUP(AS10,Worldprices!$B$49:$AN$92,$BW10,FALSE)</f>
        <v>6.0375825140372692</v>
      </c>
      <c r="AV10" s="161"/>
      <c r="AW10" s="108" t="str">
        <f t="shared" si="19"/>
        <v>COST</v>
      </c>
      <c r="AX10" s="126">
        <v>2021</v>
      </c>
      <c r="AY10" s="108" t="str">
        <f t="shared" si="20"/>
        <v>IMPOILLUB*</v>
      </c>
      <c r="AZ10" s="108" t="str">
        <f t="shared" si="21"/>
        <v>*OILLUB</v>
      </c>
      <c r="BA10" s="161">
        <f>VLOOKUP(AY10,Worldprices!$B$49:$AN$92,$BW10,FALSE)</f>
        <v>6.0375825140372692</v>
      </c>
      <c r="BB10" s="161"/>
      <c r="BC10" s="108" t="str">
        <f t="shared" si="22"/>
        <v>COST</v>
      </c>
      <c r="BD10" s="126">
        <v>2021</v>
      </c>
      <c r="BE10" s="108" t="str">
        <f t="shared" si="23"/>
        <v>IMPGASNAT_**</v>
      </c>
      <c r="BF10" s="108" t="str">
        <f t="shared" si="24"/>
        <v>PITGASNA*</v>
      </c>
      <c r="BG10" s="161">
        <f>VLOOKUP(BE10,Worldprices!$B$49:$AN$92,$BW10,FALSE)</f>
        <v>5.3707262499999997</v>
      </c>
      <c r="BH10" s="161"/>
      <c r="BI10" s="161"/>
      <c r="BJ10" s="161"/>
      <c r="BK10" s="161"/>
      <c r="BL10" s="161"/>
      <c r="BM10" s="161"/>
      <c r="BN10" s="161"/>
      <c r="BO10" s="108" t="str">
        <f t="shared" si="25"/>
        <v>COST</v>
      </c>
      <c r="BP10" s="126">
        <v>2021</v>
      </c>
      <c r="BQ10" s="108" t="str">
        <f t="shared" si="26"/>
        <v>IMPELC*, -IMPELC_Flex*</v>
      </c>
      <c r="BR10" s="108" t="str">
        <f t="shared" ref="BR10" si="29">BR9</f>
        <v>ELCHIGG</v>
      </c>
      <c r="BS10" s="161">
        <f t="shared" si="0"/>
        <v>16.236482400000003</v>
      </c>
      <c r="BT10" s="161"/>
      <c r="BU10" s="161"/>
      <c r="BV10" s="161"/>
      <c r="BW10" s="108">
        <f t="shared" si="28"/>
        <v>9</v>
      </c>
    </row>
    <row r="11" spans="1:75" hidden="1" x14ac:dyDescent="0.25">
      <c r="A11" s="108" t="str">
        <f t="shared" si="1"/>
        <v>COST</v>
      </c>
      <c r="B11" s="126">
        <v>2022</v>
      </c>
      <c r="C11" s="108" t="str">
        <f t="shared" si="2"/>
        <v>IMPOILCRD*</v>
      </c>
      <c r="D11" s="108" t="str">
        <f t="shared" si="2"/>
        <v>*OILCRD</v>
      </c>
      <c r="E11" s="161">
        <f>VLOOKUP(C11,Worldprices!$B$49:$AN$92,$BW11,FALSE)</f>
        <v>9.2977487291212775</v>
      </c>
      <c r="F11" s="161"/>
      <c r="G11" s="108" t="str">
        <f t="shared" si="3"/>
        <v>COST</v>
      </c>
      <c r="H11" s="126">
        <v>2022</v>
      </c>
      <c r="I11" s="108" t="str">
        <f t="shared" si="4"/>
        <v>IMPOILDSL*</v>
      </c>
      <c r="J11" s="108" t="str">
        <f t="shared" si="4"/>
        <v>*OILDSL</v>
      </c>
      <c r="K11" s="161">
        <f>VLOOKUP(I11,Worldprices!$B$49:$AN$92,$BW11,FALSE)</f>
        <v>11.795766468309816</v>
      </c>
      <c r="L11" s="161"/>
      <c r="M11" s="108" t="str">
        <f t="shared" si="5"/>
        <v>COST</v>
      </c>
      <c r="N11" s="126">
        <v>2022</v>
      </c>
      <c r="O11" s="108" t="str">
        <f t="shared" si="6"/>
        <v>IMPOILGSL*</v>
      </c>
      <c r="P11" s="108" t="str">
        <f t="shared" si="6"/>
        <v>*OILGSL</v>
      </c>
      <c r="Q11" s="161">
        <f>VLOOKUP(O11,Worldprices!$B$49:$AN$92,$BW11,FALSE)</f>
        <v>13.115493423894973</v>
      </c>
      <c r="R11" s="161"/>
      <c r="S11" s="108" t="str">
        <f t="shared" si="7"/>
        <v>COST</v>
      </c>
      <c r="T11" s="126">
        <v>2022</v>
      </c>
      <c r="U11" s="108" t="str">
        <f t="shared" si="8"/>
        <v>IMPOILLPG*</v>
      </c>
      <c r="V11" s="108" t="str">
        <f t="shared" si="8"/>
        <v>*OILLPG</v>
      </c>
      <c r="W11" s="161">
        <f>VLOOKUP(U11,Worldprices!$B$49:$AN$92,$BW11,FALSE)</f>
        <v>10.552944807552651</v>
      </c>
      <c r="X11" s="161"/>
      <c r="Y11" s="108" t="str">
        <f t="shared" si="9"/>
        <v>COST</v>
      </c>
      <c r="Z11" s="126">
        <v>2022</v>
      </c>
      <c r="AA11" s="108" t="str">
        <f t="shared" si="10"/>
        <v>IMPOILHFO*</v>
      </c>
      <c r="AB11" s="108" t="str">
        <f t="shared" si="10"/>
        <v>*OILHFO</v>
      </c>
      <c r="AC11" s="161">
        <f>VLOOKUP(AA11,Worldprices!$B$49:$AN$92,$BW11,FALSE)</f>
        <v>6.566999927378359</v>
      </c>
      <c r="AD11" s="161"/>
      <c r="AE11" s="108" t="str">
        <f t="shared" si="11"/>
        <v>COST</v>
      </c>
      <c r="AF11" s="126">
        <v>2022</v>
      </c>
      <c r="AG11" s="108" t="str">
        <f t="shared" si="12"/>
        <v>IMPOILKER*</v>
      </c>
      <c r="AH11" s="108" t="str">
        <f t="shared" si="12"/>
        <v>*OILKER</v>
      </c>
      <c r="AI11" s="161">
        <f>VLOOKUP(AG11,Worldprices!$B$49:$AN$92,$BW11,FALSE)</f>
        <v>12.756437659903396</v>
      </c>
      <c r="AJ11" s="161"/>
      <c r="AK11" s="108" t="str">
        <f t="shared" si="13"/>
        <v>COST</v>
      </c>
      <c r="AL11" s="126">
        <v>2022</v>
      </c>
      <c r="AM11" s="108" t="str">
        <f t="shared" si="14"/>
        <v>IMPOILPCK*</v>
      </c>
      <c r="AN11" s="108" t="str">
        <f t="shared" si="15"/>
        <v>*OILPCK</v>
      </c>
      <c r="AO11" s="161">
        <f>VLOOKUP(AM11,Worldprices!$B$49:$AN$92,$BW11,FALSE)</f>
        <v>6.5673345024293592</v>
      </c>
      <c r="AP11" s="161"/>
      <c r="AQ11" s="108" t="str">
        <f t="shared" si="16"/>
        <v>COST</v>
      </c>
      <c r="AR11" s="126">
        <v>2022</v>
      </c>
      <c r="AS11" s="108" t="str">
        <f t="shared" si="17"/>
        <v>IMPOILBIT*</v>
      </c>
      <c r="AT11" s="108" t="str">
        <f t="shared" si="18"/>
        <v>*OILBIT</v>
      </c>
      <c r="AU11" s="161">
        <f>VLOOKUP(AS11,Worldprices!$B$49:$AN$92,$BW11,FALSE)</f>
        <v>6.5673345024293592</v>
      </c>
      <c r="AV11" s="161"/>
      <c r="AW11" s="108" t="str">
        <f t="shared" si="19"/>
        <v>COST</v>
      </c>
      <c r="AX11" s="126">
        <v>2022</v>
      </c>
      <c r="AY11" s="108" t="str">
        <f t="shared" si="20"/>
        <v>IMPOILLUB*</v>
      </c>
      <c r="AZ11" s="108" t="str">
        <f t="shared" si="21"/>
        <v>*OILLUB</v>
      </c>
      <c r="BA11" s="161">
        <f>VLOOKUP(AY11,Worldprices!$B$49:$AN$92,$BW11,FALSE)</f>
        <v>6.5673345024293592</v>
      </c>
      <c r="BB11" s="161"/>
      <c r="BC11" s="108" t="str">
        <f t="shared" si="22"/>
        <v>COST</v>
      </c>
      <c r="BD11" s="126">
        <v>2022</v>
      </c>
      <c r="BE11" s="108" t="str">
        <f t="shared" si="23"/>
        <v>IMPGASNAT_**</v>
      </c>
      <c r="BF11" s="108" t="str">
        <f t="shared" si="24"/>
        <v>PITGASNA*</v>
      </c>
      <c r="BG11" s="161">
        <f>VLOOKUP(BE11,Worldprices!$B$49:$AN$92,$BW11,FALSE)</f>
        <v>5.8707262499999997</v>
      </c>
      <c r="BH11" s="161"/>
      <c r="BI11" s="161"/>
      <c r="BJ11" s="161"/>
      <c r="BK11" s="161"/>
      <c r="BL11" s="161"/>
      <c r="BM11" s="161"/>
      <c r="BN11" s="161"/>
      <c r="BO11" s="108" t="str">
        <f t="shared" si="25"/>
        <v>COST</v>
      </c>
      <c r="BP11" s="126">
        <v>2022</v>
      </c>
      <c r="BQ11" s="108" t="str">
        <f t="shared" si="26"/>
        <v>IMPELC*, -IMPELC_Flex*</v>
      </c>
      <c r="BR11" s="108" t="str">
        <f t="shared" ref="BR11" si="30">BR10</f>
        <v>ELCHIGG</v>
      </c>
      <c r="BS11" s="161">
        <f t="shared" si="0"/>
        <v>16.561212048000005</v>
      </c>
      <c r="BT11" s="161"/>
      <c r="BU11" s="161"/>
      <c r="BV11" s="161"/>
      <c r="BW11" s="108">
        <f t="shared" si="28"/>
        <v>10</v>
      </c>
    </row>
    <row r="12" spans="1:75" hidden="1" x14ac:dyDescent="0.25">
      <c r="A12" s="108" t="str">
        <f t="shared" si="1"/>
        <v>COST</v>
      </c>
      <c r="B12" s="126">
        <v>2023</v>
      </c>
      <c r="C12" s="108" t="str">
        <f t="shared" si="2"/>
        <v>IMPOILCRD*</v>
      </c>
      <c r="D12" s="108" t="str">
        <f t="shared" si="2"/>
        <v>*OILCRD</v>
      </c>
      <c r="E12" s="161">
        <f>VLOOKUP(C12,Worldprices!$B$49:$AN$92,$BW12,FALSE)</f>
        <v>10.047748729121277</v>
      </c>
      <c r="F12" s="161"/>
      <c r="G12" s="108" t="str">
        <f t="shared" si="3"/>
        <v>COST</v>
      </c>
      <c r="H12" s="126">
        <v>2023</v>
      </c>
      <c r="I12" s="108" t="str">
        <f t="shared" si="4"/>
        <v>IMPOILDSL*</v>
      </c>
      <c r="J12" s="108" t="str">
        <f t="shared" si="4"/>
        <v>*OILDSL</v>
      </c>
      <c r="K12" s="161">
        <f>VLOOKUP(I12,Worldprices!$B$49:$AN$92,$BW12,FALSE)</f>
        <v>12.747268289769393</v>
      </c>
      <c r="L12" s="161"/>
      <c r="M12" s="108" t="str">
        <f t="shared" si="5"/>
        <v>COST</v>
      </c>
      <c r="N12" s="126">
        <v>2023</v>
      </c>
      <c r="O12" s="108" t="str">
        <f t="shared" si="6"/>
        <v>IMPOILGSL*</v>
      </c>
      <c r="P12" s="108" t="str">
        <f t="shared" si="6"/>
        <v>*OILGSL</v>
      </c>
      <c r="Q12" s="161">
        <f>VLOOKUP(O12,Worldprices!$B$49:$AN$92,$BW12,FALSE)</f>
        <v>14.173450608424188</v>
      </c>
      <c r="R12" s="161"/>
      <c r="S12" s="108" t="str">
        <f t="shared" si="7"/>
        <v>COST</v>
      </c>
      <c r="T12" s="126">
        <v>2023</v>
      </c>
      <c r="U12" s="108" t="str">
        <f t="shared" si="8"/>
        <v>IMPOILLPG*</v>
      </c>
      <c r="V12" s="108" t="str">
        <f t="shared" si="8"/>
        <v>*OILLPG</v>
      </c>
      <c r="W12" s="161">
        <f>VLOOKUP(U12,Worldprices!$B$49:$AN$92,$BW12,FALSE)</f>
        <v>11.404194807552649</v>
      </c>
      <c r="X12" s="161"/>
      <c r="Y12" s="108" t="str">
        <f t="shared" si="9"/>
        <v>COST</v>
      </c>
      <c r="Z12" s="126">
        <v>2023</v>
      </c>
      <c r="AA12" s="108" t="str">
        <f t="shared" si="10"/>
        <v>IMPOILHFO*</v>
      </c>
      <c r="AB12" s="108" t="str">
        <f t="shared" si="10"/>
        <v>*OILHFO</v>
      </c>
      <c r="AC12" s="161">
        <f>VLOOKUP(AA12,Worldprices!$B$49:$AN$92,$BW12,FALSE)</f>
        <v>7.096724927378359</v>
      </c>
      <c r="AD12" s="161"/>
      <c r="AE12" s="108" t="str">
        <f t="shared" si="11"/>
        <v>COST</v>
      </c>
      <c r="AF12" s="126">
        <v>2023</v>
      </c>
      <c r="AG12" s="108" t="str">
        <f t="shared" si="12"/>
        <v>IMPOILKER*</v>
      </c>
      <c r="AH12" s="108" t="str">
        <f t="shared" si="12"/>
        <v>*OILKER</v>
      </c>
      <c r="AI12" s="161">
        <f>VLOOKUP(AG12,Worldprices!$B$49:$AN$92,$BW12,FALSE)</f>
        <v>13.785431723268641</v>
      </c>
      <c r="AJ12" s="161"/>
      <c r="AK12" s="108" t="str">
        <f t="shared" si="13"/>
        <v>COST</v>
      </c>
      <c r="AL12" s="126">
        <v>2023</v>
      </c>
      <c r="AM12" s="108" t="str">
        <f t="shared" si="14"/>
        <v>IMPOILPCK*</v>
      </c>
      <c r="AN12" s="108" t="str">
        <f t="shared" si="15"/>
        <v>*OILPCK</v>
      </c>
      <c r="AO12" s="161">
        <f>VLOOKUP(AM12,Worldprices!$B$49:$AN$92,$BW12,FALSE)</f>
        <v>7.0970864908214484</v>
      </c>
      <c r="AP12" s="161"/>
      <c r="AQ12" s="108" t="str">
        <f t="shared" si="16"/>
        <v>COST</v>
      </c>
      <c r="AR12" s="126">
        <v>2023</v>
      </c>
      <c r="AS12" s="108" t="str">
        <f t="shared" si="17"/>
        <v>IMPOILBIT*</v>
      </c>
      <c r="AT12" s="108" t="str">
        <f t="shared" si="18"/>
        <v>*OILBIT</v>
      </c>
      <c r="AU12" s="161">
        <f>VLOOKUP(AS12,Worldprices!$B$49:$AN$92,$BW12,FALSE)</f>
        <v>7.0970864908214484</v>
      </c>
      <c r="AV12" s="161"/>
      <c r="AW12" s="108" t="str">
        <f t="shared" si="19"/>
        <v>COST</v>
      </c>
      <c r="AX12" s="126">
        <v>2023</v>
      </c>
      <c r="AY12" s="108" t="str">
        <f t="shared" si="20"/>
        <v>IMPOILLUB*</v>
      </c>
      <c r="AZ12" s="108" t="str">
        <f t="shared" si="21"/>
        <v>*OILLUB</v>
      </c>
      <c r="BA12" s="161">
        <f>VLOOKUP(AY12,Worldprices!$B$49:$AN$92,$BW12,FALSE)</f>
        <v>7.0970864908214484</v>
      </c>
      <c r="BB12" s="161"/>
      <c r="BC12" s="108" t="str">
        <f t="shared" si="22"/>
        <v>COST</v>
      </c>
      <c r="BD12" s="126">
        <v>2023</v>
      </c>
      <c r="BE12" s="108" t="str">
        <f t="shared" si="23"/>
        <v>IMPGASNAT_**</v>
      </c>
      <c r="BF12" s="108" t="str">
        <f t="shared" si="24"/>
        <v>PITGASNA*</v>
      </c>
      <c r="BG12" s="161">
        <f>VLOOKUP(BE12,Worldprices!$B$49:$AN$92,$BW12,FALSE)</f>
        <v>6.3707262499999997</v>
      </c>
      <c r="BH12" s="161"/>
      <c r="BI12" s="161"/>
      <c r="BJ12" s="161"/>
      <c r="BK12" s="161"/>
      <c r="BL12" s="161"/>
      <c r="BM12" s="161"/>
      <c r="BN12" s="161"/>
      <c r="BO12" s="108" t="str">
        <f t="shared" si="25"/>
        <v>COST</v>
      </c>
      <c r="BP12" s="126">
        <v>2023</v>
      </c>
      <c r="BQ12" s="108" t="str">
        <f t="shared" si="26"/>
        <v>IMPELC*, -IMPELC_Flex*</v>
      </c>
      <c r="BR12" s="108" t="str">
        <f t="shared" ref="BR12" si="31">BR11</f>
        <v>ELCHIGG</v>
      </c>
      <c r="BS12" s="161">
        <f t="shared" si="0"/>
        <v>16.892436288960006</v>
      </c>
      <c r="BT12" s="161"/>
      <c r="BU12" s="161"/>
      <c r="BV12" s="161"/>
      <c r="BW12" s="108">
        <f t="shared" si="28"/>
        <v>11</v>
      </c>
    </row>
    <row r="13" spans="1:75" hidden="1" x14ac:dyDescent="0.25">
      <c r="A13" s="108" t="str">
        <f t="shared" si="1"/>
        <v>COST</v>
      </c>
      <c r="B13" s="126">
        <v>2024</v>
      </c>
      <c r="C13" s="108" t="str">
        <f t="shared" si="2"/>
        <v>IMPOILCRD*</v>
      </c>
      <c r="D13" s="108" t="str">
        <f t="shared" si="2"/>
        <v>*OILCRD</v>
      </c>
      <c r="E13" s="161">
        <f>VLOOKUP(C13,Worldprices!$B$49:$AN$92,$BW13,FALSE)</f>
        <v>10.797748729121277</v>
      </c>
      <c r="F13" s="161"/>
      <c r="G13" s="108" t="str">
        <f t="shared" si="3"/>
        <v>COST</v>
      </c>
      <c r="H13" s="126">
        <v>2024</v>
      </c>
      <c r="I13" s="108" t="str">
        <f t="shared" si="4"/>
        <v>IMPOILDSL*</v>
      </c>
      <c r="J13" s="108" t="str">
        <f t="shared" si="4"/>
        <v>*OILDSL</v>
      </c>
      <c r="K13" s="161">
        <f>VLOOKUP(I13,Worldprices!$B$49:$AN$92,$BW13,FALSE)</f>
        <v>13.698770111228971</v>
      </c>
      <c r="L13" s="161"/>
      <c r="M13" s="108" t="str">
        <f t="shared" si="5"/>
        <v>COST</v>
      </c>
      <c r="N13" s="126">
        <v>2024</v>
      </c>
      <c r="O13" s="108" t="str">
        <f t="shared" si="6"/>
        <v>IMPOILGSL*</v>
      </c>
      <c r="P13" s="108" t="str">
        <f t="shared" si="6"/>
        <v>*OILGSL</v>
      </c>
      <c r="Q13" s="161">
        <f>VLOOKUP(O13,Worldprices!$B$49:$AN$92,$BW13,FALSE)</f>
        <v>15.231407792953403</v>
      </c>
      <c r="R13" s="161"/>
      <c r="S13" s="108" t="str">
        <f t="shared" si="7"/>
        <v>COST</v>
      </c>
      <c r="T13" s="126">
        <v>2024</v>
      </c>
      <c r="U13" s="108" t="str">
        <f t="shared" si="8"/>
        <v>IMPOILLPG*</v>
      </c>
      <c r="V13" s="108" t="str">
        <f t="shared" si="8"/>
        <v>*OILLPG</v>
      </c>
      <c r="W13" s="161">
        <f>VLOOKUP(U13,Worldprices!$B$49:$AN$92,$BW13,FALSE)</f>
        <v>12.255444807552649</v>
      </c>
      <c r="X13" s="161"/>
      <c r="Y13" s="108" t="str">
        <f t="shared" si="9"/>
        <v>COST</v>
      </c>
      <c r="Z13" s="126">
        <v>2024</v>
      </c>
      <c r="AA13" s="108" t="str">
        <f t="shared" si="10"/>
        <v>IMPOILHFO*</v>
      </c>
      <c r="AB13" s="108" t="str">
        <f t="shared" si="10"/>
        <v>*OILHFO</v>
      </c>
      <c r="AC13" s="161">
        <f>VLOOKUP(AA13,Worldprices!$B$49:$AN$92,$BW13,FALSE)</f>
        <v>7.626449927378359</v>
      </c>
      <c r="AD13" s="161"/>
      <c r="AE13" s="108" t="str">
        <f t="shared" si="11"/>
        <v>COST</v>
      </c>
      <c r="AF13" s="126">
        <v>2024</v>
      </c>
      <c r="AG13" s="108" t="str">
        <f t="shared" si="12"/>
        <v>IMPOILKER*</v>
      </c>
      <c r="AH13" s="108" t="str">
        <f t="shared" si="12"/>
        <v>*OILKER</v>
      </c>
      <c r="AI13" s="161">
        <f>VLOOKUP(AG13,Worldprices!$B$49:$AN$92,$BW13,FALSE)</f>
        <v>14.814425786633887</v>
      </c>
      <c r="AJ13" s="161"/>
      <c r="AK13" s="108" t="str">
        <f t="shared" si="13"/>
        <v>COST</v>
      </c>
      <c r="AL13" s="126">
        <v>2024</v>
      </c>
      <c r="AM13" s="108" t="str">
        <f t="shared" si="14"/>
        <v>IMPOILPCK*</v>
      </c>
      <c r="AN13" s="108" t="str">
        <f t="shared" si="15"/>
        <v>*OILPCK</v>
      </c>
      <c r="AO13" s="161">
        <f>VLOOKUP(AM13,Worldprices!$B$49:$AN$92,$BW13,FALSE)</f>
        <v>7.6268384792135375</v>
      </c>
      <c r="AP13" s="161"/>
      <c r="AQ13" s="108" t="str">
        <f t="shared" si="16"/>
        <v>COST</v>
      </c>
      <c r="AR13" s="126">
        <v>2024</v>
      </c>
      <c r="AS13" s="108" t="str">
        <f t="shared" si="17"/>
        <v>IMPOILBIT*</v>
      </c>
      <c r="AT13" s="108" t="str">
        <f t="shared" si="18"/>
        <v>*OILBIT</v>
      </c>
      <c r="AU13" s="161">
        <f>VLOOKUP(AS13,Worldprices!$B$49:$AN$92,$BW13,FALSE)</f>
        <v>7.6268384792135375</v>
      </c>
      <c r="AV13" s="161"/>
      <c r="AW13" s="108" t="str">
        <f t="shared" si="19"/>
        <v>COST</v>
      </c>
      <c r="AX13" s="126">
        <v>2024</v>
      </c>
      <c r="AY13" s="108" t="str">
        <f t="shared" si="20"/>
        <v>IMPOILLUB*</v>
      </c>
      <c r="AZ13" s="108" t="str">
        <f t="shared" si="21"/>
        <v>*OILLUB</v>
      </c>
      <c r="BA13" s="161">
        <f>VLOOKUP(AY13,Worldprices!$B$49:$AN$92,$BW13,FALSE)</f>
        <v>7.6268384792135375</v>
      </c>
      <c r="BB13" s="161"/>
      <c r="BC13" s="108" t="str">
        <f t="shared" si="22"/>
        <v>COST</v>
      </c>
      <c r="BD13" s="126">
        <v>2024</v>
      </c>
      <c r="BE13" s="108" t="str">
        <f t="shared" si="23"/>
        <v>IMPGASNAT_**</v>
      </c>
      <c r="BF13" s="108" t="str">
        <f t="shared" si="24"/>
        <v>PITGASNA*</v>
      </c>
      <c r="BG13" s="161">
        <f>VLOOKUP(BE13,Worldprices!$B$49:$AN$92,$BW13,FALSE)</f>
        <v>6.8707262499999997</v>
      </c>
      <c r="BH13" s="161"/>
      <c r="BI13" s="161"/>
      <c r="BJ13" s="161"/>
      <c r="BK13" s="161"/>
      <c r="BL13" s="161"/>
      <c r="BM13" s="161"/>
      <c r="BN13" s="161"/>
      <c r="BO13" s="108" t="str">
        <f t="shared" si="25"/>
        <v>COST</v>
      </c>
      <c r="BP13" s="126">
        <v>2024</v>
      </c>
      <c r="BQ13" s="108" t="str">
        <f t="shared" si="26"/>
        <v>IMPELC*, -IMPELC_Flex*</v>
      </c>
      <c r="BR13" s="108" t="str">
        <f t="shared" ref="BR13" si="32">BR12</f>
        <v>ELCHIGG</v>
      </c>
      <c r="BS13" s="161">
        <f t="shared" si="0"/>
        <v>17.230285014739206</v>
      </c>
      <c r="BT13" s="161"/>
      <c r="BU13" s="161"/>
      <c r="BV13" s="161"/>
      <c r="BW13" s="108">
        <f t="shared" si="28"/>
        <v>12</v>
      </c>
    </row>
    <row r="14" spans="1:75" x14ac:dyDescent="0.25">
      <c r="A14" s="108" t="str">
        <f t="shared" si="1"/>
        <v>COST</v>
      </c>
      <c r="B14" s="126">
        <v>2025</v>
      </c>
      <c r="C14" s="108" t="str">
        <f t="shared" si="2"/>
        <v>IMPOILCRD*</v>
      </c>
      <c r="D14" s="108" t="str">
        <f t="shared" si="2"/>
        <v>*OILCRD</v>
      </c>
      <c r="E14" s="161">
        <f>VLOOKUP(C14,Worldprices!$B$49:$AN$92,$BW14,FALSE)</f>
        <v>11.547748729121277</v>
      </c>
      <c r="F14" s="161"/>
      <c r="G14" s="108" t="str">
        <f t="shared" si="3"/>
        <v>COST</v>
      </c>
      <c r="H14" s="126">
        <v>2025</v>
      </c>
      <c r="I14" s="108" t="str">
        <f t="shared" si="4"/>
        <v>IMPOILDSL*</v>
      </c>
      <c r="J14" s="108" t="str">
        <f t="shared" si="4"/>
        <v>*OILDSL</v>
      </c>
      <c r="K14" s="161">
        <f>VLOOKUP(I14,Worldprices!$B$49:$AN$92,$BW14,FALSE)</f>
        <v>14.650271932688547</v>
      </c>
      <c r="L14" s="161"/>
      <c r="M14" s="108" t="str">
        <f t="shared" si="5"/>
        <v>COST</v>
      </c>
      <c r="N14" s="126">
        <v>2025</v>
      </c>
      <c r="O14" s="108" t="str">
        <f t="shared" si="6"/>
        <v>IMPOILGSL*</v>
      </c>
      <c r="P14" s="108" t="str">
        <f t="shared" si="6"/>
        <v>*OILGSL</v>
      </c>
      <c r="Q14" s="161">
        <f>VLOOKUP(O14,Worldprices!$B$49:$AN$92,$BW14,FALSE)</f>
        <v>16.289364977482617</v>
      </c>
      <c r="R14" s="161"/>
      <c r="S14" s="108" t="str">
        <f t="shared" si="7"/>
        <v>COST</v>
      </c>
      <c r="T14" s="126">
        <v>2025</v>
      </c>
      <c r="U14" s="108" t="str">
        <f t="shared" si="8"/>
        <v>IMPOILLPG*</v>
      </c>
      <c r="V14" s="108" t="str">
        <f t="shared" si="8"/>
        <v>*OILLPG</v>
      </c>
      <c r="W14" s="161">
        <f>VLOOKUP(U14,Worldprices!$B$49:$AN$92,$BW14,FALSE)</f>
        <v>13.10669480755265</v>
      </c>
      <c r="X14" s="161"/>
      <c r="Y14" s="108" t="str">
        <f t="shared" si="9"/>
        <v>COST</v>
      </c>
      <c r="Z14" s="126">
        <v>2025</v>
      </c>
      <c r="AA14" s="108" t="str">
        <f t="shared" si="10"/>
        <v>IMPOILHFO*</v>
      </c>
      <c r="AB14" s="108" t="str">
        <f t="shared" si="10"/>
        <v>*OILHFO</v>
      </c>
      <c r="AC14" s="161">
        <f>VLOOKUP(AA14,Worldprices!$B$49:$AN$92,$BW14,FALSE)</f>
        <v>8.156174927378359</v>
      </c>
      <c r="AD14" s="161"/>
      <c r="AE14" s="108" t="str">
        <f t="shared" si="11"/>
        <v>COST</v>
      </c>
      <c r="AF14" s="126">
        <v>2025</v>
      </c>
      <c r="AG14" s="108" t="str">
        <f t="shared" si="12"/>
        <v>IMPOILKER*</v>
      </c>
      <c r="AH14" s="108" t="str">
        <f t="shared" si="12"/>
        <v>*OILKER</v>
      </c>
      <c r="AI14" s="161">
        <f>VLOOKUP(AG14,Worldprices!$B$49:$AN$92,$BW14,FALSE)</f>
        <v>15.843419849999131</v>
      </c>
      <c r="AJ14" s="161"/>
      <c r="AK14" s="108" t="str">
        <f t="shared" si="13"/>
        <v>COST</v>
      </c>
      <c r="AL14" s="126">
        <v>2025</v>
      </c>
      <c r="AM14" s="108" t="str">
        <f t="shared" si="14"/>
        <v>IMPOILPCK*</v>
      </c>
      <c r="AN14" s="108" t="str">
        <f t="shared" si="15"/>
        <v>*OILPCK</v>
      </c>
      <c r="AO14" s="161">
        <f>VLOOKUP(AM14,Worldprices!$B$49:$AN$92,$BW14,FALSE)</f>
        <v>8.1565904676056267</v>
      </c>
      <c r="AP14" s="161"/>
      <c r="AQ14" s="108" t="str">
        <f t="shared" si="16"/>
        <v>COST</v>
      </c>
      <c r="AR14" s="126">
        <v>2025</v>
      </c>
      <c r="AS14" s="108" t="str">
        <f t="shared" si="17"/>
        <v>IMPOILBIT*</v>
      </c>
      <c r="AT14" s="108" t="str">
        <f t="shared" si="18"/>
        <v>*OILBIT</v>
      </c>
      <c r="AU14" s="161">
        <f>VLOOKUP(AS14,Worldprices!$B$49:$AN$92,$BW14,FALSE)</f>
        <v>8.1565904676056267</v>
      </c>
      <c r="AV14" s="161"/>
      <c r="AW14" s="108" t="str">
        <f t="shared" si="19"/>
        <v>COST</v>
      </c>
      <c r="AX14" s="126">
        <v>2025</v>
      </c>
      <c r="AY14" s="108" t="str">
        <f t="shared" si="20"/>
        <v>IMPOILLUB*</v>
      </c>
      <c r="AZ14" s="108" t="str">
        <f t="shared" si="21"/>
        <v>*OILLUB</v>
      </c>
      <c r="BA14" s="161">
        <f>VLOOKUP(AY14,Worldprices!$B$49:$AN$92,$BW14,FALSE)</f>
        <v>8.1565904676056267</v>
      </c>
      <c r="BB14" s="161"/>
      <c r="BC14" s="108" t="str">
        <f t="shared" si="22"/>
        <v>COST</v>
      </c>
      <c r="BD14" s="126">
        <v>2025</v>
      </c>
      <c r="BE14" s="108" t="str">
        <f t="shared" si="23"/>
        <v>IMPGASNAT_**</v>
      </c>
      <c r="BF14" s="108" t="str">
        <f t="shared" si="24"/>
        <v>PITGASNA*</v>
      </c>
      <c r="BG14" s="161">
        <f>VLOOKUP(BE14,Worldprices!$B$49:$AN$92,$BW14,FALSE)</f>
        <v>7.3707262499999997</v>
      </c>
      <c r="BH14" s="161"/>
      <c r="BI14" s="161"/>
      <c r="BJ14" s="161"/>
      <c r="BK14" s="161"/>
      <c r="BL14" s="161"/>
      <c r="BM14" s="161"/>
      <c r="BN14" s="161"/>
      <c r="BO14" s="108" t="str">
        <f t="shared" si="25"/>
        <v>COST</v>
      </c>
      <c r="BP14" s="126">
        <v>2025</v>
      </c>
      <c r="BQ14" s="108" t="str">
        <f t="shared" si="26"/>
        <v>IMPELC*, -IMPELC_Flex*</v>
      </c>
      <c r="BR14" s="108" t="str">
        <f t="shared" ref="BR14" si="33">BR13</f>
        <v>ELCHIGG</v>
      </c>
      <c r="BS14" s="161">
        <f t="shared" si="0"/>
        <v>17.574890715033991</v>
      </c>
      <c r="BT14" s="161"/>
      <c r="BU14" s="161"/>
      <c r="BV14" s="161"/>
      <c r="BW14" s="108">
        <f t="shared" si="28"/>
        <v>13</v>
      </c>
    </row>
    <row r="15" spans="1:75" hidden="1" x14ac:dyDescent="0.25">
      <c r="A15" s="108" t="str">
        <f t="shared" si="1"/>
        <v>COST</v>
      </c>
      <c r="B15" s="126">
        <v>2026</v>
      </c>
      <c r="C15" s="108" t="str">
        <f t="shared" si="2"/>
        <v>IMPOILCRD*</v>
      </c>
      <c r="D15" s="108" t="str">
        <f t="shared" si="2"/>
        <v>*OILCRD</v>
      </c>
      <c r="E15" s="161">
        <f>VLOOKUP(C15,Worldprices!$B$49:$AN$92,$BW15,FALSE)</f>
        <v>12.867647058823527</v>
      </c>
      <c r="F15" s="161"/>
      <c r="G15" s="108" t="str">
        <f t="shared" si="3"/>
        <v>COST</v>
      </c>
      <c r="H15" s="126">
        <v>2026</v>
      </c>
      <c r="I15" s="108" t="str">
        <f t="shared" si="4"/>
        <v>IMPOILDSL*</v>
      </c>
      <c r="J15" s="108" t="str">
        <f t="shared" si="4"/>
        <v>*OILDSL</v>
      </c>
      <c r="K15" s="161">
        <f>VLOOKUP(I15,Worldprices!$B$49:$AN$92,$BW15,FALSE)</f>
        <v>16.324786152492738</v>
      </c>
      <c r="L15" s="161"/>
      <c r="M15" s="108" t="str">
        <f t="shared" si="5"/>
        <v>COST</v>
      </c>
      <c r="N15" s="126">
        <v>2026</v>
      </c>
      <c r="O15" s="108" t="str">
        <f t="shared" si="6"/>
        <v>IMPOILGSL*</v>
      </c>
      <c r="P15" s="108" t="str">
        <f t="shared" si="6"/>
        <v>*OILGSL</v>
      </c>
      <c r="Q15" s="161">
        <f>VLOOKUP(O15,Worldprices!$B$49:$AN$92,$BW15,FALSE)</f>
        <v>18.151226205158089</v>
      </c>
      <c r="R15" s="161"/>
      <c r="S15" s="108" t="str">
        <f t="shared" si="7"/>
        <v>COST</v>
      </c>
      <c r="T15" s="126">
        <v>2026</v>
      </c>
      <c r="U15" s="108" t="str">
        <f t="shared" si="8"/>
        <v>IMPOILLPG*</v>
      </c>
      <c r="V15" s="108" t="str">
        <f t="shared" si="8"/>
        <v>*OILLPG</v>
      </c>
      <c r="W15" s="161">
        <f>VLOOKUP(U15,Worldprices!$B$49:$AN$92,$BW15,FALSE)</f>
        <v>14.604779411764703</v>
      </c>
      <c r="X15" s="161"/>
      <c r="Y15" s="108" t="str">
        <f t="shared" si="9"/>
        <v>COST</v>
      </c>
      <c r="Z15" s="126">
        <v>2026</v>
      </c>
      <c r="AA15" s="108" t="str">
        <f t="shared" si="10"/>
        <v>IMPOILHFO*</v>
      </c>
      <c r="AB15" s="108" t="str">
        <f t="shared" si="10"/>
        <v>*OILHFO</v>
      </c>
      <c r="AC15" s="161">
        <f>VLOOKUP(AA15,Worldprices!$B$49:$AN$92,$BW15,FALSE)</f>
        <v>9.0884191176470583</v>
      </c>
      <c r="AD15" s="161"/>
      <c r="AE15" s="108" t="str">
        <f t="shared" si="11"/>
        <v>COST</v>
      </c>
      <c r="AF15" s="126">
        <v>2026</v>
      </c>
      <c r="AG15" s="108" t="str">
        <f t="shared" si="12"/>
        <v>IMPOILKER*</v>
      </c>
      <c r="AH15" s="108" t="str">
        <f t="shared" si="12"/>
        <v>*OILKER</v>
      </c>
      <c r="AI15" s="161">
        <f>VLOOKUP(AG15,Worldprices!$B$49:$AN$92,$BW15,FALSE)</f>
        <v>17.654309910678222</v>
      </c>
      <c r="AJ15" s="161"/>
      <c r="AK15" s="108" t="str">
        <f t="shared" si="13"/>
        <v>COST</v>
      </c>
      <c r="AL15" s="126">
        <v>2026</v>
      </c>
      <c r="AM15" s="108" t="str">
        <f t="shared" si="14"/>
        <v>IMPOILPCK*</v>
      </c>
      <c r="AN15" s="108" t="str">
        <f t="shared" si="15"/>
        <v>*OILPCK</v>
      </c>
      <c r="AO15" s="161">
        <f>VLOOKUP(AM15,Worldprices!$B$49:$AN$92,$BW15,FALSE)</f>
        <v>9.0888821537858462</v>
      </c>
      <c r="AP15" s="161"/>
      <c r="AQ15" s="108" t="str">
        <f t="shared" si="16"/>
        <v>COST</v>
      </c>
      <c r="AR15" s="126">
        <v>2026</v>
      </c>
      <c r="AS15" s="108" t="str">
        <f t="shared" si="17"/>
        <v>IMPOILBIT*</v>
      </c>
      <c r="AT15" s="108" t="str">
        <f t="shared" si="18"/>
        <v>*OILBIT</v>
      </c>
      <c r="AU15" s="161">
        <f>VLOOKUP(AS15,Worldprices!$B$49:$AN$92,$BW15,FALSE)</f>
        <v>9.0888821537858462</v>
      </c>
      <c r="AV15" s="161"/>
      <c r="AW15" s="108" t="str">
        <f t="shared" si="19"/>
        <v>COST</v>
      </c>
      <c r="AX15" s="126">
        <v>2026</v>
      </c>
      <c r="AY15" s="108" t="str">
        <f t="shared" si="20"/>
        <v>IMPOILLUB*</v>
      </c>
      <c r="AZ15" s="108" t="str">
        <f t="shared" si="21"/>
        <v>*OILLUB</v>
      </c>
      <c r="BA15" s="161">
        <f>VLOOKUP(AY15,Worldprices!$B$49:$AN$92,$BW15,FALSE)</f>
        <v>9.0888821537858462</v>
      </c>
      <c r="BB15" s="161"/>
      <c r="BC15" s="108" t="str">
        <f t="shared" si="22"/>
        <v>COST</v>
      </c>
      <c r="BD15" s="126">
        <v>2026</v>
      </c>
      <c r="BE15" s="108" t="str">
        <f t="shared" si="23"/>
        <v>IMPGASNAT_**</v>
      </c>
      <c r="BF15" s="108" t="str">
        <f t="shared" si="24"/>
        <v>PITGASNA*</v>
      </c>
      <c r="BG15" s="161">
        <f>VLOOKUP(BE15,Worldprices!$B$49:$AN$92,$BW15,FALSE)</f>
        <v>7.5114497250000003</v>
      </c>
      <c r="BH15" s="161"/>
      <c r="BI15" s="161"/>
      <c r="BJ15" s="161"/>
      <c r="BK15" s="161"/>
      <c r="BL15" s="161"/>
      <c r="BM15" s="161"/>
      <c r="BN15" s="161"/>
      <c r="BO15" s="108" t="str">
        <f t="shared" si="25"/>
        <v>COST</v>
      </c>
      <c r="BP15" s="126">
        <v>2026</v>
      </c>
      <c r="BQ15" s="108" t="str">
        <f t="shared" si="26"/>
        <v>IMPELC*, -IMPELC_Flex*</v>
      </c>
      <c r="BR15" s="108" t="str">
        <f t="shared" ref="BR15" si="34">BR14</f>
        <v>ELCHIGG</v>
      </c>
      <c r="BS15" s="161">
        <f t="shared" si="0"/>
        <v>17.92638852933467</v>
      </c>
      <c r="BT15" s="161"/>
      <c r="BU15" s="161"/>
      <c r="BV15" s="161"/>
      <c r="BW15" s="108">
        <f t="shared" si="28"/>
        <v>14</v>
      </c>
    </row>
    <row r="16" spans="1:75" hidden="1" x14ac:dyDescent="0.25">
      <c r="A16" s="108" t="str">
        <f t="shared" si="1"/>
        <v>COST</v>
      </c>
      <c r="B16" s="126">
        <v>2027</v>
      </c>
      <c r="C16" s="108" t="str">
        <f t="shared" si="2"/>
        <v>IMPOILCRD*</v>
      </c>
      <c r="D16" s="108" t="str">
        <f t="shared" si="2"/>
        <v>*OILCRD</v>
      </c>
      <c r="E16" s="161">
        <f>VLOOKUP(C16,Worldprices!$B$49:$AN$92,$BW16,FALSE)</f>
        <v>13.453159041394333</v>
      </c>
      <c r="F16" s="161"/>
      <c r="G16" s="108" t="str">
        <f t="shared" si="3"/>
        <v>COST</v>
      </c>
      <c r="H16" s="126">
        <v>2027</v>
      </c>
      <c r="I16" s="108" t="str">
        <f t="shared" si="4"/>
        <v>IMPOILDSL*</v>
      </c>
      <c r="J16" s="108" t="str">
        <f t="shared" si="4"/>
        <v>*OILDSL</v>
      </c>
      <c r="K16" s="161">
        <f>VLOOKUP(I16,Worldprices!$B$49:$AN$92,$BW16,FALSE)</f>
        <v>17.067607109696112</v>
      </c>
      <c r="L16" s="161"/>
      <c r="M16" s="108" t="str">
        <f t="shared" si="5"/>
        <v>COST</v>
      </c>
      <c r="N16" s="126">
        <v>2027</v>
      </c>
      <c r="O16" s="108" t="str">
        <f t="shared" si="6"/>
        <v>IMPOILGSL*</v>
      </c>
      <c r="P16" s="108" t="str">
        <f t="shared" si="6"/>
        <v>*OILGSL</v>
      </c>
      <c r="Q16" s="161">
        <f>VLOOKUP(O16,Worldprices!$B$49:$AN$92,$BW16,FALSE)</f>
        <v>18.977155016609728</v>
      </c>
      <c r="R16" s="161"/>
      <c r="S16" s="108" t="str">
        <f t="shared" si="7"/>
        <v>COST</v>
      </c>
      <c r="T16" s="126">
        <v>2027</v>
      </c>
      <c r="U16" s="108" t="str">
        <f t="shared" si="8"/>
        <v>IMPOILLPG*</v>
      </c>
      <c r="V16" s="108" t="str">
        <f t="shared" si="8"/>
        <v>*OILLPG</v>
      </c>
      <c r="W16" s="161">
        <f>VLOOKUP(U16,Worldprices!$B$49:$AN$92,$BW16,FALSE)</f>
        <v>15.269335511982568</v>
      </c>
      <c r="X16" s="161"/>
      <c r="Y16" s="108" t="str">
        <f t="shared" si="9"/>
        <v>COST</v>
      </c>
      <c r="Z16" s="126">
        <v>2027</v>
      </c>
      <c r="AA16" s="108" t="str">
        <f t="shared" si="10"/>
        <v>IMPOILHFO*</v>
      </c>
      <c r="AB16" s="108" t="str">
        <f t="shared" si="10"/>
        <v>*OILHFO</v>
      </c>
      <c r="AC16" s="161">
        <f>VLOOKUP(AA16,Worldprices!$B$49:$AN$92,$BW16,FALSE)</f>
        <v>9.5019662309368176</v>
      </c>
      <c r="AD16" s="161"/>
      <c r="AE16" s="108" t="str">
        <f t="shared" si="11"/>
        <v>COST</v>
      </c>
      <c r="AF16" s="126">
        <v>2027</v>
      </c>
      <c r="AG16" s="108" t="str">
        <f t="shared" si="12"/>
        <v>IMPOILKER*</v>
      </c>
      <c r="AH16" s="108" t="str">
        <f t="shared" si="12"/>
        <v>*OILKER</v>
      </c>
      <c r="AI16" s="161">
        <f>VLOOKUP(AG16,Worldprices!$B$49:$AN$92,$BW16,FALSE)</f>
        <v>18.457627716137655</v>
      </c>
      <c r="AJ16" s="161"/>
      <c r="AK16" s="108" t="str">
        <f t="shared" si="13"/>
        <v>COST</v>
      </c>
      <c r="AL16" s="126">
        <v>2027</v>
      </c>
      <c r="AM16" s="108" t="str">
        <f t="shared" si="14"/>
        <v>IMPOILPCK*</v>
      </c>
      <c r="AN16" s="108" t="str">
        <f t="shared" si="15"/>
        <v>*OILPCK</v>
      </c>
      <c r="AO16" s="161">
        <f>VLOOKUP(AM16,Worldprices!$B$49:$AN$92,$BW16,FALSE)</f>
        <v>9.502450336444884</v>
      </c>
      <c r="AP16" s="161"/>
      <c r="AQ16" s="108" t="str">
        <f t="shared" si="16"/>
        <v>COST</v>
      </c>
      <c r="AR16" s="126">
        <v>2027</v>
      </c>
      <c r="AS16" s="108" t="str">
        <f t="shared" si="17"/>
        <v>IMPOILBIT*</v>
      </c>
      <c r="AT16" s="108" t="str">
        <f t="shared" si="18"/>
        <v>*OILBIT</v>
      </c>
      <c r="AU16" s="161">
        <f>VLOOKUP(AS16,Worldprices!$B$49:$AN$92,$BW16,FALSE)</f>
        <v>9.502450336444884</v>
      </c>
      <c r="AV16" s="161"/>
      <c r="AW16" s="108" t="str">
        <f t="shared" si="19"/>
        <v>COST</v>
      </c>
      <c r="AX16" s="126">
        <v>2027</v>
      </c>
      <c r="AY16" s="108" t="str">
        <f t="shared" si="20"/>
        <v>IMPOILLUB*</v>
      </c>
      <c r="AZ16" s="108" t="str">
        <f t="shared" si="21"/>
        <v>*OILLUB</v>
      </c>
      <c r="BA16" s="161">
        <f>VLOOKUP(AY16,Worldprices!$B$49:$AN$92,$BW16,FALSE)</f>
        <v>9.502450336444884</v>
      </c>
      <c r="BB16" s="161"/>
      <c r="BC16" s="108" t="str">
        <f t="shared" si="22"/>
        <v>COST</v>
      </c>
      <c r="BD16" s="126">
        <v>2027</v>
      </c>
      <c r="BE16" s="108" t="str">
        <f t="shared" si="23"/>
        <v>IMPGASNAT_**</v>
      </c>
      <c r="BF16" s="108" t="str">
        <f t="shared" si="24"/>
        <v>PITGASNA*</v>
      </c>
      <c r="BG16" s="161">
        <f>VLOOKUP(BE16,Worldprices!$B$49:$AN$92,$BW16,FALSE)</f>
        <v>7.6141299</v>
      </c>
      <c r="BH16" s="161"/>
      <c r="BI16" s="161"/>
      <c r="BJ16" s="161"/>
      <c r="BK16" s="161"/>
      <c r="BL16" s="161"/>
      <c r="BM16" s="161"/>
      <c r="BN16" s="161"/>
      <c r="BO16" s="108" t="str">
        <f t="shared" si="25"/>
        <v>COST</v>
      </c>
      <c r="BP16" s="126">
        <v>2027</v>
      </c>
      <c r="BQ16" s="108" t="str">
        <f t="shared" si="26"/>
        <v>IMPELC*, -IMPELC_Flex*</v>
      </c>
      <c r="BR16" s="108" t="str">
        <f t="shared" ref="BR16" si="35">BR15</f>
        <v>ELCHIGG</v>
      </c>
      <c r="BS16" s="161">
        <f t="shared" si="0"/>
        <v>18.284916299921363</v>
      </c>
      <c r="BT16" s="161"/>
      <c r="BU16" s="161"/>
      <c r="BV16" s="161"/>
      <c r="BW16" s="108">
        <f t="shared" si="28"/>
        <v>15</v>
      </c>
    </row>
    <row r="17" spans="1:75" hidden="1" x14ac:dyDescent="0.25">
      <c r="A17" s="108" t="str">
        <f t="shared" si="1"/>
        <v>COST</v>
      </c>
      <c r="B17" s="126">
        <v>2028</v>
      </c>
      <c r="C17" s="108" t="str">
        <f t="shared" si="2"/>
        <v>IMPOILCRD*</v>
      </c>
      <c r="D17" s="108" t="str">
        <f t="shared" si="2"/>
        <v>*OILCRD</v>
      </c>
      <c r="E17" s="161">
        <f>VLOOKUP(C17,Worldprices!$B$49:$AN$92,$BW17,FALSE)</f>
        <v>14.038671023965138</v>
      </c>
      <c r="F17" s="161"/>
      <c r="G17" s="108" t="str">
        <f t="shared" si="3"/>
        <v>COST</v>
      </c>
      <c r="H17" s="126">
        <v>2028</v>
      </c>
      <c r="I17" s="108" t="str">
        <f t="shared" si="4"/>
        <v>IMPOILDSL*</v>
      </c>
      <c r="J17" s="108" t="str">
        <f t="shared" si="4"/>
        <v>*OILDSL</v>
      </c>
      <c r="K17" s="161">
        <f>VLOOKUP(I17,Worldprices!$B$49:$AN$92,$BW17,FALSE)</f>
        <v>17.810428066899483</v>
      </c>
      <c r="L17" s="161"/>
      <c r="M17" s="108" t="str">
        <f t="shared" si="5"/>
        <v>COST</v>
      </c>
      <c r="N17" s="126">
        <v>2028</v>
      </c>
      <c r="O17" s="108" t="str">
        <f t="shared" si="6"/>
        <v>IMPOILGSL*</v>
      </c>
      <c r="P17" s="108" t="str">
        <f t="shared" si="6"/>
        <v>*OILGSL</v>
      </c>
      <c r="Q17" s="161">
        <f>VLOOKUP(O17,Worldprices!$B$49:$AN$92,$BW17,FALSE)</f>
        <v>19.803083828061364</v>
      </c>
      <c r="R17" s="161"/>
      <c r="S17" s="108" t="str">
        <f t="shared" si="7"/>
        <v>COST</v>
      </c>
      <c r="T17" s="126">
        <v>2028</v>
      </c>
      <c r="U17" s="108" t="str">
        <f t="shared" si="8"/>
        <v>IMPOILLPG*</v>
      </c>
      <c r="V17" s="108" t="str">
        <f t="shared" si="8"/>
        <v>*OILLPG</v>
      </c>
      <c r="W17" s="161">
        <f>VLOOKUP(U17,Worldprices!$B$49:$AN$92,$BW17,FALSE)</f>
        <v>15.933891612200432</v>
      </c>
      <c r="X17" s="161"/>
      <c r="Y17" s="108" t="str">
        <f t="shared" si="9"/>
        <v>COST</v>
      </c>
      <c r="Z17" s="126">
        <v>2028</v>
      </c>
      <c r="AA17" s="108" t="str">
        <f t="shared" si="10"/>
        <v>IMPOILHFO*</v>
      </c>
      <c r="AB17" s="108" t="str">
        <f t="shared" si="10"/>
        <v>*OILHFO</v>
      </c>
      <c r="AC17" s="161">
        <f>VLOOKUP(AA17,Worldprices!$B$49:$AN$92,$BW17,FALSE)</f>
        <v>9.9155133442265768</v>
      </c>
      <c r="AD17" s="161"/>
      <c r="AE17" s="108" t="str">
        <f t="shared" si="11"/>
        <v>COST</v>
      </c>
      <c r="AF17" s="126">
        <v>2028</v>
      </c>
      <c r="AG17" s="108" t="str">
        <f t="shared" si="12"/>
        <v>IMPOILKER*</v>
      </c>
      <c r="AH17" s="108" t="str">
        <f t="shared" si="12"/>
        <v>*OILKER</v>
      </c>
      <c r="AI17" s="161">
        <f>VLOOKUP(AG17,Worldprices!$B$49:$AN$92,$BW17,FALSE)</f>
        <v>19.260945521597087</v>
      </c>
      <c r="AJ17" s="161"/>
      <c r="AK17" s="108" t="str">
        <f t="shared" si="13"/>
        <v>COST</v>
      </c>
      <c r="AL17" s="126">
        <v>2028</v>
      </c>
      <c r="AM17" s="108" t="str">
        <f t="shared" si="14"/>
        <v>IMPOILPCK*</v>
      </c>
      <c r="AN17" s="108" t="str">
        <f t="shared" si="15"/>
        <v>*OILPCK</v>
      </c>
      <c r="AO17" s="161">
        <f>VLOOKUP(AM17,Worldprices!$B$49:$AN$92,$BW17,FALSE)</f>
        <v>9.9160185191039218</v>
      </c>
      <c r="AP17" s="161"/>
      <c r="AQ17" s="108" t="str">
        <f t="shared" si="16"/>
        <v>COST</v>
      </c>
      <c r="AR17" s="126">
        <v>2028</v>
      </c>
      <c r="AS17" s="108" t="str">
        <f t="shared" si="17"/>
        <v>IMPOILBIT*</v>
      </c>
      <c r="AT17" s="108" t="str">
        <f t="shared" si="18"/>
        <v>*OILBIT</v>
      </c>
      <c r="AU17" s="161">
        <f>VLOOKUP(AS17,Worldprices!$B$49:$AN$92,$BW17,FALSE)</f>
        <v>9.9160185191039218</v>
      </c>
      <c r="AV17" s="161"/>
      <c r="AW17" s="108" t="str">
        <f t="shared" si="19"/>
        <v>COST</v>
      </c>
      <c r="AX17" s="126">
        <v>2028</v>
      </c>
      <c r="AY17" s="108" t="str">
        <f t="shared" si="20"/>
        <v>IMPOILLUB*</v>
      </c>
      <c r="AZ17" s="108" t="str">
        <f t="shared" si="21"/>
        <v>*OILLUB</v>
      </c>
      <c r="BA17" s="161">
        <f>VLOOKUP(AY17,Worldprices!$B$49:$AN$92,$BW17,FALSE)</f>
        <v>9.9160185191039218</v>
      </c>
      <c r="BB17" s="161"/>
      <c r="BC17" s="108" t="str">
        <f t="shared" si="22"/>
        <v>COST</v>
      </c>
      <c r="BD17" s="126">
        <v>2028</v>
      </c>
      <c r="BE17" s="108" t="str">
        <f t="shared" si="23"/>
        <v>IMPGASNAT_**</v>
      </c>
      <c r="BF17" s="108" t="str">
        <f t="shared" si="24"/>
        <v>PITGASNA*</v>
      </c>
      <c r="BG17" s="161">
        <f>VLOOKUP(BE17,Worldprices!$B$49:$AN$92,$BW17,FALSE)</f>
        <v>7.7168100749999997</v>
      </c>
      <c r="BH17" s="161"/>
      <c r="BI17" s="161"/>
      <c r="BJ17" s="161"/>
      <c r="BK17" s="161"/>
      <c r="BL17" s="161"/>
      <c r="BM17" s="161"/>
      <c r="BN17" s="161"/>
      <c r="BO17" s="108" t="str">
        <f t="shared" si="25"/>
        <v>COST</v>
      </c>
      <c r="BP17" s="126">
        <v>2028</v>
      </c>
      <c r="BQ17" s="108" t="str">
        <f t="shared" si="26"/>
        <v>IMPELC*, -IMPELC_Flex*</v>
      </c>
      <c r="BR17" s="108" t="str">
        <f t="shared" ref="BR17" si="36">BR16</f>
        <v>ELCHIGG</v>
      </c>
      <c r="BS17" s="161">
        <f t="shared" si="0"/>
        <v>18.65061462591979</v>
      </c>
      <c r="BT17" s="161"/>
      <c r="BU17" s="161"/>
      <c r="BV17" s="161"/>
      <c r="BW17" s="108">
        <f t="shared" si="28"/>
        <v>16</v>
      </c>
    </row>
    <row r="18" spans="1:75" hidden="1" x14ac:dyDescent="0.25">
      <c r="A18" s="108" t="str">
        <f t="shared" si="1"/>
        <v>COST</v>
      </c>
      <c r="B18" s="126">
        <v>2029</v>
      </c>
      <c r="C18" s="108" t="str">
        <f t="shared" si="2"/>
        <v>IMPOILCRD*</v>
      </c>
      <c r="D18" s="108" t="str">
        <f t="shared" si="2"/>
        <v>*OILCRD</v>
      </c>
      <c r="E18" s="161">
        <f>VLOOKUP(C18,Worldprices!$B$49:$AN$92,$BW18,FALSE)</f>
        <v>14.624183006535944</v>
      </c>
      <c r="F18" s="161"/>
      <c r="G18" s="108" t="str">
        <f t="shared" si="3"/>
        <v>COST</v>
      </c>
      <c r="H18" s="126">
        <v>2029</v>
      </c>
      <c r="I18" s="108" t="str">
        <f t="shared" si="4"/>
        <v>IMPOILDSL*</v>
      </c>
      <c r="J18" s="108" t="str">
        <f t="shared" si="4"/>
        <v>*OILDSL</v>
      </c>
      <c r="K18" s="161">
        <f>VLOOKUP(I18,Worldprices!$B$49:$AN$92,$BW18,FALSE)</f>
        <v>18.553249024102858</v>
      </c>
      <c r="L18" s="161"/>
      <c r="M18" s="108" t="str">
        <f t="shared" si="5"/>
        <v>COST</v>
      </c>
      <c r="N18" s="126">
        <v>2029</v>
      </c>
      <c r="O18" s="108" t="str">
        <f t="shared" si="6"/>
        <v>IMPOILGSL*</v>
      </c>
      <c r="P18" s="108" t="str">
        <f t="shared" si="6"/>
        <v>*OILGSL</v>
      </c>
      <c r="Q18" s="161">
        <f>VLOOKUP(O18,Worldprices!$B$49:$AN$92,$BW18,FALSE)</f>
        <v>20.629012639513004</v>
      </c>
      <c r="R18" s="161"/>
      <c r="S18" s="108" t="str">
        <f t="shared" si="7"/>
        <v>COST</v>
      </c>
      <c r="T18" s="126">
        <v>2029</v>
      </c>
      <c r="U18" s="108" t="str">
        <f t="shared" si="8"/>
        <v>IMPOILLPG*</v>
      </c>
      <c r="V18" s="108" t="str">
        <f t="shared" si="8"/>
        <v>*OILLPG</v>
      </c>
      <c r="W18" s="161">
        <f>VLOOKUP(U18,Worldprices!$B$49:$AN$92,$BW18,FALSE)</f>
        <v>16.598447712418295</v>
      </c>
      <c r="X18" s="161"/>
      <c r="Y18" s="108" t="str">
        <f t="shared" si="9"/>
        <v>COST</v>
      </c>
      <c r="Z18" s="126">
        <v>2029</v>
      </c>
      <c r="AA18" s="108" t="str">
        <f t="shared" si="10"/>
        <v>IMPOILHFO*</v>
      </c>
      <c r="AB18" s="108" t="str">
        <f t="shared" si="10"/>
        <v>*OILHFO</v>
      </c>
      <c r="AC18" s="161">
        <f>VLOOKUP(AA18,Worldprices!$B$49:$AN$92,$BW18,FALSE)</f>
        <v>10.329060457516338</v>
      </c>
      <c r="AD18" s="161"/>
      <c r="AE18" s="108" t="str">
        <f t="shared" si="11"/>
        <v>COST</v>
      </c>
      <c r="AF18" s="126">
        <v>2029</v>
      </c>
      <c r="AG18" s="108" t="str">
        <f t="shared" si="12"/>
        <v>IMPOILKER*</v>
      </c>
      <c r="AH18" s="108" t="str">
        <f t="shared" si="12"/>
        <v>*OILKER</v>
      </c>
      <c r="AI18" s="161">
        <f>VLOOKUP(AG18,Worldprices!$B$49:$AN$92,$BW18,FALSE)</f>
        <v>20.064263327056516</v>
      </c>
      <c r="AJ18" s="161"/>
      <c r="AK18" s="108" t="str">
        <f t="shared" si="13"/>
        <v>COST</v>
      </c>
      <c r="AL18" s="126">
        <v>2029</v>
      </c>
      <c r="AM18" s="108" t="str">
        <f t="shared" si="14"/>
        <v>IMPOILPCK*</v>
      </c>
      <c r="AN18" s="108" t="str">
        <f t="shared" si="15"/>
        <v>*OILPCK</v>
      </c>
      <c r="AO18" s="161">
        <f>VLOOKUP(AM18,Worldprices!$B$49:$AN$92,$BW18,FALSE)</f>
        <v>10.329586701762961</v>
      </c>
      <c r="AP18" s="161"/>
      <c r="AQ18" s="108" t="str">
        <f t="shared" si="16"/>
        <v>COST</v>
      </c>
      <c r="AR18" s="126">
        <v>2029</v>
      </c>
      <c r="AS18" s="108" t="str">
        <f t="shared" si="17"/>
        <v>IMPOILBIT*</v>
      </c>
      <c r="AT18" s="108" t="str">
        <f t="shared" si="18"/>
        <v>*OILBIT</v>
      </c>
      <c r="AU18" s="161">
        <f>VLOOKUP(AS18,Worldprices!$B$49:$AN$92,$BW18,FALSE)</f>
        <v>10.329586701762961</v>
      </c>
      <c r="AV18" s="161"/>
      <c r="AW18" s="108" t="str">
        <f t="shared" si="19"/>
        <v>COST</v>
      </c>
      <c r="AX18" s="126">
        <v>2029</v>
      </c>
      <c r="AY18" s="108" t="str">
        <f t="shared" si="20"/>
        <v>IMPOILLUB*</v>
      </c>
      <c r="AZ18" s="108" t="str">
        <f t="shared" si="21"/>
        <v>*OILLUB</v>
      </c>
      <c r="BA18" s="161">
        <f>VLOOKUP(AY18,Worldprices!$B$49:$AN$92,$BW18,FALSE)</f>
        <v>10.329586701762961</v>
      </c>
      <c r="BB18" s="161"/>
      <c r="BC18" s="108" t="str">
        <f t="shared" si="22"/>
        <v>COST</v>
      </c>
      <c r="BD18" s="126">
        <v>2029</v>
      </c>
      <c r="BE18" s="108" t="str">
        <f t="shared" si="23"/>
        <v>IMPGASNAT_**</v>
      </c>
      <c r="BF18" s="108" t="str">
        <f t="shared" si="24"/>
        <v>PITGASNA*</v>
      </c>
      <c r="BG18" s="161">
        <f>VLOOKUP(BE18,Worldprices!$B$49:$AN$92,$BW18,FALSE)</f>
        <v>7.8194902500000003</v>
      </c>
      <c r="BH18" s="161"/>
      <c r="BI18" s="161"/>
      <c r="BJ18" s="161"/>
      <c r="BK18" s="161"/>
      <c r="BL18" s="161"/>
      <c r="BM18" s="161"/>
      <c r="BN18" s="161"/>
      <c r="BO18" s="108" t="str">
        <f t="shared" si="25"/>
        <v>COST</v>
      </c>
      <c r="BP18" s="126">
        <v>2029</v>
      </c>
      <c r="BQ18" s="108" t="str">
        <f t="shared" si="26"/>
        <v>IMPELC*, -IMPELC_Flex*</v>
      </c>
      <c r="BR18" s="108" t="str">
        <f t="shared" ref="BR18" si="37">BR17</f>
        <v>ELCHIGG</v>
      </c>
      <c r="BS18" s="161">
        <f t="shared" si="0"/>
        <v>19.023626918438186</v>
      </c>
      <c r="BT18" s="161"/>
      <c r="BU18" s="161"/>
      <c r="BV18" s="161"/>
      <c r="BW18" s="108">
        <f t="shared" si="28"/>
        <v>17</v>
      </c>
    </row>
    <row r="19" spans="1:75" x14ac:dyDescent="0.25">
      <c r="A19" s="108" t="str">
        <f t="shared" si="1"/>
        <v>COST</v>
      </c>
      <c r="B19" s="126">
        <v>2030</v>
      </c>
      <c r="C19" s="108" t="str">
        <f t="shared" si="2"/>
        <v>IMPOILCRD*</v>
      </c>
      <c r="D19" s="108" t="str">
        <f t="shared" si="2"/>
        <v>*OILCRD</v>
      </c>
      <c r="E19" s="161">
        <f>VLOOKUP(C19,Worldprices!$B$49:$AN$92,$BW19,FALSE)</f>
        <v>15.209694989106749</v>
      </c>
      <c r="F19" s="161"/>
      <c r="G19" s="108" t="str">
        <f t="shared" si="3"/>
        <v>COST</v>
      </c>
      <c r="H19" s="126">
        <v>2030</v>
      </c>
      <c r="I19" s="108" t="str">
        <f t="shared" si="4"/>
        <v>IMPOILDSL*</v>
      </c>
      <c r="J19" s="108" t="str">
        <f t="shared" si="4"/>
        <v>*OILDSL</v>
      </c>
      <c r="K19" s="161">
        <f>VLOOKUP(I19,Worldprices!$B$49:$AN$92,$BW19,FALSE)</f>
        <v>19.296069981306228</v>
      </c>
      <c r="L19" s="161"/>
      <c r="M19" s="108" t="str">
        <f t="shared" si="5"/>
        <v>COST</v>
      </c>
      <c r="N19" s="126">
        <v>2030</v>
      </c>
      <c r="O19" s="108" t="str">
        <f t="shared" si="6"/>
        <v>IMPOILGSL*</v>
      </c>
      <c r="P19" s="108" t="str">
        <f t="shared" si="6"/>
        <v>*OILGSL</v>
      </c>
      <c r="Q19" s="161">
        <f>VLOOKUP(O19,Worldprices!$B$49:$AN$92,$BW19,FALSE)</f>
        <v>21.45494145096464</v>
      </c>
      <c r="R19" s="161"/>
      <c r="S19" s="108" t="str">
        <f t="shared" si="7"/>
        <v>COST</v>
      </c>
      <c r="T19" s="126">
        <v>2030</v>
      </c>
      <c r="U19" s="108" t="str">
        <f t="shared" si="8"/>
        <v>IMPOILLPG*</v>
      </c>
      <c r="V19" s="108" t="str">
        <f t="shared" si="8"/>
        <v>*OILLPG</v>
      </c>
      <c r="W19" s="161">
        <f>VLOOKUP(U19,Worldprices!$B$49:$AN$92,$BW19,FALSE)</f>
        <v>17.26300381263616</v>
      </c>
      <c r="X19" s="161"/>
      <c r="Y19" s="108" t="str">
        <f t="shared" si="9"/>
        <v>COST</v>
      </c>
      <c r="Z19" s="126">
        <v>2030</v>
      </c>
      <c r="AA19" s="108" t="str">
        <f t="shared" si="10"/>
        <v>IMPOILHFO*</v>
      </c>
      <c r="AB19" s="108" t="str">
        <f t="shared" si="10"/>
        <v>*OILHFO</v>
      </c>
      <c r="AC19" s="161">
        <f>VLOOKUP(AA19,Worldprices!$B$49:$AN$92,$BW19,FALSE)</f>
        <v>10.742607570806097</v>
      </c>
      <c r="AD19" s="161"/>
      <c r="AE19" s="108" t="str">
        <f t="shared" si="11"/>
        <v>COST</v>
      </c>
      <c r="AF19" s="126">
        <v>2030</v>
      </c>
      <c r="AG19" s="108" t="str">
        <f t="shared" si="12"/>
        <v>IMPOILKER*</v>
      </c>
      <c r="AH19" s="108" t="str">
        <f t="shared" si="12"/>
        <v>*OILKER</v>
      </c>
      <c r="AI19" s="161">
        <f>VLOOKUP(AG19,Worldprices!$B$49:$AN$92,$BW19,FALSE)</f>
        <v>20.867581132515948</v>
      </c>
      <c r="AJ19" s="161"/>
      <c r="AK19" s="108" t="str">
        <f t="shared" si="13"/>
        <v>COST</v>
      </c>
      <c r="AL19" s="126">
        <v>2030</v>
      </c>
      <c r="AM19" s="108" t="str">
        <f t="shared" si="14"/>
        <v>IMPOILPCK*</v>
      </c>
      <c r="AN19" s="108" t="str">
        <f t="shared" si="15"/>
        <v>*OILPCK</v>
      </c>
      <c r="AO19" s="161">
        <f>VLOOKUP(AM19,Worldprices!$B$49:$AN$92,$BW19,FALSE)</f>
        <v>10.743154884421999</v>
      </c>
      <c r="AP19" s="161"/>
      <c r="AQ19" s="108" t="str">
        <f t="shared" si="16"/>
        <v>COST</v>
      </c>
      <c r="AR19" s="126">
        <v>2030</v>
      </c>
      <c r="AS19" s="108" t="str">
        <f t="shared" si="17"/>
        <v>IMPOILBIT*</v>
      </c>
      <c r="AT19" s="108" t="str">
        <f t="shared" si="18"/>
        <v>*OILBIT</v>
      </c>
      <c r="AU19" s="161">
        <f>VLOOKUP(AS19,Worldprices!$B$49:$AN$92,$BW19,FALSE)</f>
        <v>10.743154884421999</v>
      </c>
      <c r="AV19" s="161"/>
      <c r="AW19" s="108" t="str">
        <f t="shared" si="19"/>
        <v>COST</v>
      </c>
      <c r="AX19" s="126">
        <v>2030</v>
      </c>
      <c r="AY19" s="108" t="str">
        <f t="shared" si="20"/>
        <v>IMPOILLUB*</v>
      </c>
      <c r="AZ19" s="108" t="str">
        <f t="shared" si="21"/>
        <v>*OILLUB</v>
      </c>
      <c r="BA19" s="161">
        <f>VLOOKUP(AY19,Worldprices!$B$49:$AN$92,$BW19,FALSE)</f>
        <v>10.743154884421999</v>
      </c>
      <c r="BB19" s="161"/>
      <c r="BC19" s="108" t="str">
        <f t="shared" si="22"/>
        <v>COST</v>
      </c>
      <c r="BD19" s="126">
        <v>2030</v>
      </c>
      <c r="BE19" s="108" t="str">
        <f t="shared" si="23"/>
        <v>IMPGASNAT_**</v>
      </c>
      <c r="BF19" s="108" t="str">
        <f t="shared" si="24"/>
        <v>PITGASNA*</v>
      </c>
      <c r="BG19" s="161">
        <f>VLOOKUP(BE19,Worldprices!$B$49:$AN$92,$BW19,FALSE)</f>
        <v>7.9221704250000009</v>
      </c>
      <c r="BH19" s="161"/>
      <c r="BI19" s="161"/>
      <c r="BJ19" s="161"/>
      <c r="BK19" s="161"/>
      <c r="BL19" s="161"/>
      <c r="BM19" s="161"/>
      <c r="BN19" s="161"/>
      <c r="BO19" s="108" t="str">
        <f t="shared" si="25"/>
        <v>COST</v>
      </c>
      <c r="BP19" s="126">
        <v>2030</v>
      </c>
      <c r="BQ19" s="108" t="str">
        <f t="shared" si="26"/>
        <v>IMPELC*, -IMPELC_Flex*</v>
      </c>
      <c r="BR19" s="108" t="str">
        <f t="shared" ref="BR19" si="38">BR18</f>
        <v>ELCHIGG</v>
      </c>
      <c r="BS19" s="161">
        <f t="shared" si="0"/>
        <v>19.40409945680695</v>
      </c>
      <c r="BT19" s="161"/>
      <c r="BU19" s="161"/>
      <c r="BV19" s="161"/>
      <c r="BW19" s="108">
        <f t="shared" si="28"/>
        <v>18</v>
      </c>
    </row>
    <row r="20" spans="1:75" hidden="1" x14ac:dyDescent="0.25">
      <c r="A20" s="108" t="str">
        <f t="shared" si="1"/>
        <v>COST</v>
      </c>
      <c r="B20" s="126">
        <v>2031</v>
      </c>
      <c r="C20" s="108" t="str">
        <f t="shared" si="2"/>
        <v>IMPOILCRD*</v>
      </c>
      <c r="D20" s="108" t="str">
        <f t="shared" si="2"/>
        <v>*OILCRD</v>
      </c>
      <c r="E20" s="161">
        <f>VLOOKUP(C20,Worldprices!$B$49:$AN$92,$BW20,FALSE)</f>
        <v>14.449210239651411</v>
      </c>
      <c r="F20" s="161"/>
      <c r="G20" s="108" t="str">
        <f t="shared" si="3"/>
        <v>COST</v>
      </c>
      <c r="H20" s="126">
        <v>2031</v>
      </c>
      <c r="I20" s="108" t="str">
        <f t="shared" si="4"/>
        <v>IMPOILDSL*</v>
      </c>
      <c r="J20" s="108" t="str">
        <f t="shared" si="4"/>
        <v>*OILDSL</v>
      </c>
      <c r="K20" s="161">
        <f>VLOOKUP(I20,Worldprices!$B$49:$AN$92,$BW20,FALSE)</f>
        <v>18.331266482240917</v>
      </c>
      <c r="L20" s="161"/>
      <c r="M20" s="108" t="str">
        <f t="shared" si="5"/>
        <v>COST</v>
      </c>
      <c r="N20" s="126">
        <v>2031</v>
      </c>
      <c r="O20" s="108" t="str">
        <f t="shared" si="6"/>
        <v>IMPOILGSL*</v>
      </c>
      <c r="P20" s="108" t="str">
        <f t="shared" si="6"/>
        <v>*OILGSL</v>
      </c>
      <c r="Q20" s="161">
        <f>VLOOKUP(O20,Worldprices!$B$49:$AN$92,$BW20,FALSE)</f>
        <v>20.382194378416408</v>
      </c>
      <c r="R20" s="161"/>
      <c r="S20" s="108" t="str">
        <f t="shared" si="7"/>
        <v>COST</v>
      </c>
      <c r="T20" s="126">
        <v>2031</v>
      </c>
      <c r="U20" s="108" t="str">
        <f t="shared" si="8"/>
        <v>IMPOILLPG*</v>
      </c>
      <c r="V20" s="108" t="str">
        <f t="shared" si="8"/>
        <v>*OILLPG</v>
      </c>
      <c r="W20" s="161">
        <f>VLOOKUP(U20,Worldprices!$B$49:$AN$92,$BW20,FALSE)</f>
        <v>16.39985362200435</v>
      </c>
      <c r="X20" s="161"/>
      <c r="Y20" s="108" t="str">
        <f t="shared" si="9"/>
        <v>COST</v>
      </c>
      <c r="Z20" s="126">
        <v>2031</v>
      </c>
      <c r="AA20" s="108" t="str">
        <f t="shared" si="10"/>
        <v>IMPOILHFO*</v>
      </c>
      <c r="AB20" s="108" t="str">
        <f t="shared" si="10"/>
        <v>*OILHFO</v>
      </c>
      <c r="AC20" s="161">
        <f>VLOOKUP(AA20,Worldprices!$B$49:$AN$92,$BW20,FALSE)</f>
        <v>10.205477192265793</v>
      </c>
      <c r="AD20" s="161"/>
      <c r="AE20" s="108" t="str">
        <f t="shared" si="11"/>
        <v>COST</v>
      </c>
      <c r="AF20" s="126">
        <v>2031</v>
      </c>
      <c r="AG20" s="108" t="str">
        <f t="shared" si="12"/>
        <v>IMPOILKER*</v>
      </c>
      <c r="AH20" s="108" t="str">
        <f t="shared" si="12"/>
        <v>*OILKER</v>
      </c>
      <c r="AI20" s="161">
        <f>VLOOKUP(AG20,Worldprices!$B$49:$AN$92,$BW20,FALSE)</f>
        <v>19.824202075890149</v>
      </c>
      <c r="AJ20" s="161"/>
      <c r="AK20" s="108" t="str">
        <f t="shared" si="13"/>
        <v>COST</v>
      </c>
      <c r="AL20" s="126">
        <v>2031</v>
      </c>
      <c r="AM20" s="108" t="str">
        <f t="shared" si="14"/>
        <v>IMPOILPCK*</v>
      </c>
      <c r="AN20" s="108" t="str">
        <f t="shared" si="15"/>
        <v>*OILPCK</v>
      </c>
      <c r="AO20" s="161">
        <f>VLOOKUP(AM20,Worldprices!$B$49:$AN$92,$BW20,FALSE)</f>
        <v>10.205997140200898</v>
      </c>
      <c r="AP20" s="161"/>
      <c r="AQ20" s="108" t="str">
        <f t="shared" si="16"/>
        <v>COST</v>
      </c>
      <c r="AR20" s="126">
        <v>2031</v>
      </c>
      <c r="AS20" s="108" t="str">
        <f t="shared" si="17"/>
        <v>IMPOILBIT*</v>
      </c>
      <c r="AT20" s="108" t="str">
        <f t="shared" si="18"/>
        <v>*OILBIT</v>
      </c>
      <c r="AU20" s="161">
        <f>VLOOKUP(AS20,Worldprices!$B$49:$AN$92,$BW20,FALSE)</f>
        <v>10.205997140200898</v>
      </c>
      <c r="AV20" s="161"/>
      <c r="AW20" s="108" t="str">
        <f t="shared" si="19"/>
        <v>COST</v>
      </c>
      <c r="AX20" s="126">
        <v>2031</v>
      </c>
      <c r="AY20" s="108" t="str">
        <f t="shared" si="20"/>
        <v>IMPOILLUB*</v>
      </c>
      <c r="AZ20" s="108" t="str">
        <f t="shared" si="21"/>
        <v>*OILLUB</v>
      </c>
      <c r="BA20" s="161">
        <f>VLOOKUP(AY20,Worldprices!$B$49:$AN$92,$BW20,FALSE)</f>
        <v>10.205997140200898</v>
      </c>
      <c r="BB20" s="161"/>
      <c r="BC20" s="108" t="str">
        <f t="shared" si="22"/>
        <v>COST</v>
      </c>
      <c r="BD20" s="126">
        <v>2031</v>
      </c>
      <c r="BE20" s="108" t="str">
        <f t="shared" si="23"/>
        <v>IMPGASNAT_**</v>
      </c>
      <c r="BF20" s="108" t="str">
        <f t="shared" si="24"/>
        <v>PITGASNA*</v>
      </c>
      <c r="BG20" s="161">
        <f>VLOOKUP(BE20,Worldprices!$B$49:$AN$92,$BW20,FALSE)</f>
        <v>7.9221704250000009</v>
      </c>
      <c r="BH20" s="161"/>
      <c r="BI20" s="161"/>
      <c r="BJ20" s="161"/>
      <c r="BK20" s="161"/>
      <c r="BL20" s="161"/>
      <c r="BM20" s="161"/>
      <c r="BN20" s="161"/>
      <c r="BO20" s="108" t="str">
        <f t="shared" si="25"/>
        <v>COST</v>
      </c>
      <c r="BP20" s="126">
        <v>2031</v>
      </c>
      <c r="BQ20" s="108" t="str">
        <f t="shared" si="26"/>
        <v>IMPELC*, -IMPELC_Flex*</v>
      </c>
      <c r="BR20" s="108" t="str">
        <f t="shared" ref="BR20" si="39">BR19</f>
        <v>ELCHIGG</v>
      </c>
      <c r="BS20" s="161">
        <f t="shared" si="0"/>
        <v>19.79218144594309</v>
      </c>
      <c r="BT20" s="161"/>
      <c r="BU20" s="161"/>
      <c r="BV20" s="161"/>
      <c r="BW20" s="108">
        <f t="shared" si="28"/>
        <v>19</v>
      </c>
    </row>
    <row r="21" spans="1:75" hidden="1" x14ac:dyDescent="0.25">
      <c r="A21" s="108" t="str">
        <f t="shared" si="1"/>
        <v>COST</v>
      </c>
      <c r="B21" s="126">
        <v>2032</v>
      </c>
      <c r="C21" s="108" t="str">
        <f t="shared" si="2"/>
        <v>IMPOILCRD*</v>
      </c>
      <c r="D21" s="108" t="str">
        <f t="shared" si="2"/>
        <v>*OILCRD</v>
      </c>
      <c r="E21" s="161">
        <f>VLOOKUP(C21,Worldprices!$B$49:$AN$92,$BW21,FALSE)</f>
        <v>13.726749727668839</v>
      </c>
      <c r="F21" s="161"/>
      <c r="G21" s="108" t="str">
        <f t="shared" si="3"/>
        <v>COST</v>
      </c>
      <c r="H21" s="126">
        <v>2032</v>
      </c>
      <c r="I21" s="108" t="str">
        <f t="shared" si="4"/>
        <v>IMPOILDSL*</v>
      </c>
      <c r="J21" s="108" t="str">
        <f t="shared" si="4"/>
        <v>*OILDSL</v>
      </c>
      <c r="K21" s="161">
        <f>VLOOKUP(I21,Worldprices!$B$49:$AN$92,$BW21,FALSE)</f>
        <v>17.414703158128869</v>
      </c>
      <c r="L21" s="161"/>
      <c r="M21" s="108" t="str">
        <f t="shared" si="5"/>
        <v>COST</v>
      </c>
      <c r="N21" s="126">
        <v>2032</v>
      </c>
      <c r="O21" s="108" t="str">
        <f t="shared" si="6"/>
        <v>IMPOILGSL*</v>
      </c>
      <c r="P21" s="108" t="str">
        <f t="shared" si="6"/>
        <v>*OILGSL</v>
      </c>
      <c r="Q21" s="161">
        <f>VLOOKUP(O21,Worldprices!$B$49:$AN$92,$BW21,FALSE)</f>
        <v>19.363084659495584</v>
      </c>
      <c r="R21" s="161"/>
      <c r="S21" s="108" t="str">
        <f t="shared" si="7"/>
        <v>COST</v>
      </c>
      <c r="T21" s="126">
        <v>2032</v>
      </c>
      <c r="U21" s="108" t="str">
        <f t="shared" si="8"/>
        <v>IMPOILLPG*</v>
      </c>
      <c r="V21" s="108" t="str">
        <f t="shared" si="8"/>
        <v>*OILLPG</v>
      </c>
      <c r="W21" s="161">
        <f>VLOOKUP(U21,Worldprices!$B$49:$AN$92,$BW21,FALSE)</f>
        <v>15.579860940904132</v>
      </c>
      <c r="X21" s="161"/>
      <c r="Y21" s="108" t="str">
        <f t="shared" si="9"/>
        <v>COST</v>
      </c>
      <c r="Z21" s="126">
        <v>2032</v>
      </c>
      <c r="AA21" s="108" t="str">
        <f t="shared" si="10"/>
        <v>IMPOILHFO*</v>
      </c>
      <c r="AB21" s="108" t="str">
        <f t="shared" si="10"/>
        <v>*OILHFO</v>
      </c>
      <c r="AC21" s="161">
        <f>VLOOKUP(AA21,Worldprices!$B$49:$AN$92,$BW21,FALSE)</f>
        <v>9.6952033326525022</v>
      </c>
      <c r="AD21" s="161"/>
      <c r="AE21" s="108" t="str">
        <f t="shared" si="11"/>
        <v>COST</v>
      </c>
      <c r="AF21" s="126">
        <v>2032</v>
      </c>
      <c r="AG21" s="108" t="str">
        <f t="shared" si="12"/>
        <v>IMPOILKER*</v>
      </c>
      <c r="AH21" s="108" t="str">
        <f t="shared" si="12"/>
        <v>*OILKER</v>
      </c>
      <c r="AI21" s="161">
        <f>VLOOKUP(AG21,Worldprices!$B$49:$AN$92,$BW21,FALSE)</f>
        <v>18.832991972095641</v>
      </c>
      <c r="AJ21" s="161"/>
      <c r="AK21" s="108" t="str">
        <f t="shared" si="13"/>
        <v>COST</v>
      </c>
      <c r="AL21" s="126">
        <v>2032</v>
      </c>
      <c r="AM21" s="108" t="str">
        <f t="shared" si="14"/>
        <v>IMPOILPCK*</v>
      </c>
      <c r="AN21" s="108" t="str">
        <f t="shared" si="15"/>
        <v>*OILPCK</v>
      </c>
      <c r="AO21" s="161">
        <f>VLOOKUP(AM21,Worldprices!$B$49:$AN$92,$BW21,FALSE)</f>
        <v>9.695697283190853</v>
      </c>
      <c r="AP21" s="161"/>
      <c r="AQ21" s="108" t="str">
        <f t="shared" si="16"/>
        <v>COST</v>
      </c>
      <c r="AR21" s="126">
        <v>2032</v>
      </c>
      <c r="AS21" s="108" t="str">
        <f t="shared" si="17"/>
        <v>IMPOILBIT*</v>
      </c>
      <c r="AT21" s="108" t="str">
        <f t="shared" si="18"/>
        <v>*OILBIT</v>
      </c>
      <c r="AU21" s="161">
        <f>VLOOKUP(AS21,Worldprices!$B$49:$AN$92,$BW21,FALSE)</f>
        <v>9.695697283190853</v>
      </c>
      <c r="AV21" s="161"/>
      <c r="AW21" s="108" t="str">
        <f t="shared" si="19"/>
        <v>COST</v>
      </c>
      <c r="AX21" s="126">
        <v>2032</v>
      </c>
      <c r="AY21" s="108" t="str">
        <f t="shared" si="20"/>
        <v>IMPOILLUB*</v>
      </c>
      <c r="AZ21" s="108" t="str">
        <f t="shared" si="21"/>
        <v>*OILLUB</v>
      </c>
      <c r="BA21" s="161">
        <f>VLOOKUP(AY21,Worldprices!$B$49:$AN$92,$BW21,FALSE)</f>
        <v>9.695697283190853</v>
      </c>
      <c r="BB21" s="161"/>
      <c r="BC21" s="108" t="str">
        <f t="shared" si="22"/>
        <v>COST</v>
      </c>
      <c r="BD21" s="126">
        <v>2032</v>
      </c>
      <c r="BE21" s="108" t="str">
        <f t="shared" si="23"/>
        <v>IMPGASNAT_**</v>
      </c>
      <c r="BF21" s="108" t="str">
        <f t="shared" si="24"/>
        <v>PITGASNA*</v>
      </c>
      <c r="BG21" s="161">
        <f>VLOOKUP(BE21,Worldprices!$B$49:$AN$92,$BW21,FALSE)</f>
        <v>7.9221704250000009</v>
      </c>
      <c r="BH21" s="161"/>
      <c r="BI21" s="161"/>
      <c r="BJ21" s="161"/>
      <c r="BK21" s="161"/>
      <c r="BL21" s="161"/>
      <c r="BM21" s="161"/>
      <c r="BN21" s="161"/>
      <c r="BO21" s="108" t="str">
        <f t="shared" si="25"/>
        <v>COST</v>
      </c>
      <c r="BP21" s="126">
        <v>2032</v>
      </c>
      <c r="BQ21" s="108" t="str">
        <f t="shared" si="26"/>
        <v>IMPELC*, -IMPELC_Flex*</v>
      </c>
      <c r="BR21" s="108" t="str">
        <f t="shared" ref="BR21" si="40">BR20</f>
        <v>ELCHIGG</v>
      </c>
      <c r="BS21" s="161">
        <f t="shared" si="0"/>
        <v>20.188025074861951</v>
      </c>
      <c r="BT21" s="161"/>
      <c r="BU21" s="161"/>
      <c r="BV21" s="161"/>
      <c r="BW21" s="108">
        <f t="shared" si="28"/>
        <v>20</v>
      </c>
    </row>
    <row r="22" spans="1:75" hidden="1" x14ac:dyDescent="0.25">
      <c r="A22" s="108" t="str">
        <f t="shared" si="1"/>
        <v>COST</v>
      </c>
      <c r="B22" s="126">
        <v>2033</v>
      </c>
      <c r="C22" s="108" t="str">
        <f t="shared" si="2"/>
        <v>IMPOILCRD*</v>
      </c>
      <c r="D22" s="108" t="str">
        <f t="shared" si="2"/>
        <v>*OILCRD</v>
      </c>
      <c r="E22" s="161">
        <f>VLOOKUP(C22,Worldprices!$B$49:$AN$92,$BW22,FALSE)</f>
        <v>13.040412241285397</v>
      </c>
      <c r="F22" s="161"/>
      <c r="G22" s="108" t="str">
        <f t="shared" si="3"/>
        <v>COST</v>
      </c>
      <c r="H22" s="126">
        <v>2033</v>
      </c>
      <c r="I22" s="108" t="str">
        <f t="shared" si="4"/>
        <v>IMPOILDSL*</v>
      </c>
      <c r="J22" s="108" t="str">
        <f t="shared" si="4"/>
        <v>*OILDSL</v>
      </c>
      <c r="K22" s="161">
        <f>VLOOKUP(I22,Worldprices!$B$49:$AN$92,$BW22,FALSE)</f>
        <v>16.543968000222424</v>
      </c>
      <c r="L22" s="161"/>
      <c r="M22" s="108" t="str">
        <f t="shared" si="5"/>
        <v>COST</v>
      </c>
      <c r="N22" s="126">
        <v>2033</v>
      </c>
      <c r="O22" s="108" t="str">
        <f t="shared" si="6"/>
        <v>IMPOILGSL*</v>
      </c>
      <c r="P22" s="108" t="str">
        <f t="shared" si="6"/>
        <v>*OILGSL</v>
      </c>
      <c r="Q22" s="161">
        <f>VLOOKUP(O22,Worldprices!$B$49:$AN$92,$BW22,FALSE)</f>
        <v>18.394930426520805</v>
      </c>
      <c r="R22" s="161"/>
      <c r="S22" s="108" t="str">
        <f t="shared" si="7"/>
        <v>COST</v>
      </c>
      <c r="T22" s="126">
        <v>2033</v>
      </c>
      <c r="U22" s="108" t="str">
        <f t="shared" si="8"/>
        <v>IMPOILLPG*</v>
      </c>
      <c r="V22" s="108" t="str">
        <f t="shared" si="8"/>
        <v>*OILLPG</v>
      </c>
      <c r="W22" s="161">
        <f>VLOOKUP(U22,Worldprices!$B$49:$AN$92,$BW22,FALSE)</f>
        <v>14.800867893858925</v>
      </c>
      <c r="X22" s="161"/>
      <c r="Y22" s="108" t="str">
        <f t="shared" si="9"/>
        <v>COST</v>
      </c>
      <c r="Z22" s="126">
        <v>2033</v>
      </c>
      <c r="AA22" s="108" t="str">
        <f t="shared" si="10"/>
        <v>IMPOILHFO*</v>
      </c>
      <c r="AB22" s="108" t="str">
        <f t="shared" si="10"/>
        <v>*OILHFO</v>
      </c>
      <c r="AC22" s="161">
        <f>VLOOKUP(AA22,Worldprices!$B$49:$AN$92,$BW22,FALSE)</f>
        <v>9.2104431660198767</v>
      </c>
      <c r="AD22" s="161"/>
      <c r="AE22" s="108" t="str">
        <f t="shared" si="11"/>
        <v>COST</v>
      </c>
      <c r="AF22" s="126">
        <v>2033</v>
      </c>
      <c r="AG22" s="108" t="str">
        <f t="shared" si="12"/>
        <v>IMPOILKER*</v>
      </c>
      <c r="AH22" s="108" t="str">
        <f t="shared" si="12"/>
        <v>*OILKER</v>
      </c>
      <c r="AI22" s="161">
        <f>VLOOKUP(AG22,Worldprices!$B$49:$AN$92,$BW22,FALSE)</f>
        <v>17.891342373490858</v>
      </c>
      <c r="AJ22" s="161"/>
      <c r="AK22" s="108" t="str">
        <f t="shared" si="13"/>
        <v>COST</v>
      </c>
      <c r="AL22" s="126">
        <v>2033</v>
      </c>
      <c r="AM22" s="108" t="str">
        <f t="shared" si="14"/>
        <v>IMPOILPCK*</v>
      </c>
      <c r="AN22" s="108" t="str">
        <f t="shared" si="15"/>
        <v>*OILPCK</v>
      </c>
      <c r="AO22" s="161">
        <f>VLOOKUP(AM22,Worldprices!$B$49:$AN$92,$BW22,FALSE)</f>
        <v>9.2109124190313096</v>
      </c>
      <c r="AP22" s="161"/>
      <c r="AQ22" s="108" t="str">
        <f t="shared" si="16"/>
        <v>COST</v>
      </c>
      <c r="AR22" s="126">
        <v>2033</v>
      </c>
      <c r="AS22" s="108" t="str">
        <f t="shared" si="17"/>
        <v>IMPOILBIT*</v>
      </c>
      <c r="AT22" s="108" t="str">
        <f t="shared" si="18"/>
        <v>*OILBIT</v>
      </c>
      <c r="AU22" s="161">
        <f>VLOOKUP(AS22,Worldprices!$B$49:$AN$92,$BW22,FALSE)</f>
        <v>9.2109124190313096</v>
      </c>
      <c r="AV22" s="161"/>
      <c r="AW22" s="108" t="str">
        <f t="shared" si="19"/>
        <v>COST</v>
      </c>
      <c r="AX22" s="126">
        <v>2033</v>
      </c>
      <c r="AY22" s="108" t="str">
        <f t="shared" si="20"/>
        <v>IMPOILLUB*</v>
      </c>
      <c r="AZ22" s="108" t="str">
        <f t="shared" si="21"/>
        <v>*OILLUB</v>
      </c>
      <c r="BA22" s="161">
        <f>VLOOKUP(AY22,Worldprices!$B$49:$AN$92,$BW22,FALSE)</f>
        <v>9.2109124190313096</v>
      </c>
      <c r="BB22" s="161"/>
      <c r="BC22" s="108" t="str">
        <f t="shared" si="22"/>
        <v>COST</v>
      </c>
      <c r="BD22" s="126">
        <v>2033</v>
      </c>
      <c r="BE22" s="108" t="str">
        <f t="shared" si="23"/>
        <v>IMPGASNAT_**</v>
      </c>
      <c r="BF22" s="108" t="str">
        <f t="shared" si="24"/>
        <v>PITGASNA*</v>
      </c>
      <c r="BG22" s="161">
        <f>VLOOKUP(BE22,Worldprices!$B$49:$AN$92,$BW22,FALSE)</f>
        <v>7.9221704250000009</v>
      </c>
      <c r="BH22" s="161"/>
      <c r="BI22" s="161"/>
      <c r="BJ22" s="161"/>
      <c r="BK22" s="161"/>
      <c r="BL22" s="161"/>
      <c r="BM22" s="161"/>
      <c r="BN22" s="161"/>
      <c r="BO22" s="108" t="str">
        <f t="shared" si="25"/>
        <v>COST</v>
      </c>
      <c r="BP22" s="126">
        <v>2033</v>
      </c>
      <c r="BQ22" s="108" t="str">
        <f t="shared" si="26"/>
        <v>IMPELC*, -IMPELC_Flex*</v>
      </c>
      <c r="BR22" s="108" t="str">
        <f t="shared" ref="BR22" si="41">BR21</f>
        <v>ELCHIGG</v>
      </c>
      <c r="BS22" s="161">
        <f t="shared" si="0"/>
        <v>20.591785576359189</v>
      </c>
      <c r="BT22" s="161"/>
      <c r="BU22" s="161"/>
      <c r="BV22" s="161"/>
      <c r="BW22" s="108">
        <f t="shared" si="28"/>
        <v>21</v>
      </c>
    </row>
    <row r="23" spans="1:75" hidden="1" x14ac:dyDescent="0.25">
      <c r="A23" s="108" t="str">
        <f t="shared" si="1"/>
        <v>COST</v>
      </c>
      <c r="B23" s="126">
        <v>2034</v>
      </c>
      <c r="C23" s="108" t="str">
        <f t="shared" si="2"/>
        <v>IMPOILCRD*</v>
      </c>
      <c r="D23" s="108" t="str">
        <f t="shared" si="2"/>
        <v>*OILCRD</v>
      </c>
      <c r="E23" s="161">
        <f>VLOOKUP(C23,Worldprices!$B$49:$AN$92,$BW23,FALSE)</f>
        <v>12.388391629221127</v>
      </c>
      <c r="F23" s="161"/>
      <c r="G23" s="108" t="str">
        <f t="shared" si="3"/>
        <v>COST</v>
      </c>
      <c r="H23" s="126">
        <v>2034</v>
      </c>
      <c r="I23" s="108" t="str">
        <f t="shared" si="4"/>
        <v>IMPOILDSL*</v>
      </c>
      <c r="J23" s="108" t="str">
        <f t="shared" si="4"/>
        <v>*OILDSL</v>
      </c>
      <c r="K23" s="161">
        <f>VLOOKUP(I23,Worldprices!$B$49:$AN$92,$BW23,FALSE)</f>
        <v>15.716769600211304</v>
      </c>
      <c r="L23" s="161"/>
      <c r="M23" s="108" t="str">
        <f t="shared" si="5"/>
        <v>COST</v>
      </c>
      <c r="N23" s="126">
        <v>2034</v>
      </c>
      <c r="O23" s="108" t="str">
        <f t="shared" si="6"/>
        <v>IMPOILGSL*</v>
      </c>
      <c r="P23" s="108" t="str">
        <f t="shared" si="6"/>
        <v>*OILGSL</v>
      </c>
      <c r="Q23" s="161">
        <f>VLOOKUP(O23,Worldprices!$B$49:$AN$92,$BW23,FALSE)</f>
        <v>17.475183905194765</v>
      </c>
      <c r="R23" s="161"/>
      <c r="S23" s="108" t="str">
        <f t="shared" si="7"/>
        <v>COST</v>
      </c>
      <c r="T23" s="126">
        <v>2034</v>
      </c>
      <c r="U23" s="108" t="str">
        <f t="shared" si="8"/>
        <v>IMPOILLPG*</v>
      </c>
      <c r="V23" s="108" t="str">
        <f t="shared" si="8"/>
        <v>*OILLPG</v>
      </c>
      <c r="W23" s="161">
        <f>VLOOKUP(U23,Worldprices!$B$49:$AN$92,$BW23,FALSE)</f>
        <v>14.06082449916598</v>
      </c>
      <c r="X23" s="161"/>
      <c r="Y23" s="108" t="str">
        <f t="shared" si="9"/>
        <v>COST</v>
      </c>
      <c r="Z23" s="126">
        <v>2034</v>
      </c>
      <c r="AA23" s="108" t="str">
        <f t="shared" si="10"/>
        <v>IMPOILHFO*</v>
      </c>
      <c r="AB23" s="108" t="str">
        <f t="shared" si="10"/>
        <v>*OILHFO</v>
      </c>
      <c r="AC23" s="161">
        <f>VLOOKUP(AA23,Worldprices!$B$49:$AN$92,$BW23,FALSE)</f>
        <v>8.749921007718882</v>
      </c>
      <c r="AD23" s="161"/>
      <c r="AE23" s="108" t="str">
        <f t="shared" si="11"/>
        <v>COST</v>
      </c>
      <c r="AF23" s="126">
        <v>2034</v>
      </c>
      <c r="AG23" s="108" t="str">
        <f t="shared" si="12"/>
        <v>IMPOILKER*</v>
      </c>
      <c r="AH23" s="108" t="str">
        <f t="shared" si="12"/>
        <v>*OILKER</v>
      </c>
      <c r="AI23" s="161">
        <f>VLOOKUP(AG23,Worldprices!$B$49:$AN$92,$BW23,FALSE)</f>
        <v>16.996775254816317</v>
      </c>
      <c r="AJ23" s="161"/>
      <c r="AK23" s="108" t="str">
        <f t="shared" si="13"/>
        <v>COST</v>
      </c>
      <c r="AL23" s="126">
        <v>2034</v>
      </c>
      <c r="AM23" s="108" t="str">
        <f t="shared" si="14"/>
        <v>IMPOILPCK*</v>
      </c>
      <c r="AN23" s="108" t="str">
        <f t="shared" si="15"/>
        <v>*OILPCK</v>
      </c>
      <c r="AO23" s="161">
        <f>VLOOKUP(AM23,Worldprices!$B$49:$AN$92,$BW23,FALSE)</f>
        <v>8.7503667980797442</v>
      </c>
      <c r="AP23" s="161"/>
      <c r="AQ23" s="108" t="str">
        <f t="shared" si="16"/>
        <v>COST</v>
      </c>
      <c r="AR23" s="126">
        <v>2034</v>
      </c>
      <c r="AS23" s="108" t="str">
        <f t="shared" si="17"/>
        <v>IMPOILBIT*</v>
      </c>
      <c r="AT23" s="108" t="str">
        <f t="shared" si="18"/>
        <v>*OILBIT</v>
      </c>
      <c r="AU23" s="161">
        <f>VLOOKUP(AS23,Worldprices!$B$49:$AN$92,$BW23,FALSE)</f>
        <v>8.7503667980797442</v>
      </c>
      <c r="AV23" s="161"/>
      <c r="AW23" s="108" t="str">
        <f t="shared" si="19"/>
        <v>COST</v>
      </c>
      <c r="AX23" s="126">
        <v>2034</v>
      </c>
      <c r="AY23" s="108" t="str">
        <f t="shared" si="20"/>
        <v>IMPOILLUB*</v>
      </c>
      <c r="AZ23" s="108" t="str">
        <f t="shared" si="21"/>
        <v>*OILLUB</v>
      </c>
      <c r="BA23" s="161">
        <f>VLOOKUP(AY23,Worldprices!$B$49:$AN$92,$BW23,FALSE)</f>
        <v>8.7503667980797442</v>
      </c>
      <c r="BB23" s="161"/>
      <c r="BC23" s="108" t="str">
        <f t="shared" si="22"/>
        <v>COST</v>
      </c>
      <c r="BD23" s="126">
        <v>2034</v>
      </c>
      <c r="BE23" s="108" t="str">
        <f t="shared" si="23"/>
        <v>IMPGASNAT_**</v>
      </c>
      <c r="BF23" s="108" t="str">
        <f t="shared" si="24"/>
        <v>PITGASNA*</v>
      </c>
      <c r="BG23" s="161">
        <f>VLOOKUP(BE23,Worldprices!$B$49:$AN$92,$BW23,FALSE)</f>
        <v>7.9221704250000009</v>
      </c>
      <c r="BH23" s="161"/>
      <c r="BI23" s="161"/>
      <c r="BJ23" s="161"/>
      <c r="BK23" s="161"/>
      <c r="BL23" s="161"/>
      <c r="BM23" s="161"/>
      <c r="BN23" s="161"/>
      <c r="BO23" s="108" t="str">
        <f t="shared" si="25"/>
        <v>COST</v>
      </c>
      <c r="BP23" s="126">
        <v>2034</v>
      </c>
      <c r="BQ23" s="108" t="str">
        <f t="shared" si="26"/>
        <v>IMPELC*, -IMPELC_Flex*</v>
      </c>
      <c r="BR23" s="108" t="str">
        <f t="shared" ref="BR23" si="42">BR22</f>
        <v>ELCHIGG</v>
      </c>
      <c r="BS23" s="161">
        <f t="shared" si="0"/>
        <v>21.003621287886375</v>
      </c>
      <c r="BT23" s="161"/>
      <c r="BU23" s="161"/>
      <c r="BV23" s="161"/>
      <c r="BW23" s="108">
        <f t="shared" si="28"/>
        <v>22</v>
      </c>
    </row>
    <row r="24" spans="1:75" x14ac:dyDescent="0.25">
      <c r="A24" s="108" t="str">
        <f t="shared" si="1"/>
        <v>COST</v>
      </c>
      <c r="B24" s="126">
        <v>2035</v>
      </c>
      <c r="C24" s="108" t="str">
        <f t="shared" si="2"/>
        <v>IMPOILCRD*</v>
      </c>
      <c r="D24" s="108" t="str">
        <f t="shared" si="2"/>
        <v>*OILCRD</v>
      </c>
      <c r="E24" s="161">
        <f>VLOOKUP(C24,Worldprices!$B$49:$AN$92,$BW24,FALSE)</f>
        <v>11.768972047760069</v>
      </c>
      <c r="F24" s="161"/>
      <c r="G24" s="108" t="str">
        <f t="shared" si="3"/>
        <v>COST</v>
      </c>
      <c r="H24" s="126">
        <v>2035</v>
      </c>
      <c r="I24" s="108" t="str">
        <f t="shared" si="4"/>
        <v>IMPOILDSL*</v>
      </c>
      <c r="J24" s="108" t="str">
        <f t="shared" si="4"/>
        <v>*OILDSL</v>
      </c>
      <c r="K24" s="161">
        <f>VLOOKUP(I24,Worldprices!$B$49:$AN$92,$BW24,FALSE)</f>
        <v>14.930931120200738</v>
      </c>
      <c r="L24" s="161"/>
      <c r="M24" s="108" t="str">
        <f t="shared" si="5"/>
        <v>COST</v>
      </c>
      <c r="N24" s="126">
        <v>2035</v>
      </c>
      <c r="O24" s="108" t="str">
        <f t="shared" si="6"/>
        <v>IMPOILGSL*</v>
      </c>
      <c r="P24" s="108" t="str">
        <f t="shared" si="6"/>
        <v>*OILGSL</v>
      </c>
      <c r="Q24" s="161">
        <f>VLOOKUP(O24,Worldprices!$B$49:$AN$92,$BW24,FALSE)</f>
        <v>16.601424709935024</v>
      </c>
      <c r="R24" s="161"/>
      <c r="S24" s="108" t="str">
        <f t="shared" si="7"/>
        <v>COST</v>
      </c>
      <c r="T24" s="126">
        <v>2035</v>
      </c>
      <c r="U24" s="108" t="str">
        <f t="shared" si="8"/>
        <v>IMPOILLPG*</v>
      </c>
      <c r="V24" s="108" t="str">
        <f t="shared" si="8"/>
        <v>*OILLPG</v>
      </c>
      <c r="W24" s="161">
        <f>VLOOKUP(U24,Worldprices!$B$49:$AN$92,$BW24,FALSE)</f>
        <v>13.357783274207678</v>
      </c>
      <c r="X24" s="161"/>
      <c r="Y24" s="108" t="str">
        <f t="shared" si="9"/>
        <v>COST</v>
      </c>
      <c r="Z24" s="126">
        <v>2035</v>
      </c>
      <c r="AA24" s="108" t="str">
        <f t="shared" si="10"/>
        <v>IMPOILHFO*</v>
      </c>
      <c r="AB24" s="108" t="str">
        <f t="shared" si="10"/>
        <v>*OILHFO</v>
      </c>
      <c r="AC24" s="161">
        <f>VLOOKUP(AA24,Worldprices!$B$49:$AN$92,$BW24,FALSE)</f>
        <v>8.3124249573329383</v>
      </c>
      <c r="AD24" s="161"/>
      <c r="AE24" s="108" t="str">
        <f t="shared" si="11"/>
        <v>COST</v>
      </c>
      <c r="AF24" s="126">
        <v>2035</v>
      </c>
      <c r="AG24" s="108" t="str">
        <f t="shared" si="12"/>
        <v>IMPOILKER*</v>
      </c>
      <c r="AH24" s="108" t="str">
        <f t="shared" si="12"/>
        <v>*OILKER</v>
      </c>
      <c r="AI24" s="161">
        <f>VLOOKUP(AG24,Worldprices!$B$49:$AN$92,$BW24,FALSE)</f>
        <v>16.146936492075497</v>
      </c>
      <c r="AJ24" s="161"/>
      <c r="AK24" s="108" t="str">
        <f t="shared" si="13"/>
        <v>COST</v>
      </c>
      <c r="AL24" s="126">
        <v>2035</v>
      </c>
      <c r="AM24" s="108" t="str">
        <f t="shared" si="14"/>
        <v>IMPOILPCK*</v>
      </c>
      <c r="AN24" s="108" t="str">
        <f t="shared" si="15"/>
        <v>*OILPCK</v>
      </c>
      <c r="AO24" s="161">
        <f>VLOOKUP(AM24,Worldprices!$B$49:$AN$92,$BW24,FALSE)</f>
        <v>8.3128484581757558</v>
      </c>
      <c r="AP24" s="161"/>
      <c r="AQ24" s="108" t="str">
        <f t="shared" si="16"/>
        <v>COST</v>
      </c>
      <c r="AR24" s="126">
        <v>2035</v>
      </c>
      <c r="AS24" s="108" t="str">
        <f t="shared" si="17"/>
        <v>IMPOILBIT*</v>
      </c>
      <c r="AT24" s="108" t="str">
        <f t="shared" si="18"/>
        <v>*OILBIT</v>
      </c>
      <c r="AU24" s="161">
        <f>VLOOKUP(AS24,Worldprices!$B$49:$AN$92,$BW24,FALSE)</f>
        <v>8.3128484581757558</v>
      </c>
      <c r="AV24" s="161"/>
      <c r="AW24" s="108" t="str">
        <f t="shared" si="19"/>
        <v>COST</v>
      </c>
      <c r="AX24" s="126">
        <v>2035</v>
      </c>
      <c r="AY24" s="108" t="str">
        <f t="shared" si="20"/>
        <v>IMPOILLUB*</v>
      </c>
      <c r="AZ24" s="108" t="str">
        <f t="shared" si="21"/>
        <v>*OILLUB</v>
      </c>
      <c r="BA24" s="161">
        <f>VLOOKUP(AY24,Worldprices!$B$49:$AN$92,$BW24,FALSE)</f>
        <v>8.3128484581757558</v>
      </c>
      <c r="BB24" s="161"/>
      <c r="BC24" s="108" t="str">
        <f t="shared" si="22"/>
        <v>COST</v>
      </c>
      <c r="BD24" s="126">
        <v>2035</v>
      </c>
      <c r="BE24" s="108" t="str">
        <f t="shared" si="23"/>
        <v>IMPGASNAT_**</v>
      </c>
      <c r="BF24" s="108" t="str">
        <f t="shared" si="24"/>
        <v>PITGASNA*</v>
      </c>
      <c r="BG24" s="161">
        <f>VLOOKUP(BE24,Worldprices!$B$49:$AN$92,$BW24,FALSE)</f>
        <v>7.9221704250000009</v>
      </c>
      <c r="BH24" s="161"/>
      <c r="BI24" s="161"/>
      <c r="BJ24" s="161"/>
      <c r="BK24" s="161"/>
      <c r="BL24" s="161"/>
      <c r="BM24" s="161"/>
      <c r="BN24" s="161"/>
      <c r="BO24" s="108" t="str">
        <f t="shared" si="25"/>
        <v>COST</v>
      </c>
      <c r="BP24" s="126">
        <v>2035</v>
      </c>
      <c r="BQ24" s="108" t="str">
        <f t="shared" si="26"/>
        <v>IMPELC*, -IMPELC_Flex*</v>
      </c>
      <c r="BR24" s="108" t="str">
        <f t="shared" ref="BR24" si="43">BR23</f>
        <v>ELCHIGG</v>
      </c>
      <c r="BS24" s="161">
        <f t="shared" si="0"/>
        <v>21.423693713644102</v>
      </c>
      <c r="BT24" s="161"/>
      <c r="BU24" s="161"/>
      <c r="BV24" s="161"/>
      <c r="BW24" s="108">
        <f t="shared" si="28"/>
        <v>23</v>
      </c>
    </row>
    <row r="25" spans="1:75" hidden="1" x14ac:dyDescent="0.25">
      <c r="A25" s="108" t="str">
        <f t="shared" si="1"/>
        <v>COST</v>
      </c>
      <c r="B25" s="126">
        <v>2036</v>
      </c>
      <c r="C25" s="108" t="str">
        <f t="shared" si="2"/>
        <v>IMPOILCRD*</v>
      </c>
      <c r="D25" s="108" t="str">
        <f t="shared" si="2"/>
        <v>*OILCRD</v>
      </c>
      <c r="E25" s="161">
        <f>VLOOKUP(C25,Worldprices!$B$49:$AN$92,$BW25,FALSE)</f>
        <v>11.180523445372065</v>
      </c>
      <c r="F25" s="161"/>
      <c r="G25" s="108" t="str">
        <f t="shared" si="3"/>
        <v>COST</v>
      </c>
      <c r="H25" s="126">
        <v>2036</v>
      </c>
      <c r="I25" s="108" t="str">
        <f t="shared" si="4"/>
        <v>IMPOILDSL*</v>
      </c>
      <c r="J25" s="108" t="str">
        <f t="shared" si="4"/>
        <v>*OILDSL</v>
      </c>
      <c r="K25" s="161">
        <f>VLOOKUP(I25,Worldprices!$B$49:$AN$92,$BW25,FALSE)</f>
        <v>14.184384564190701</v>
      </c>
      <c r="L25" s="161"/>
      <c r="M25" s="108" t="str">
        <f t="shared" si="5"/>
        <v>COST</v>
      </c>
      <c r="N25" s="126">
        <v>2036</v>
      </c>
      <c r="O25" s="108" t="str">
        <f t="shared" si="6"/>
        <v>IMPOILGSL*</v>
      </c>
      <c r="P25" s="108" t="str">
        <f t="shared" si="6"/>
        <v>*OILGSL</v>
      </c>
      <c r="Q25" s="161">
        <f>VLOOKUP(O25,Worldprices!$B$49:$AN$92,$BW25,FALSE)</f>
        <v>15.771353474438273</v>
      </c>
      <c r="R25" s="161"/>
      <c r="S25" s="108" t="str">
        <f t="shared" si="7"/>
        <v>COST</v>
      </c>
      <c r="T25" s="126">
        <v>2036</v>
      </c>
      <c r="U25" s="108" t="str">
        <f t="shared" si="8"/>
        <v>IMPOILLPG*</v>
      </c>
      <c r="V25" s="108" t="str">
        <f t="shared" si="8"/>
        <v>*OILLPG</v>
      </c>
      <c r="W25" s="161">
        <f>VLOOKUP(U25,Worldprices!$B$49:$AN$92,$BW25,FALSE)</f>
        <v>12.689894110497294</v>
      </c>
      <c r="X25" s="161"/>
      <c r="Y25" s="108" t="str">
        <f t="shared" si="9"/>
        <v>COST</v>
      </c>
      <c r="Z25" s="126">
        <v>2036</v>
      </c>
      <c r="AA25" s="108" t="str">
        <f t="shared" si="10"/>
        <v>IMPOILHFO*</v>
      </c>
      <c r="AB25" s="108" t="str">
        <f t="shared" si="10"/>
        <v>*OILHFO</v>
      </c>
      <c r="AC25" s="161">
        <f>VLOOKUP(AA25,Worldprices!$B$49:$AN$92,$BW25,FALSE)</f>
        <v>7.8968037094662904</v>
      </c>
      <c r="AD25" s="161"/>
      <c r="AE25" s="108" t="str">
        <f t="shared" si="11"/>
        <v>COST</v>
      </c>
      <c r="AF25" s="126">
        <v>2036</v>
      </c>
      <c r="AG25" s="108" t="str">
        <f t="shared" si="12"/>
        <v>IMPOILKER*</v>
      </c>
      <c r="AH25" s="108" t="str">
        <f t="shared" si="12"/>
        <v>*OILKER</v>
      </c>
      <c r="AI25" s="161">
        <f>VLOOKUP(AG25,Worldprices!$B$49:$AN$92,$BW25,FALSE)</f>
        <v>15.339589667471722</v>
      </c>
      <c r="AJ25" s="161"/>
      <c r="AK25" s="108" t="str">
        <f t="shared" si="13"/>
        <v>COST</v>
      </c>
      <c r="AL25" s="126">
        <v>2036</v>
      </c>
      <c r="AM25" s="108" t="str">
        <f t="shared" si="14"/>
        <v>IMPOILPCK*</v>
      </c>
      <c r="AN25" s="108" t="str">
        <f t="shared" si="15"/>
        <v>*OILPCK</v>
      </c>
      <c r="AO25" s="161">
        <f>VLOOKUP(AM25,Worldprices!$B$49:$AN$92,$BW25,FALSE)</f>
        <v>7.8972060352669677</v>
      </c>
      <c r="AP25" s="161"/>
      <c r="AQ25" s="108" t="str">
        <f t="shared" si="16"/>
        <v>COST</v>
      </c>
      <c r="AR25" s="126">
        <v>2036</v>
      </c>
      <c r="AS25" s="108" t="str">
        <f t="shared" si="17"/>
        <v>IMPOILBIT*</v>
      </c>
      <c r="AT25" s="108" t="str">
        <f t="shared" si="18"/>
        <v>*OILBIT</v>
      </c>
      <c r="AU25" s="161">
        <f>VLOOKUP(AS25,Worldprices!$B$49:$AN$92,$BW25,FALSE)</f>
        <v>7.8972060352669677</v>
      </c>
      <c r="AV25" s="161"/>
      <c r="AW25" s="108" t="str">
        <f t="shared" si="19"/>
        <v>COST</v>
      </c>
      <c r="AX25" s="126">
        <v>2036</v>
      </c>
      <c r="AY25" s="108" t="str">
        <f t="shared" si="20"/>
        <v>IMPOILLUB*</v>
      </c>
      <c r="AZ25" s="108" t="str">
        <f t="shared" si="21"/>
        <v>*OILLUB</v>
      </c>
      <c r="BA25" s="161">
        <f>VLOOKUP(AY25,Worldprices!$B$49:$AN$92,$BW25,FALSE)</f>
        <v>7.8972060352669677</v>
      </c>
      <c r="BB25" s="161"/>
      <c r="BC25" s="108" t="str">
        <f t="shared" si="22"/>
        <v>COST</v>
      </c>
      <c r="BD25" s="126">
        <v>2036</v>
      </c>
      <c r="BE25" s="108" t="str">
        <f t="shared" si="23"/>
        <v>IMPGASNAT_**</v>
      </c>
      <c r="BF25" s="108" t="str">
        <f t="shared" si="24"/>
        <v>PITGASNA*</v>
      </c>
      <c r="BG25" s="161">
        <f>VLOOKUP(BE25,Worldprices!$B$49:$AN$92,$BW25,FALSE)</f>
        <v>7.9221704250000009</v>
      </c>
      <c r="BH25" s="161"/>
      <c r="BI25" s="161"/>
      <c r="BJ25" s="161"/>
      <c r="BK25" s="161"/>
      <c r="BL25" s="161"/>
      <c r="BM25" s="161"/>
      <c r="BN25" s="161"/>
      <c r="BO25" s="108" t="str">
        <f t="shared" si="25"/>
        <v>COST</v>
      </c>
      <c r="BP25" s="126">
        <v>2036</v>
      </c>
      <c r="BQ25" s="108" t="str">
        <f t="shared" si="26"/>
        <v>IMPELC*, -IMPELC_Flex*</v>
      </c>
      <c r="BR25" s="108" t="str">
        <f t="shared" ref="BR25" si="44">BR24</f>
        <v>ELCHIGG</v>
      </c>
      <c r="BS25" s="161">
        <f t="shared" si="0"/>
        <v>21.852167587916984</v>
      </c>
      <c r="BT25" s="161"/>
      <c r="BU25" s="161"/>
      <c r="BV25" s="161"/>
      <c r="BW25" s="108">
        <f t="shared" si="28"/>
        <v>24</v>
      </c>
    </row>
    <row r="26" spans="1:75" hidden="1" x14ac:dyDescent="0.25">
      <c r="A26" s="108" t="str">
        <f t="shared" si="1"/>
        <v>COST</v>
      </c>
      <c r="B26" s="126">
        <v>2037</v>
      </c>
      <c r="C26" s="108" t="str">
        <f t="shared" si="2"/>
        <v>IMPOILCRD*</v>
      </c>
      <c r="D26" s="108" t="str">
        <f t="shared" si="2"/>
        <v>*OILCRD</v>
      </c>
      <c r="E26" s="161">
        <f>VLOOKUP(C26,Worldprices!$B$49:$AN$92,$BW26,FALSE)</f>
        <v>10.621497273103461</v>
      </c>
      <c r="F26" s="161"/>
      <c r="G26" s="108" t="str">
        <f t="shared" si="3"/>
        <v>COST</v>
      </c>
      <c r="H26" s="126">
        <v>2037</v>
      </c>
      <c r="I26" s="108" t="str">
        <f t="shared" si="4"/>
        <v>IMPOILDSL*</v>
      </c>
      <c r="J26" s="108" t="str">
        <f t="shared" si="4"/>
        <v>*OILDSL</v>
      </c>
      <c r="K26" s="161">
        <f>VLOOKUP(I26,Worldprices!$B$49:$AN$92,$BW26,FALSE)</f>
        <v>13.475165335981165</v>
      </c>
      <c r="L26" s="161"/>
      <c r="M26" s="108" t="str">
        <f t="shared" si="5"/>
        <v>COST</v>
      </c>
      <c r="N26" s="126">
        <v>2037</v>
      </c>
      <c r="O26" s="108" t="str">
        <f t="shared" si="6"/>
        <v>IMPOILGSL*</v>
      </c>
      <c r="P26" s="108" t="str">
        <f t="shared" si="6"/>
        <v>*OILGSL</v>
      </c>
      <c r="Q26" s="161">
        <f>VLOOKUP(O26,Worldprices!$B$49:$AN$92,$BW26,FALSE)</f>
        <v>14.982785800716359</v>
      </c>
      <c r="R26" s="161"/>
      <c r="S26" s="108" t="str">
        <f t="shared" si="7"/>
        <v>COST</v>
      </c>
      <c r="T26" s="126">
        <v>2037</v>
      </c>
      <c r="U26" s="108" t="str">
        <f t="shared" si="8"/>
        <v>IMPOILLPG*</v>
      </c>
      <c r="V26" s="108" t="str">
        <f t="shared" si="8"/>
        <v>*OILLPG</v>
      </c>
      <c r="W26" s="161">
        <f>VLOOKUP(U26,Worldprices!$B$49:$AN$92,$BW26,FALSE)</f>
        <v>12.055399404972428</v>
      </c>
      <c r="X26" s="161"/>
      <c r="Y26" s="108" t="str">
        <f t="shared" si="9"/>
        <v>COST</v>
      </c>
      <c r="Z26" s="126">
        <v>2037</v>
      </c>
      <c r="AA26" s="108" t="str">
        <f t="shared" si="10"/>
        <v>IMPOILHFO*</v>
      </c>
      <c r="AB26" s="108" t="str">
        <f t="shared" si="10"/>
        <v>*OILHFO</v>
      </c>
      <c r="AC26" s="161">
        <f>VLOOKUP(AA26,Worldprices!$B$49:$AN$92,$BW26,FALSE)</f>
        <v>7.5019635239929752</v>
      </c>
      <c r="AD26" s="161"/>
      <c r="AE26" s="108" t="str">
        <f t="shared" si="11"/>
        <v>COST</v>
      </c>
      <c r="AF26" s="126">
        <v>2037</v>
      </c>
      <c r="AG26" s="108" t="str">
        <f t="shared" si="12"/>
        <v>IMPOILKER*</v>
      </c>
      <c r="AH26" s="108" t="str">
        <f t="shared" si="12"/>
        <v>*OILKER</v>
      </c>
      <c r="AI26" s="161">
        <f>VLOOKUP(AG26,Worldprices!$B$49:$AN$92,$BW26,FALSE)</f>
        <v>14.572610184098135</v>
      </c>
      <c r="AJ26" s="161"/>
      <c r="AK26" s="108" t="str">
        <f t="shared" si="13"/>
        <v>COST</v>
      </c>
      <c r="AL26" s="126">
        <v>2037</v>
      </c>
      <c r="AM26" s="108" t="str">
        <f t="shared" si="14"/>
        <v>IMPOILPCK*</v>
      </c>
      <c r="AN26" s="108" t="str">
        <f t="shared" si="15"/>
        <v>*OILPCK</v>
      </c>
      <c r="AO26" s="161">
        <f>VLOOKUP(AM26,Worldprices!$B$49:$AN$92,$BW26,FALSE)</f>
        <v>7.5023457335036188</v>
      </c>
      <c r="AP26" s="161"/>
      <c r="AQ26" s="108" t="str">
        <f t="shared" si="16"/>
        <v>COST</v>
      </c>
      <c r="AR26" s="126">
        <v>2037</v>
      </c>
      <c r="AS26" s="108" t="str">
        <f t="shared" si="17"/>
        <v>IMPOILBIT*</v>
      </c>
      <c r="AT26" s="108" t="str">
        <f t="shared" si="18"/>
        <v>*OILBIT</v>
      </c>
      <c r="AU26" s="161">
        <f>VLOOKUP(AS26,Worldprices!$B$49:$AN$92,$BW26,FALSE)</f>
        <v>7.5023457335036188</v>
      </c>
      <c r="AV26" s="161"/>
      <c r="AW26" s="108" t="str">
        <f t="shared" si="19"/>
        <v>COST</v>
      </c>
      <c r="AX26" s="126">
        <v>2037</v>
      </c>
      <c r="AY26" s="108" t="str">
        <f t="shared" si="20"/>
        <v>IMPOILLUB*</v>
      </c>
      <c r="AZ26" s="108" t="str">
        <f t="shared" si="21"/>
        <v>*OILLUB</v>
      </c>
      <c r="BA26" s="161">
        <f>VLOOKUP(AY26,Worldprices!$B$49:$AN$92,$BW26,FALSE)</f>
        <v>7.5023457335036188</v>
      </c>
      <c r="BB26" s="161"/>
      <c r="BC26" s="108" t="str">
        <f t="shared" si="22"/>
        <v>COST</v>
      </c>
      <c r="BD26" s="126">
        <v>2037</v>
      </c>
      <c r="BE26" s="108" t="str">
        <f t="shared" si="23"/>
        <v>IMPGASNAT_**</v>
      </c>
      <c r="BF26" s="108" t="str">
        <f t="shared" si="24"/>
        <v>PITGASNA*</v>
      </c>
      <c r="BG26" s="161">
        <f>VLOOKUP(BE26,Worldprices!$B$49:$AN$92,$BW26,FALSE)</f>
        <v>7.9221704250000009</v>
      </c>
      <c r="BH26" s="161"/>
      <c r="BI26" s="161"/>
      <c r="BJ26" s="161"/>
      <c r="BK26" s="161"/>
      <c r="BL26" s="161"/>
      <c r="BM26" s="161"/>
      <c r="BN26" s="161"/>
      <c r="BO26" s="108" t="str">
        <f t="shared" si="25"/>
        <v>COST</v>
      </c>
      <c r="BP26" s="126">
        <v>2037</v>
      </c>
      <c r="BQ26" s="108" t="str">
        <f t="shared" si="26"/>
        <v>IMPELC*, -IMPELC_Flex*</v>
      </c>
      <c r="BR26" s="108" t="str">
        <f t="shared" ref="BR26" si="45">BR25</f>
        <v>ELCHIGG</v>
      </c>
      <c r="BS26" s="161">
        <f t="shared" si="0"/>
        <v>22.289210939675325</v>
      </c>
      <c r="BT26" s="161"/>
      <c r="BU26" s="161"/>
      <c r="BV26" s="161"/>
      <c r="BW26" s="108">
        <f t="shared" si="28"/>
        <v>25</v>
      </c>
    </row>
    <row r="27" spans="1:75" hidden="1" x14ac:dyDescent="0.25">
      <c r="A27" s="108" t="str">
        <f t="shared" si="1"/>
        <v>COST</v>
      </c>
      <c r="B27" s="126">
        <v>2038</v>
      </c>
      <c r="C27" s="108" t="str">
        <f t="shared" si="2"/>
        <v>IMPOILCRD*</v>
      </c>
      <c r="D27" s="108" t="str">
        <f t="shared" si="2"/>
        <v>*OILCRD</v>
      </c>
      <c r="E27" s="161">
        <f>VLOOKUP(C27,Worldprices!$B$49:$AN$92,$BW27,FALSE)</f>
        <v>10.090422409448287</v>
      </c>
      <c r="F27" s="161"/>
      <c r="G27" s="108" t="str">
        <f t="shared" si="3"/>
        <v>COST</v>
      </c>
      <c r="H27" s="126">
        <v>2038</v>
      </c>
      <c r="I27" s="108" t="str">
        <f t="shared" si="4"/>
        <v>IMPOILDSL*</v>
      </c>
      <c r="J27" s="108" t="str">
        <f t="shared" si="4"/>
        <v>*OILDSL</v>
      </c>
      <c r="K27" s="161">
        <f>VLOOKUP(I27,Worldprices!$B$49:$AN$92,$BW27,FALSE)</f>
        <v>12.801407069182105</v>
      </c>
      <c r="L27" s="161"/>
      <c r="M27" s="108" t="str">
        <f t="shared" si="5"/>
        <v>COST</v>
      </c>
      <c r="N27" s="126">
        <v>2038</v>
      </c>
      <c r="O27" s="108" t="str">
        <f t="shared" si="6"/>
        <v>IMPOILGSL*</v>
      </c>
      <c r="P27" s="108" t="str">
        <f t="shared" si="6"/>
        <v>*OILGSL</v>
      </c>
      <c r="Q27" s="161">
        <f>VLOOKUP(O27,Worldprices!$B$49:$AN$92,$BW27,FALSE)</f>
        <v>14.233646510680538</v>
      </c>
      <c r="R27" s="161"/>
      <c r="S27" s="108" t="str">
        <f t="shared" si="7"/>
        <v>COST</v>
      </c>
      <c r="T27" s="126">
        <v>2038</v>
      </c>
      <c r="U27" s="108" t="str">
        <f t="shared" si="8"/>
        <v>IMPOILLPG*</v>
      </c>
      <c r="V27" s="108" t="str">
        <f t="shared" si="8"/>
        <v>*OILLPG</v>
      </c>
      <c r="W27" s="161">
        <f>VLOOKUP(U27,Worldprices!$B$49:$AN$92,$BW27,FALSE)</f>
        <v>11.452629434723805</v>
      </c>
      <c r="X27" s="161"/>
      <c r="Y27" s="108" t="str">
        <f t="shared" si="9"/>
        <v>COST</v>
      </c>
      <c r="Z27" s="126">
        <v>2038</v>
      </c>
      <c r="AA27" s="108" t="str">
        <f t="shared" si="10"/>
        <v>IMPOILHFO*</v>
      </c>
      <c r="AB27" s="108" t="str">
        <f t="shared" si="10"/>
        <v>*OILHFO</v>
      </c>
      <c r="AC27" s="161">
        <f>VLOOKUP(AA27,Worldprices!$B$49:$AN$92,$BW27,FALSE)</f>
        <v>7.1268653477933253</v>
      </c>
      <c r="AD27" s="161"/>
      <c r="AE27" s="108" t="str">
        <f t="shared" si="11"/>
        <v>COST</v>
      </c>
      <c r="AF27" s="126">
        <v>2038</v>
      </c>
      <c r="AG27" s="108" t="str">
        <f t="shared" si="12"/>
        <v>IMPOILKER*</v>
      </c>
      <c r="AH27" s="108" t="str">
        <f t="shared" si="12"/>
        <v>*OILKER</v>
      </c>
      <c r="AI27" s="161">
        <f>VLOOKUP(AG27,Worldprices!$B$49:$AN$92,$BW27,FALSE)</f>
        <v>13.843979674893227</v>
      </c>
      <c r="AJ27" s="161"/>
      <c r="AK27" s="108" t="str">
        <f t="shared" si="13"/>
        <v>COST</v>
      </c>
      <c r="AL27" s="126">
        <v>2038</v>
      </c>
      <c r="AM27" s="108" t="str">
        <f t="shared" si="14"/>
        <v>IMPOILPCK*</v>
      </c>
      <c r="AN27" s="108" t="str">
        <f t="shared" si="15"/>
        <v>*OILPCK</v>
      </c>
      <c r="AO27" s="161">
        <f>VLOOKUP(AM27,Worldprices!$B$49:$AN$92,$BW27,FALSE)</f>
        <v>7.127228446828437</v>
      </c>
      <c r="AP27" s="161"/>
      <c r="AQ27" s="108" t="str">
        <f t="shared" si="16"/>
        <v>COST</v>
      </c>
      <c r="AR27" s="126">
        <v>2038</v>
      </c>
      <c r="AS27" s="108" t="str">
        <f t="shared" si="17"/>
        <v>IMPOILBIT*</v>
      </c>
      <c r="AT27" s="108" t="str">
        <f t="shared" si="18"/>
        <v>*OILBIT</v>
      </c>
      <c r="AU27" s="161">
        <f>VLOOKUP(AS27,Worldprices!$B$49:$AN$92,$BW27,FALSE)</f>
        <v>7.127228446828437</v>
      </c>
      <c r="AV27" s="161"/>
      <c r="AW27" s="108" t="str">
        <f t="shared" si="19"/>
        <v>COST</v>
      </c>
      <c r="AX27" s="126">
        <v>2038</v>
      </c>
      <c r="AY27" s="108" t="str">
        <f t="shared" si="20"/>
        <v>IMPOILLUB*</v>
      </c>
      <c r="AZ27" s="108" t="str">
        <f t="shared" si="21"/>
        <v>*OILLUB</v>
      </c>
      <c r="BA27" s="161">
        <f>VLOOKUP(AY27,Worldprices!$B$49:$AN$92,$BW27,FALSE)</f>
        <v>7.127228446828437</v>
      </c>
      <c r="BB27" s="161"/>
      <c r="BC27" s="108" t="str">
        <f t="shared" si="22"/>
        <v>COST</v>
      </c>
      <c r="BD27" s="126">
        <v>2038</v>
      </c>
      <c r="BE27" s="108" t="str">
        <f t="shared" si="23"/>
        <v>IMPGASNAT_**</v>
      </c>
      <c r="BF27" s="108" t="str">
        <f t="shared" si="24"/>
        <v>PITGASNA*</v>
      </c>
      <c r="BG27" s="161">
        <f>VLOOKUP(BE27,Worldprices!$B$49:$AN$92,$BW27,FALSE)</f>
        <v>7.9221704250000009</v>
      </c>
      <c r="BH27" s="161"/>
      <c r="BI27" s="161"/>
      <c r="BJ27" s="161"/>
      <c r="BK27" s="161"/>
      <c r="BL27" s="161"/>
      <c r="BM27" s="161"/>
      <c r="BN27" s="161"/>
      <c r="BO27" s="108" t="str">
        <f t="shared" si="25"/>
        <v>COST</v>
      </c>
      <c r="BP27" s="126">
        <v>2038</v>
      </c>
      <c r="BQ27" s="108" t="str">
        <f t="shared" si="26"/>
        <v>IMPELC*, -IMPELC_Flex*</v>
      </c>
      <c r="BR27" s="108" t="str">
        <f t="shared" ref="BR27" si="46">BR26</f>
        <v>ELCHIGG</v>
      </c>
      <c r="BS27" s="161">
        <f t="shared" si="0"/>
        <v>22.734995158468831</v>
      </c>
      <c r="BT27" s="161"/>
      <c r="BU27" s="161"/>
      <c r="BV27" s="161"/>
      <c r="BW27" s="108">
        <f t="shared" si="28"/>
        <v>26</v>
      </c>
    </row>
    <row r="28" spans="1:75" hidden="1" x14ac:dyDescent="0.25">
      <c r="A28" s="108" t="str">
        <f t="shared" si="1"/>
        <v>COST</v>
      </c>
      <c r="B28" s="126">
        <v>2039</v>
      </c>
      <c r="C28" s="108" t="str">
        <f t="shared" si="2"/>
        <v>IMPOILCRD*</v>
      </c>
      <c r="D28" s="108" t="str">
        <f t="shared" si="2"/>
        <v>*OILCRD</v>
      </c>
      <c r="E28" s="161">
        <f>VLOOKUP(C28,Worldprices!$B$49:$AN$92,$BW28,FALSE)</f>
        <v>9.5859012889758723</v>
      </c>
      <c r="F28" s="161"/>
      <c r="G28" s="108" t="str">
        <f t="shared" si="3"/>
        <v>COST</v>
      </c>
      <c r="H28" s="126">
        <v>2039</v>
      </c>
      <c r="I28" s="108" t="str">
        <f t="shared" si="4"/>
        <v>IMPOILDSL*</v>
      </c>
      <c r="J28" s="108" t="str">
        <f t="shared" si="4"/>
        <v>*OILDSL</v>
      </c>
      <c r="K28" s="161">
        <f>VLOOKUP(I28,Worldprices!$B$49:$AN$92,$BW28,FALSE)</f>
        <v>12.161336715722999</v>
      </c>
      <c r="L28" s="161"/>
      <c r="M28" s="108" t="str">
        <f t="shared" si="5"/>
        <v>COST</v>
      </c>
      <c r="N28" s="126">
        <v>2039</v>
      </c>
      <c r="O28" s="108" t="str">
        <f t="shared" si="6"/>
        <v>IMPOILGSL*</v>
      </c>
      <c r="P28" s="108" t="str">
        <f t="shared" si="6"/>
        <v>*OILGSL</v>
      </c>
      <c r="Q28" s="161">
        <f>VLOOKUP(O28,Worldprices!$B$49:$AN$92,$BW28,FALSE)</f>
        <v>13.52196418514651</v>
      </c>
      <c r="R28" s="161"/>
      <c r="S28" s="108" t="str">
        <f t="shared" si="7"/>
        <v>COST</v>
      </c>
      <c r="T28" s="126">
        <v>2039</v>
      </c>
      <c r="U28" s="108" t="str">
        <f t="shared" si="8"/>
        <v>IMPOILLPG*</v>
      </c>
      <c r="V28" s="108" t="str">
        <f t="shared" si="8"/>
        <v>*OILLPG</v>
      </c>
      <c r="W28" s="161">
        <f>VLOOKUP(U28,Worldprices!$B$49:$AN$92,$BW28,FALSE)</f>
        <v>10.879997962987614</v>
      </c>
      <c r="X28" s="161"/>
      <c r="Y28" s="108" t="str">
        <f t="shared" si="9"/>
        <v>COST</v>
      </c>
      <c r="Z28" s="126">
        <v>2039</v>
      </c>
      <c r="AA28" s="108" t="str">
        <f t="shared" si="10"/>
        <v>IMPOILHFO*</v>
      </c>
      <c r="AB28" s="108" t="str">
        <f t="shared" si="10"/>
        <v>*OILHFO</v>
      </c>
      <c r="AC28" s="161">
        <f>VLOOKUP(AA28,Worldprices!$B$49:$AN$92,$BW28,FALSE)</f>
        <v>6.7705220804036594</v>
      </c>
      <c r="AD28" s="161"/>
      <c r="AE28" s="108" t="str">
        <f t="shared" si="11"/>
        <v>COST</v>
      </c>
      <c r="AF28" s="126">
        <v>2039</v>
      </c>
      <c r="AG28" s="108" t="str">
        <f t="shared" si="12"/>
        <v>IMPOILKER*</v>
      </c>
      <c r="AH28" s="108" t="str">
        <f t="shared" si="12"/>
        <v>*OILKER</v>
      </c>
      <c r="AI28" s="161">
        <f>VLOOKUP(AG28,Worldprices!$B$49:$AN$92,$BW28,FALSE)</f>
        <v>13.151780691148565</v>
      </c>
      <c r="AJ28" s="161"/>
      <c r="AK28" s="108" t="str">
        <f t="shared" si="13"/>
        <v>COST</v>
      </c>
      <c r="AL28" s="126">
        <v>2039</v>
      </c>
      <c r="AM28" s="108" t="str">
        <f t="shared" si="14"/>
        <v>IMPOILPCK*</v>
      </c>
      <c r="AN28" s="108" t="str">
        <f t="shared" si="15"/>
        <v>*OILPCK</v>
      </c>
      <c r="AO28" s="161">
        <f>VLOOKUP(AM28,Worldprices!$B$49:$AN$92,$BW28,FALSE)</f>
        <v>6.7708670244870151</v>
      </c>
      <c r="AP28" s="161"/>
      <c r="AQ28" s="108" t="str">
        <f t="shared" si="16"/>
        <v>COST</v>
      </c>
      <c r="AR28" s="126">
        <v>2039</v>
      </c>
      <c r="AS28" s="108" t="str">
        <f t="shared" si="17"/>
        <v>IMPOILBIT*</v>
      </c>
      <c r="AT28" s="108" t="str">
        <f t="shared" si="18"/>
        <v>*OILBIT</v>
      </c>
      <c r="AU28" s="161">
        <f>VLOOKUP(AS28,Worldprices!$B$49:$AN$92,$BW28,FALSE)</f>
        <v>6.7708670244870151</v>
      </c>
      <c r="AV28" s="161"/>
      <c r="AW28" s="108" t="str">
        <f t="shared" si="19"/>
        <v>COST</v>
      </c>
      <c r="AX28" s="126">
        <v>2039</v>
      </c>
      <c r="AY28" s="108" t="str">
        <f t="shared" si="20"/>
        <v>IMPOILLUB*</v>
      </c>
      <c r="AZ28" s="108" t="str">
        <f t="shared" si="21"/>
        <v>*OILLUB</v>
      </c>
      <c r="BA28" s="161">
        <f>VLOOKUP(AY28,Worldprices!$B$49:$AN$92,$BW28,FALSE)</f>
        <v>6.7708670244870151</v>
      </c>
      <c r="BB28" s="161"/>
      <c r="BC28" s="108" t="str">
        <f t="shared" si="22"/>
        <v>COST</v>
      </c>
      <c r="BD28" s="126">
        <v>2039</v>
      </c>
      <c r="BE28" s="108" t="str">
        <f t="shared" si="23"/>
        <v>IMPGASNAT_**</v>
      </c>
      <c r="BF28" s="108" t="str">
        <f t="shared" si="24"/>
        <v>PITGASNA*</v>
      </c>
      <c r="BG28" s="161">
        <f>VLOOKUP(BE28,Worldprices!$B$49:$AN$92,$BW28,FALSE)</f>
        <v>7.9221704250000009</v>
      </c>
      <c r="BH28" s="161"/>
      <c r="BI28" s="161"/>
      <c r="BJ28" s="161"/>
      <c r="BK28" s="161"/>
      <c r="BL28" s="161"/>
      <c r="BM28" s="161"/>
      <c r="BN28" s="161"/>
      <c r="BO28" s="108" t="str">
        <f t="shared" si="25"/>
        <v>COST</v>
      </c>
      <c r="BP28" s="126">
        <v>2039</v>
      </c>
      <c r="BQ28" s="108" t="str">
        <f t="shared" si="26"/>
        <v>IMPELC*, -IMPELC_Flex*</v>
      </c>
      <c r="BR28" s="108" t="str">
        <f t="shared" ref="BR28" si="47">BR27</f>
        <v>ELCHIGG</v>
      </c>
      <c r="BS28" s="161">
        <f t="shared" si="0"/>
        <v>23.189695061638208</v>
      </c>
      <c r="BT28" s="161"/>
      <c r="BU28" s="161"/>
      <c r="BV28" s="161"/>
      <c r="BW28" s="108">
        <f t="shared" si="28"/>
        <v>27</v>
      </c>
    </row>
    <row r="29" spans="1:75" x14ac:dyDescent="0.25">
      <c r="A29" s="108" t="str">
        <f t="shared" si="1"/>
        <v>COST</v>
      </c>
      <c r="B29" s="126">
        <v>2040</v>
      </c>
      <c r="C29" s="108" t="str">
        <f t="shared" si="2"/>
        <v>IMPOILCRD*</v>
      </c>
      <c r="D29" s="108" t="str">
        <f t="shared" si="2"/>
        <v>*OILCRD</v>
      </c>
      <c r="E29" s="161">
        <f>VLOOKUP(C29,Worldprices!$B$49:$AN$92,$BW29,FALSE)</f>
        <v>9.1066062245270789</v>
      </c>
      <c r="F29" s="161"/>
      <c r="G29" s="108" t="str">
        <f t="shared" si="3"/>
        <v>COST</v>
      </c>
      <c r="H29" s="126">
        <v>2040</v>
      </c>
      <c r="I29" s="108" t="str">
        <f t="shared" si="4"/>
        <v>IMPOILDSL*</v>
      </c>
      <c r="J29" s="108" t="str">
        <f t="shared" si="4"/>
        <v>*OILDSL</v>
      </c>
      <c r="K29" s="161">
        <f>VLOOKUP(I29,Worldprices!$B$49:$AN$92,$BW29,FALSE)</f>
        <v>11.553269879936849</v>
      </c>
      <c r="L29" s="161"/>
      <c r="M29" s="108" t="str">
        <f t="shared" si="5"/>
        <v>COST</v>
      </c>
      <c r="N29" s="126">
        <v>2040</v>
      </c>
      <c r="O29" s="108" t="str">
        <f t="shared" si="6"/>
        <v>IMPOILGSL*</v>
      </c>
      <c r="P29" s="108" t="str">
        <f t="shared" si="6"/>
        <v>*OILGSL</v>
      </c>
      <c r="Q29" s="161">
        <f>VLOOKUP(O29,Worldprices!$B$49:$AN$92,$BW29,FALSE)</f>
        <v>12.845865975889186</v>
      </c>
      <c r="R29" s="161"/>
      <c r="S29" s="108" t="str">
        <f t="shared" si="7"/>
        <v>COST</v>
      </c>
      <c r="T29" s="126">
        <v>2040</v>
      </c>
      <c r="U29" s="108" t="str">
        <f t="shared" si="8"/>
        <v>IMPOILLPG*</v>
      </c>
      <c r="V29" s="108" t="str">
        <f t="shared" si="8"/>
        <v>*OILLPG</v>
      </c>
      <c r="W29" s="161">
        <f>VLOOKUP(U29,Worldprices!$B$49:$AN$92,$BW29,FALSE)</f>
        <v>10.335998064838234</v>
      </c>
      <c r="X29" s="161"/>
      <c r="Y29" s="108" t="str">
        <f t="shared" si="9"/>
        <v>COST</v>
      </c>
      <c r="Z29" s="126">
        <v>2040</v>
      </c>
      <c r="AA29" s="108" t="str">
        <f t="shared" si="10"/>
        <v>IMPOILHFO*</v>
      </c>
      <c r="AB29" s="108" t="str">
        <f t="shared" si="10"/>
        <v>*OILHFO</v>
      </c>
      <c r="AC29" s="161">
        <f>VLOOKUP(AA29,Worldprices!$B$49:$AN$92,$BW29,FALSE)</f>
        <v>6.431995976383476</v>
      </c>
      <c r="AD29" s="161"/>
      <c r="AE29" s="108" t="str">
        <f t="shared" si="11"/>
        <v>COST</v>
      </c>
      <c r="AF29" s="126">
        <v>2040</v>
      </c>
      <c r="AG29" s="108" t="str">
        <f t="shared" si="12"/>
        <v>IMPOILKER*</v>
      </c>
      <c r="AH29" s="108" t="str">
        <f t="shared" si="12"/>
        <v>*OILKER</v>
      </c>
      <c r="AI29" s="161">
        <f>VLOOKUP(AG29,Worldprices!$B$49:$AN$92,$BW29,FALSE)</f>
        <v>12.494191656591138</v>
      </c>
      <c r="AJ29" s="161"/>
      <c r="AK29" s="108" t="str">
        <f t="shared" si="13"/>
        <v>COST</v>
      </c>
      <c r="AL29" s="126">
        <v>2040</v>
      </c>
      <c r="AM29" s="108" t="str">
        <f t="shared" si="14"/>
        <v>IMPOILPCK*</v>
      </c>
      <c r="AN29" s="108" t="str">
        <f t="shared" si="15"/>
        <v>*OILPCK</v>
      </c>
      <c r="AO29" s="161">
        <f>VLOOKUP(AM29,Worldprices!$B$49:$AN$92,$BW29,FALSE)</f>
        <v>6.4323236732626645</v>
      </c>
      <c r="AP29" s="161"/>
      <c r="AQ29" s="108" t="str">
        <f t="shared" si="16"/>
        <v>COST</v>
      </c>
      <c r="AR29" s="126">
        <v>2040</v>
      </c>
      <c r="AS29" s="108" t="str">
        <f t="shared" si="17"/>
        <v>IMPOILBIT*</v>
      </c>
      <c r="AT29" s="108" t="str">
        <f t="shared" si="18"/>
        <v>*OILBIT</v>
      </c>
      <c r="AU29" s="161">
        <f>VLOOKUP(AS29,Worldprices!$B$49:$AN$92,$BW29,FALSE)</f>
        <v>6.4323236732626645</v>
      </c>
      <c r="AV29" s="161"/>
      <c r="AW29" s="108" t="str">
        <f t="shared" si="19"/>
        <v>COST</v>
      </c>
      <c r="AX29" s="126">
        <v>2040</v>
      </c>
      <c r="AY29" s="108" t="str">
        <f t="shared" si="20"/>
        <v>IMPOILLUB*</v>
      </c>
      <c r="AZ29" s="108" t="str">
        <f t="shared" si="21"/>
        <v>*OILLUB</v>
      </c>
      <c r="BA29" s="161">
        <f>VLOOKUP(AY29,Worldprices!$B$49:$AN$92,$BW29,FALSE)</f>
        <v>6.4323236732626645</v>
      </c>
      <c r="BB29" s="161"/>
      <c r="BC29" s="108" t="str">
        <f t="shared" si="22"/>
        <v>COST</v>
      </c>
      <c r="BD29" s="126">
        <v>2040</v>
      </c>
      <c r="BE29" s="108" t="str">
        <f t="shared" si="23"/>
        <v>IMPGASNAT_**</v>
      </c>
      <c r="BF29" s="108" t="str">
        <f t="shared" si="24"/>
        <v>PITGASNA*</v>
      </c>
      <c r="BG29" s="161">
        <f>VLOOKUP(BE29,Worldprices!$B$49:$AN$92,$BW29,FALSE)</f>
        <v>7.9221704250000009</v>
      </c>
      <c r="BH29" s="161"/>
      <c r="BI29" s="161"/>
      <c r="BJ29" s="161"/>
      <c r="BK29" s="161"/>
      <c r="BL29" s="161"/>
      <c r="BM29" s="161"/>
      <c r="BN29" s="161"/>
      <c r="BO29" s="108" t="str">
        <f t="shared" si="25"/>
        <v>COST</v>
      </c>
      <c r="BP29" s="126">
        <v>2040</v>
      </c>
      <c r="BQ29" s="108" t="str">
        <f t="shared" si="26"/>
        <v>IMPELC*, -IMPELC_Flex*</v>
      </c>
      <c r="BR29" s="108" t="str">
        <f t="shared" ref="BR29" si="48">BR28</f>
        <v>ELCHIGG</v>
      </c>
      <c r="BS29" s="161">
        <f t="shared" si="0"/>
        <v>23.653488962870973</v>
      </c>
      <c r="BT29" s="161"/>
      <c r="BU29" s="161"/>
      <c r="BV29" s="161"/>
      <c r="BW29" s="108">
        <f t="shared" si="28"/>
        <v>28</v>
      </c>
    </row>
    <row r="30" spans="1:75" hidden="1" x14ac:dyDescent="0.25">
      <c r="A30" s="108" t="str">
        <f t="shared" si="1"/>
        <v>COST</v>
      </c>
      <c r="B30" s="126">
        <v>2041</v>
      </c>
      <c r="C30" s="108" t="str">
        <f t="shared" si="2"/>
        <v>IMPOILCRD*</v>
      </c>
      <c r="D30" s="108" t="str">
        <f t="shared" si="2"/>
        <v>*OILCRD</v>
      </c>
      <c r="E30" s="161">
        <f>VLOOKUP(C30,Worldprices!$B$49:$AN$92,$BW30,FALSE)</f>
        <v>8.651275913300724</v>
      </c>
      <c r="F30" s="161"/>
      <c r="G30" s="108" t="str">
        <f t="shared" si="3"/>
        <v>COST</v>
      </c>
      <c r="H30" s="126">
        <v>2041</v>
      </c>
      <c r="I30" s="108" t="str">
        <f t="shared" si="4"/>
        <v>IMPOILDSL*</v>
      </c>
      <c r="J30" s="108" t="str">
        <f t="shared" si="4"/>
        <v>*OILDSL</v>
      </c>
      <c r="K30" s="161">
        <f>VLOOKUP(I30,Worldprices!$B$49:$AN$92,$BW30,FALSE)</f>
        <v>10.975606385940006</v>
      </c>
      <c r="L30" s="161"/>
      <c r="M30" s="108" t="str">
        <f t="shared" si="5"/>
        <v>COST</v>
      </c>
      <c r="N30" s="126">
        <v>2041</v>
      </c>
      <c r="O30" s="108" t="str">
        <f t="shared" si="6"/>
        <v>IMPOILGSL*</v>
      </c>
      <c r="P30" s="108" t="str">
        <f t="shared" si="6"/>
        <v>*OILGSL</v>
      </c>
      <c r="Q30" s="161">
        <f>VLOOKUP(O30,Worldprices!$B$49:$AN$92,$BW30,FALSE)</f>
        <v>12.203572677094725</v>
      </c>
      <c r="R30" s="161"/>
      <c r="S30" s="108" t="str">
        <f t="shared" si="7"/>
        <v>COST</v>
      </c>
      <c r="T30" s="126">
        <v>2041</v>
      </c>
      <c r="U30" s="108" t="str">
        <f t="shared" si="8"/>
        <v>IMPOILLPG*</v>
      </c>
      <c r="V30" s="108" t="str">
        <f t="shared" si="8"/>
        <v>*OILLPG</v>
      </c>
      <c r="W30" s="161">
        <f>VLOOKUP(U30,Worldprices!$B$49:$AN$92,$BW30,FALSE)</f>
        <v>9.8191981615963222</v>
      </c>
      <c r="X30" s="161"/>
      <c r="Y30" s="108" t="str">
        <f t="shared" si="9"/>
        <v>COST</v>
      </c>
      <c r="Z30" s="126">
        <v>2041</v>
      </c>
      <c r="AA30" s="108" t="str">
        <f t="shared" si="10"/>
        <v>IMPOILHFO*</v>
      </c>
      <c r="AB30" s="108" t="str">
        <f t="shared" si="10"/>
        <v>*OILHFO</v>
      </c>
      <c r="AC30" s="161">
        <f>VLOOKUP(AA30,Worldprices!$B$49:$AN$92,$BW30,FALSE)</f>
        <v>6.1103961775643016</v>
      </c>
      <c r="AD30" s="161"/>
      <c r="AE30" s="108" t="str">
        <f t="shared" si="11"/>
        <v>COST</v>
      </c>
      <c r="AF30" s="126">
        <v>2041</v>
      </c>
      <c r="AG30" s="108" t="str">
        <f t="shared" si="12"/>
        <v>IMPOILKER*</v>
      </c>
      <c r="AH30" s="108" t="str">
        <f t="shared" si="12"/>
        <v>*OILKER</v>
      </c>
      <c r="AI30" s="161">
        <f>VLOOKUP(AG30,Worldprices!$B$49:$AN$92,$BW30,FALSE)</f>
        <v>11.86948207376158</v>
      </c>
      <c r="AJ30" s="161"/>
      <c r="AK30" s="108" t="str">
        <f t="shared" si="13"/>
        <v>COST</v>
      </c>
      <c r="AL30" s="126">
        <v>2041</v>
      </c>
      <c r="AM30" s="108" t="str">
        <f t="shared" si="14"/>
        <v>IMPOILPCK*</v>
      </c>
      <c r="AN30" s="108" t="str">
        <f t="shared" si="15"/>
        <v>*OILPCK</v>
      </c>
      <c r="AO30" s="161">
        <f>VLOOKUP(AM30,Worldprices!$B$49:$AN$92,$BW30,FALSE)</f>
        <v>6.1107074895995304</v>
      </c>
      <c r="AP30" s="161"/>
      <c r="AQ30" s="108" t="str">
        <f t="shared" si="16"/>
        <v>COST</v>
      </c>
      <c r="AR30" s="126">
        <v>2041</v>
      </c>
      <c r="AS30" s="108" t="str">
        <f t="shared" si="17"/>
        <v>IMPOILBIT*</v>
      </c>
      <c r="AT30" s="108" t="str">
        <f t="shared" si="18"/>
        <v>*OILBIT</v>
      </c>
      <c r="AU30" s="161">
        <f>VLOOKUP(AS30,Worldprices!$B$49:$AN$92,$BW30,FALSE)</f>
        <v>6.1107074895995304</v>
      </c>
      <c r="AV30" s="161"/>
      <c r="AW30" s="108" t="str">
        <f t="shared" si="19"/>
        <v>COST</v>
      </c>
      <c r="AX30" s="126">
        <v>2041</v>
      </c>
      <c r="AY30" s="108" t="str">
        <f t="shared" si="20"/>
        <v>IMPOILLUB*</v>
      </c>
      <c r="AZ30" s="108" t="str">
        <f t="shared" si="21"/>
        <v>*OILLUB</v>
      </c>
      <c r="BA30" s="161">
        <f>VLOOKUP(AY30,Worldprices!$B$49:$AN$92,$BW30,FALSE)</f>
        <v>6.1107074895995304</v>
      </c>
      <c r="BB30" s="161"/>
      <c r="BC30" s="108" t="str">
        <f t="shared" si="22"/>
        <v>COST</v>
      </c>
      <c r="BD30" s="126">
        <v>2041</v>
      </c>
      <c r="BE30" s="108" t="str">
        <f t="shared" si="23"/>
        <v>IMPGASNAT_**</v>
      </c>
      <c r="BF30" s="108" t="str">
        <f t="shared" si="24"/>
        <v>PITGASNA*</v>
      </c>
      <c r="BG30" s="161">
        <f>VLOOKUP(BE30,Worldprices!$B$49:$AN$92,$BW30,FALSE)</f>
        <v>7.6845053122500007</v>
      </c>
      <c r="BH30" s="161"/>
      <c r="BI30" s="161"/>
      <c r="BJ30" s="161"/>
      <c r="BK30" s="161"/>
      <c r="BL30" s="161"/>
      <c r="BM30" s="161"/>
      <c r="BN30" s="161"/>
      <c r="BO30" s="108" t="str">
        <f t="shared" si="25"/>
        <v>COST</v>
      </c>
      <c r="BP30" s="126">
        <v>2041</v>
      </c>
      <c r="BQ30" s="108" t="str">
        <f t="shared" si="26"/>
        <v>IMPELC*, -IMPELC_Flex*</v>
      </c>
      <c r="BR30" s="108" t="str">
        <f t="shared" ref="BR30" si="49">BR29</f>
        <v>ELCHIGG</v>
      </c>
      <c r="BS30" s="161">
        <f t="shared" si="0"/>
        <v>24.126558742128392</v>
      </c>
      <c r="BT30" s="161"/>
      <c r="BU30" s="161"/>
      <c r="BV30" s="161"/>
      <c r="BW30" s="108">
        <f t="shared" si="28"/>
        <v>29</v>
      </c>
    </row>
    <row r="31" spans="1:75" hidden="1" x14ac:dyDescent="0.25">
      <c r="A31" s="108" t="str">
        <f t="shared" si="1"/>
        <v>COST</v>
      </c>
      <c r="B31" s="126">
        <v>2042</v>
      </c>
      <c r="C31" s="108" t="str">
        <f t="shared" si="2"/>
        <v>IMPOILCRD*</v>
      </c>
      <c r="D31" s="108" t="str">
        <f t="shared" si="2"/>
        <v>*OILCRD</v>
      </c>
      <c r="E31" s="161">
        <f>VLOOKUP(C31,Worldprices!$B$49:$AN$92,$BW31,FALSE)</f>
        <v>8.2187121176356879</v>
      </c>
      <c r="F31" s="161"/>
      <c r="G31" s="108" t="str">
        <f t="shared" si="3"/>
        <v>COST</v>
      </c>
      <c r="H31" s="126">
        <v>2042</v>
      </c>
      <c r="I31" s="108" t="str">
        <f t="shared" si="4"/>
        <v>IMPOILDSL*</v>
      </c>
      <c r="J31" s="108" t="str">
        <f t="shared" si="4"/>
        <v>*OILDSL</v>
      </c>
      <c r="K31" s="161">
        <f>VLOOKUP(I31,Worldprices!$B$49:$AN$92,$BW31,FALSE)</f>
        <v>10.426826066643006</v>
      </c>
      <c r="L31" s="161"/>
      <c r="M31" s="108" t="str">
        <f t="shared" si="5"/>
        <v>COST</v>
      </c>
      <c r="N31" s="126">
        <v>2042</v>
      </c>
      <c r="O31" s="108" t="str">
        <f t="shared" si="6"/>
        <v>IMPOILGSL*</v>
      </c>
      <c r="P31" s="108" t="str">
        <f t="shared" si="6"/>
        <v>*OILGSL</v>
      </c>
      <c r="Q31" s="161">
        <f>VLOOKUP(O31,Worldprices!$B$49:$AN$92,$BW31,FALSE)</f>
        <v>11.593394043239989</v>
      </c>
      <c r="R31" s="161"/>
      <c r="S31" s="108" t="str">
        <f t="shared" si="7"/>
        <v>COST</v>
      </c>
      <c r="T31" s="126">
        <v>2042</v>
      </c>
      <c r="U31" s="108" t="str">
        <f t="shared" si="8"/>
        <v>IMPOILLPG*</v>
      </c>
      <c r="V31" s="108" t="str">
        <f t="shared" si="8"/>
        <v>*OILLPG</v>
      </c>
      <c r="W31" s="161">
        <f>VLOOKUP(U31,Worldprices!$B$49:$AN$92,$BW31,FALSE)</f>
        <v>9.3282382535165063</v>
      </c>
      <c r="X31" s="161"/>
      <c r="Y31" s="108" t="str">
        <f t="shared" si="9"/>
        <v>COST</v>
      </c>
      <c r="Z31" s="126">
        <v>2042</v>
      </c>
      <c r="AA31" s="108" t="str">
        <f t="shared" si="10"/>
        <v>IMPOILHFO*</v>
      </c>
      <c r="AB31" s="108" t="str">
        <f t="shared" si="10"/>
        <v>*OILHFO</v>
      </c>
      <c r="AC31" s="161">
        <f>VLOOKUP(AA31,Worldprices!$B$49:$AN$92,$BW31,FALSE)</f>
        <v>5.8048763686860863</v>
      </c>
      <c r="AD31" s="161"/>
      <c r="AE31" s="108" t="str">
        <f t="shared" si="11"/>
        <v>COST</v>
      </c>
      <c r="AF31" s="126">
        <v>2042</v>
      </c>
      <c r="AG31" s="108" t="str">
        <f t="shared" si="12"/>
        <v>IMPOILKER*</v>
      </c>
      <c r="AH31" s="108" t="str">
        <f t="shared" si="12"/>
        <v>*OILKER</v>
      </c>
      <c r="AI31" s="161">
        <f>VLOOKUP(AG31,Worldprices!$B$49:$AN$92,$BW31,FALSE)</f>
        <v>11.276007970073501</v>
      </c>
      <c r="AJ31" s="161"/>
      <c r="AK31" s="108" t="str">
        <f t="shared" si="13"/>
        <v>COST</v>
      </c>
      <c r="AL31" s="126">
        <v>2042</v>
      </c>
      <c r="AM31" s="108" t="str">
        <f t="shared" si="14"/>
        <v>IMPOILPCK*</v>
      </c>
      <c r="AN31" s="108" t="str">
        <f t="shared" si="15"/>
        <v>*OILPCK</v>
      </c>
      <c r="AO31" s="161">
        <f>VLOOKUP(AM31,Worldprices!$B$49:$AN$92,$BW31,FALSE)</f>
        <v>5.8051721151195546</v>
      </c>
      <c r="AP31" s="161"/>
      <c r="AQ31" s="108" t="str">
        <f t="shared" si="16"/>
        <v>COST</v>
      </c>
      <c r="AR31" s="126">
        <v>2042</v>
      </c>
      <c r="AS31" s="108" t="str">
        <f t="shared" si="17"/>
        <v>IMPOILBIT*</v>
      </c>
      <c r="AT31" s="108" t="str">
        <f t="shared" si="18"/>
        <v>*OILBIT</v>
      </c>
      <c r="AU31" s="161">
        <f>VLOOKUP(AS31,Worldprices!$B$49:$AN$92,$BW31,FALSE)</f>
        <v>5.8051721151195546</v>
      </c>
      <c r="AV31" s="161"/>
      <c r="AW31" s="108" t="str">
        <f t="shared" si="19"/>
        <v>COST</v>
      </c>
      <c r="AX31" s="126">
        <v>2042</v>
      </c>
      <c r="AY31" s="108" t="str">
        <f t="shared" si="20"/>
        <v>IMPOILLUB*</v>
      </c>
      <c r="AZ31" s="108" t="str">
        <f t="shared" si="21"/>
        <v>*OILLUB</v>
      </c>
      <c r="BA31" s="161">
        <f>VLOOKUP(AY31,Worldprices!$B$49:$AN$92,$BW31,FALSE)</f>
        <v>5.8051721151195546</v>
      </c>
      <c r="BB31" s="161"/>
      <c r="BC31" s="108" t="str">
        <f t="shared" si="22"/>
        <v>COST</v>
      </c>
      <c r="BD31" s="126">
        <v>2042</v>
      </c>
      <c r="BE31" s="108" t="str">
        <f t="shared" si="23"/>
        <v>IMPGASNAT_**</v>
      </c>
      <c r="BF31" s="108" t="str">
        <f t="shared" si="24"/>
        <v>PITGASNA*</v>
      </c>
      <c r="BG31" s="161">
        <f>VLOOKUP(BE31,Worldprices!$B$49:$AN$92,$BW31,FALSE)</f>
        <v>7.4539701528825004</v>
      </c>
      <c r="BH31" s="161"/>
      <c r="BI31" s="161"/>
      <c r="BJ31" s="161"/>
      <c r="BK31" s="161"/>
      <c r="BL31" s="161"/>
      <c r="BM31" s="161"/>
      <c r="BN31" s="161"/>
      <c r="BO31" s="108" t="str">
        <f t="shared" si="25"/>
        <v>COST</v>
      </c>
      <c r="BP31" s="126">
        <v>2042</v>
      </c>
      <c r="BQ31" s="108" t="str">
        <f t="shared" si="26"/>
        <v>IMPELC*, -IMPELC_Flex*</v>
      </c>
      <c r="BR31" s="108" t="str">
        <f t="shared" ref="BR31" si="50">BR30</f>
        <v>ELCHIGG</v>
      </c>
      <c r="BS31" s="161">
        <f t="shared" si="0"/>
        <v>24.609089916970959</v>
      </c>
      <c r="BT31" s="161"/>
      <c r="BU31" s="161"/>
      <c r="BV31" s="161"/>
      <c r="BW31" s="108">
        <f t="shared" si="28"/>
        <v>30</v>
      </c>
    </row>
    <row r="32" spans="1:75" hidden="1" x14ac:dyDescent="0.25">
      <c r="A32" s="108" t="str">
        <f t="shared" si="1"/>
        <v>COST</v>
      </c>
      <c r="B32" s="126">
        <v>2043</v>
      </c>
      <c r="C32" s="108" t="str">
        <f t="shared" si="2"/>
        <v>IMPOILCRD*</v>
      </c>
      <c r="D32" s="108" t="str">
        <f t="shared" si="2"/>
        <v>*OILCRD</v>
      </c>
      <c r="E32" s="161">
        <f>VLOOKUP(C32,Worldprices!$B$49:$AN$92,$BW32,FALSE)</f>
        <v>7.8077765117539029</v>
      </c>
      <c r="F32" s="161"/>
      <c r="G32" s="108" t="str">
        <f t="shared" si="3"/>
        <v>COST</v>
      </c>
      <c r="H32" s="126">
        <v>2043</v>
      </c>
      <c r="I32" s="108" t="str">
        <f t="shared" si="4"/>
        <v>IMPOILDSL*</v>
      </c>
      <c r="J32" s="108" t="str">
        <f t="shared" si="4"/>
        <v>*OILDSL</v>
      </c>
      <c r="K32" s="161">
        <f>VLOOKUP(I32,Worldprices!$B$49:$AN$92,$BW32,FALSE)</f>
        <v>9.905484763310854</v>
      </c>
      <c r="L32" s="161"/>
      <c r="M32" s="108" t="str">
        <f t="shared" si="5"/>
        <v>COST</v>
      </c>
      <c r="N32" s="126">
        <v>2043</v>
      </c>
      <c r="O32" s="108" t="str">
        <f t="shared" si="6"/>
        <v>IMPOILGSL*</v>
      </c>
      <c r="P32" s="108" t="str">
        <f t="shared" si="6"/>
        <v>*OILGSL</v>
      </c>
      <c r="Q32" s="161">
        <f>VLOOKUP(O32,Worldprices!$B$49:$AN$92,$BW32,FALSE)</f>
        <v>11.013724341077989</v>
      </c>
      <c r="R32" s="161"/>
      <c r="S32" s="108" t="str">
        <f t="shared" si="7"/>
        <v>COST</v>
      </c>
      <c r="T32" s="126">
        <v>2043</v>
      </c>
      <c r="U32" s="108" t="str">
        <f t="shared" si="8"/>
        <v>IMPOILLPG*</v>
      </c>
      <c r="V32" s="108" t="str">
        <f t="shared" si="8"/>
        <v>*OILLPG</v>
      </c>
      <c r="W32" s="161">
        <f>VLOOKUP(U32,Worldprices!$B$49:$AN$92,$BW32,FALSE)</f>
        <v>8.861826340840679</v>
      </c>
      <c r="X32" s="161"/>
      <c r="Y32" s="108" t="str">
        <f t="shared" si="9"/>
        <v>COST</v>
      </c>
      <c r="Z32" s="126">
        <v>2043</v>
      </c>
      <c r="AA32" s="108" t="str">
        <f t="shared" si="10"/>
        <v>IMPOILHFO*</v>
      </c>
      <c r="AB32" s="108" t="str">
        <f t="shared" si="10"/>
        <v>*OILHFO</v>
      </c>
      <c r="AC32" s="161">
        <f>VLOOKUP(AA32,Worldprices!$B$49:$AN$92,$BW32,FALSE)</f>
        <v>5.5146325502517817</v>
      </c>
      <c r="AD32" s="161"/>
      <c r="AE32" s="108" t="str">
        <f t="shared" si="11"/>
        <v>COST</v>
      </c>
      <c r="AF32" s="126">
        <v>2043</v>
      </c>
      <c r="AG32" s="108" t="str">
        <f t="shared" si="12"/>
        <v>IMPOILKER*</v>
      </c>
      <c r="AH32" s="108" t="str">
        <f t="shared" si="12"/>
        <v>*OILKER</v>
      </c>
      <c r="AI32" s="161">
        <f>VLOOKUP(AG32,Worldprices!$B$49:$AN$92,$BW32,FALSE)</f>
        <v>10.712207571569824</v>
      </c>
      <c r="AJ32" s="161"/>
      <c r="AK32" s="108" t="str">
        <f t="shared" si="13"/>
        <v>COST</v>
      </c>
      <c r="AL32" s="126">
        <v>2043</v>
      </c>
      <c r="AM32" s="108" t="str">
        <f t="shared" si="14"/>
        <v>IMPOILPCK*</v>
      </c>
      <c r="AN32" s="108" t="str">
        <f t="shared" si="15"/>
        <v>*OILPCK</v>
      </c>
      <c r="AO32" s="161">
        <f>VLOOKUP(AM32,Worldprices!$B$49:$AN$92,$BW32,FALSE)</f>
        <v>5.5149135093635762</v>
      </c>
      <c r="AP32" s="161"/>
      <c r="AQ32" s="108" t="str">
        <f t="shared" si="16"/>
        <v>COST</v>
      </c>
      <c r="AR32" s="126">
        <v>2043</v>
      </c>
      <c r="AS32" s="108" t="str">
        <f t="shared" si="17"/>
        <v>IMPOILBIT*</v>
      </c>
      <c r="AT32" s="108" t="str">
        <f t="shared" si="18"/>
        <v>*OILBIT</v>
      </c>
      <c r="AU32" s="161">
        <f>VLOOKUP(AS32,Worldprices!$B$49:$AN$92,$BW32,FALSE)</f>
        <v>5.5149135093635762</v>
      </c>
      <c r="AV32" s="161"/>
      <c r="AW32" s="108" t="str">
        <f t="shared" si="19"/>
        <v>COST</v>
      </c>
      <c r="AX32" s="126">
        <v>2043</v>
      </c>
      <c r="AY32" s="108" t="str">
        <f t="shared" si="20"/>
        <v>IMPOILLUB*</v>
      </c>
      <c r="AZ32" s="108" t="str">
        <f t="shared" si="21"/>
        <v>*OILLUB</v>
      </c>
      <c r="BA32" s="161">
        <f>VLOOKUP(AY32,Worldprices!$B$49:$AN$92,$BW32,FALSE)</f>
        <v>5.5149135093635762</v>
      </c>
      <c r="BB32" s="161"/>
      <c r="BC32" s="108" t="str">
        <f t="shared" si="22"/>
        <v>COST</v>
      </c>
      <c r="BD32" s="126">
        <v>2043</v>
      </c>
      <c r="BE32" s="108" t="str">
        <f t="shared" si="23"/>
        <v>IMPGASNAT_**</v>
      </c>
      <c r="BF32" s="108" t="str">
        <f t="shared" si="24"/>
        <v>PITGASNA*</v>
      </c>
      <c r="BG32" s="161">
        <f>VLOOKUP(BE32,Worldprices!$B$49:$AN$92,$BW32,FALSE)</f>
        <v>7.2303510482960256</v>
      </c>
      <c r="BH32" s="161"/>
      <c r="BI32" s="161"/>
      <c r="BJ32" s="161"/>
      <c r="BK32" s="161"/>
      <c r="BL32" s="161"/>
      <c r="BM32" s="161"/>
      <c r="BN32" s="161"/>
      <c r="BO32" s="108" t="str">
        <f t="shared" si="25"/>
        <v>COST</v>
      </c>
      <c r="BP32" s="126">
        <v>2043</v>
      </c>
      <c r="BQ32" s="108" t="str">
        <f t="shared" si="26"/>
        <v>IMPELC*, -IMPELC_Flex*</v>
      </c>
      <c r="BR32" s="108" t="str">
        <f t="shared" ref="BR32" si="51">BR31</f>
        <v>ELCHIGG</v>
      </c>
      <c r="BS32" s="161">
        <f t="shared" si="0"/>
        <v>25.101271715310379</v>
      </c>
      <c r="BT32" s="161"/>
      <c r="BU32" s="161"/>
      <c r="BV32" s="161"/>
      <c r="BW32" s="108">
        <f t="shared" si="28"/>
        <v>31</v>
      </c>
    </row>
    <row r="33" spans="1:75" hidden="1" x14ac:dyDescent="0.25">
      <c r="A33" s="108" t="str">
        <f t="shared" si="1"/>
        <v>COST</v>
      </c>
      <c r="B33" s="126">
        <v>2044</v>
      </c>
      <c r="C33" s="108" t="str">
        <f t="shared" si="2"/>
        <v>IMPOILCRD*</v>
      </c>
      <c r="D33" s="108" t="str">
        <f t="shared" si="2"/>
        <v>*OILCRD</v>
      </c>
      <c r="E33" s="161">
        <f>VLOOKUP(C33,Worldprices!$B$49:$AN$92,$BW33,FALSE)</f>
        <v>7.4173876861662071</v>
      </c>
      <c r="F33" s="161"/>
      <c r="G33" s="108" t="str">
        <f t="shared" si="3"/>
        <v>COST</v>
      </c>
      <c r="H33" s="126">
        <v>2044</v>
      </c>
      <c r="I33" s="108" t="str">
        <f t="shared" si="4"/>
        <v>IMPOILDSL*</v>
      </c>
      <c r="J33" s="108" t="str">
        <f t="shared" si="4"/>
        <v>*OILDSL</v>
      </c>
      <c r="K33" s="161">
        <f>VLOOKUP(I33,Worldprices!$B$49:$AN$92,$BW33,FALSE)</f>
        <v>9.4102105251453114</v>
      </c>
      <c r="L33" s="161"/>
      <c r="M33" s="108" t="str">
        <f t="shared" si="5"/>
        <v>COST</v>
      </c>
      <c r="N33" s="126">
        <v>2044</v>
      </c>
      <c r="O33" s="108" t="str">
        <f t="shared" si="6"/>
        <v>IMPOILGSL*</v>
      </c>
      <c r="P33" s="108" t="str">
        <f t="shared" si="6"/>
        <v>*OILGSL</v>
      </c>
      <c r="Q33" s="161">
        <f>VLOOKUP(O33,Worldprices!$B$49:$AN$92,$BW33,FALSE)</f>
        <v>10.463038124024088</v>
      </c>
      <c r="R33" s="161"/>
      <c r="S33" s="108" t="str">
        <f t="shared" si="7"/>
        <v>COST</v>
      </c>
      <c r="T33" s="126">
        <v>2044</v>
      </c>
      <c r="U33" s="108" t="str">
        <f t="shared" si="8"/>
        <v>IMPOILLPG*</v>
      </c>
      <c r="V33" s="108" t="str">
        <f t="shared" si="8"/>
        <v>*OILLPG</v>
      </c>
      <c r="W33" s="161">
        <f>VLOOKUP(U33,Worldprices!$B$49:$AN$92,$BW33,FALSE)</f>
        <v>8.4187350237986447</v>
      </c>
      <c r="X33" s="161"/>
      <c r="Y33" s="108" t="str">
        <f t="shared" si="9"/>
        <v>COST</v>
      </c>
      <c r="Z33" s="126">
        <v>2044</v>
      </c>
      <c r="AA33" s="108" t="str">
        <f t="shared" si="10"/>
        <v>IMPOILHFO*</v>
      </c>
      <c r="AB33" s="108" t="str">
        <f t="shared" si="10"/>
        <v>*OILHFO</v>
      </c>
      <c r="AC33" s="161">
        <f>VLOOKUP(AA33,Worldprices!$B$49:$AN$92,$BW33,FALSE)</f>
        <v>5.2389009227391927</v>
      </c>
      <c r="AD33" s="161"/>
      <c r="AE33" s="108" t="str">
        <f t="shared" si="11"/>
        <v>COST</v>
      </c>
      <c r="AF33" s="126">
        <v>2044</v>
      </c>
      <c r="AG33" s="108" t="str">
        <f t="shared" si="12"/>
        <v>IMPOILKER*</v>
      </c>
      <c r="AH33" s="108" t="str">
        <f t="shared" si="12"/>
        <v>*OILKER</v>
      </c>
      <c r="AI33" s="161">
        <f>VLOOKUP(AG33,Worldprices!$B$49:$AN$92,$BW33,FALSE)</f>
        <v>10.176597192991332</v>
      </c>
      <c r="AJ33" s="161"/>
      <c r="AK33" s="108" t="str">
        <f t="shared" si="13"/>
        <v>COST</v>
      </c>
      <c r="AL33" s="126">
        <v>2044</v>
      </c>
      <c r="AM33" s="108" t="str">
        <f t="shared" si="14"/>
        <v>IMPOILPCK*</v>
      </c>
      <c r="AN33" s="108" t="str">
        <f t="shared" si="15"/>
        <v>*OILPCK</v>
      </c>
      <c r="AO33" s="161">
        <f>VLOOKUP(AM33,Worldprices!$B$49:$AN$92,$BW33,FALSE)</f>
        <v>5.2391678338953964</v>
      </c>
      <c r="AP33" s="161"/>
      <c r="AQ33" s="108" t="str">
        <f t="shared" si="16"/>
        <v>COST</v>
      </c>
      <c r="AR33" s="126">
        <v>2044</v>
      </c>
      <c r="AS33" s="108" t="str">
        <f t="shared" si="17"/>
        <v>IMPOILBIT*</v>
      </c>
      <c r="AT33" s="108" t="str">
        <f t="shared" si="18"/>
        <v>*OILBIT</v>
      </c>
      <c r="AU33" s="161">
        <f>VLOOKUP(AS33,Worldprices!$B$49:$AN$92,$BW33,FALSE)</f>
        <v>5.2391678338953964</v>
      </c>
      <c r="AV33" s="161"/>
      <c r="AW33" s="108" t="str">
        <f t="shared" si="19"/>
        <v>COST</v>
      </c>
      <c r="AX33" s="126">
        <v>2044</v>
      </c>
      <c r="AY33" s="108" t="str">
        <f t="shared" si="20"/>
        <v>IMPOILLUB*</v>
      </c>
      <c r="AZ33" s="108" t="str">
        <f t="shared" si="21"/>
        <v>*OILLUB</v>
      </c>
      <c r="BA33" s="161">
        <f>VLOOKUP(AY33,Worldprices!$B$49:$AN$92,$BW33,FALSE)</f>
        <v>5.2391678338953964</v>
      </c>
      <c r="BB33" s="161"/>
      <c r="BC33" s="108" t="str">
        <f t="shared" si="22"/>
        <v>COST</v>
      </c>
      <c r="BD33" s="126">
        <v>2044</v>
      </c>
      <c r="BE33" s="108" t="str">
        <f t="shared" si="23"/>
        <v>IMPGASNAT_**</v>
      </c>
      <c r="BF33" s="108" t="str">
        <f t="shared" si="24"/>
        <v>PITGASNA*</v>
      </c>
      <c r="BG33" s="161">
        <f>VLOOKUP(BE33,Worldprices!$B$49:$AN$92,$BW33,FALSE)</f>
        <v>7.0134405168471448</v>
      </c>
      <c r="BH33" s="161"/>
      <c r="BI33" s="161"/>
      <c r="BJ33" s="161"/>
      <c r="BK33" s="161"/>
      <c r="BL33" s="161"/>
      <c r="BM33" s="161"/>
      <c r="BN33" s="161"/>
      <c r="BO33" s="108" t="str">
        <f t="shared" si="25"/>
        <v>COST</v>
      </c>
      <c r="BP33" s="126">
        <v>2044</v>
      </c>
      <c r="BQ33" s="108" t="str">
        <f t="shared" si="26"/>
        <v>IMPELC*, -IMPELC_Flex*</v>
      </c>
      <c r="BR33" s="108" t="str">
        <f t="shared" ref="BR33" si="52">BR32</f>
        <v>ELCHIGG</v>
      </c>
      <c r="BS33" s="161">
        <f t="shared" si="0"/>
        <v>25.603297149616587</v>
      </c>
      <c r="BT33" s="161"/>
      <c r="BU33" s="161"/>
      <c r="BV33" s="161"/>
      <c r="BW33" s="108">
        <f t="shared" si="28"/>
        <v>32</v>
      </c>
    </row>
    <row r="34" spans="1:75" x14ac:dyDescent="0.25">
      <c r="A34" s="108" t="str">
        <f t="shared" si="1"/>
        <v>COST</v>
      </c>
      <c r="B34" s="126">
        <v>2045</v>
      </c>
      <c r="C34" s="108" t="str">
        <f t="shared" si="2"/>
        <v>IMPOILCRD*</v>
      </c>
      <c r="D34" s="108" t="str">
        <f t="shared" si="2"/>
        <v>*OILCRD</v>
      </c>
      <c r="E34" s="161">
        <f>VLOOKUP(C34,Worldprices!$B$49:$AN$92,$BW34,FALSE)</f>
        <v>7.0465183018578967</v>
      </c>
      <c r="F34" s="161"/>
      <c r="G34" s="108" t="str">
        <f t="shared" si="3"/>
        <v>COST</v>
      </c>
      <c r="H34" s="126">
        <v>2045</v>
      </c>
      <c r="I34" s="108" t="str">
        <f t="shared" si="4"/>
        <v>IMPOILDSL*</v>
      </c>
      <c r="J34" s="108" t="str">
        <f t="shared" si="4"/>
        <v>*OILDSL</v>
      </c>
      <c r="K34" s="161">
        <f>VLOOKUP(I34,Worldprices!$B$49:$AN$92,$BW34,FALSE)</f>
        <v>8.9396999988880452</v>
      </c>
      <c r="L34" s="161"/>
      <c r="M34" s="108" t="str">
        <f t="shared" si="5"/>
        <v>COST</v>
      </c>
      <c r="N34" s="126">
        <v>2045</v>
      </c>
      <c r="O34" s="108" t="str">
        <f t="shared" si="6"/>
        <v>IMPOILGSL*</v>
      </c>
      <c r="P34" s="108" t="str">
        <f t="shared" si="6"/>
        <v>*OILGSL</v>
      </c>
      <c r="Q34" s="161">
        <f>VLOOKUP(O34,Worldprices!$B$49:$AN$92,$BW34,FALSE)</f>
        <v>9.9398862178228846</v>
      </c>
      <c r="R34" s="161"/>
      <c r="S34" s="108" t="str">
        <f t="shared" si="7"/>
        <v>COST</v>
      </c>
      <c r="T34" s="126">
        <v>2045</v>
      </c>
      <c r="U34" s="108" t="str">
        <f t="shared" si="8"/>
        <v>IMPOILLPG*</v>
      </c>
      <c r="V34" s="108" t="str">
        <f t="shared" si="8"/>
        <v>*OILLPG</v>
      </c>
      <c r="W34" s="161">
        <f>VLOOKUP(U34,Worldprices!$B$49:$AN$92,$BW34,FALSE)</f>
        <v>7.9977982726087129</v>
      </c>
      <c r="X34" s="161"/>
      <c r="Y34" s="108" t="str">
        <f t="shared" si="9"/>
        <v>COST</v>
      </c>
      <c r="Z34" s="126">
        <v>2045</v>
      </c>
      <c r="AA34" s="108" t="str">
        <f t="shared" si="10"/>
        <v>IMPOILHFO*</v>
      </c>
      <c r="AB34" s="108" t="str">
        <f t="shared" si="10"/>
        <v>*OILHFO</v>
      </c>
      <c r="AC34" s="161">
        <f>VLOOKUP(AA34,Worldprices!$B$49:$AN$92,$BW34,FALSE)</f>
        <v>4.9769558766022328</v>
      </c>
      <c r="AD34" s="161"/>
      <c r="AE34" s="108" t="str">
        <f t="shared" si="11"/>
        <v>COST</v>
      </c>
      <c r="AF34" s="126">
        <v>2045</v>
      </c>
      <c r="AG34" s="108" t="str">
        <f t="shared" si="12"/>
        <v>IMPOILKER*</v>
      </c>
      <c r="AH34" s="108" t="str">
        <f t="shared" si="12"/>
        <v>*OILKER</v>
      </c>
      <c r="AI34" s="161">
        <f>VLOOKUP(AG34,Worldprices!$B$49:$AN$92,$BW34,FALSE)</f>
        <v>9.6677673333417662</v>
      </c>
      <c r="AJ34" s="161"/>
      <c r="AK34" s="108" t="str">
        <f t="shared" si="13"/>
        <v>COST</v>
      </c>
      <c r="AL34" s="126">
        <v>2045</v>
      </c>
      <c r="AM34" s="108" t="str">
        <f t="shared" si="14"/>
        <v>IMPOILPCK*</v>
      </c>
      <c r="AN34" s="108" t="str">
        <f t="shared" si="15"/>
        <v>*OILPCK</v>
      </c>
      <c r="AO34" s="161">
        <f>VLOOKUP(AM34,Worldprices!$B$49:$AN$92,$BW34,FALSE)</f>
        <v>4.9772094422006266</v>
      </c>
      <c r="AP34" s="161"/>
      <c r="AQ34" s="108" t="str">
        <f t="shared" si="16"/>
        <v>COST</v>
      </c>
      <c r="AR34" s="126">
        <v>2045</v>
      </c>
      <c r="AS34" s="108" t="str">
        <f t="shared" si="17"/>
        <v>IMPOILBIT*</v>
      </c>
      <c r="AT34" s="108" t="str">
        <f t="shared" si="18"/>
        <v>*OILBIT</v>
      </c>
      <c r="AU34" s="161">
        <f>VLOOKUP(AS34,Worldprices!$B$49:$AN$92,$BW34,FALSE)</f>
        <v>4.9772094422006266</v>
      </c>
      <c r="AV34" s="161"/>
      <c r="AW34" s="108" t="str">
        <f t="shared" si="19"/>
        <v>COST</v>
      </c>
      <c r="AX34" s="126">
        <v>2045</v>
      </c>
      <c r="AY34" s="108" t="str">
        <f t="shared" si="20"/>
        <v>IMPOILLUB*</v>
      </c>
      <c r="AZ34" s="108" t="str">
        <f t="shared" si="21"/>
        <v>*OILLUB</v>
      </c>
      <c r="BA34" s="161">
        <f>VLOOKUP(AY34,Worldprices!$B$49:$AN$92,$BW34,FALSE)</f>
        <v>4.9772094422006266</v>
      </c>
      <c r="BB34" s="161"/>
      <c r="BC34" s="108" t="str">
        <f t="shared" si="22"/>
        <v>COST</v>
      </c>
      <c r="BD34" s="126">
        <v>2045</v>
      </c>
      <c r="BE34" s="108" t="str">
        <f t="shared" si="23"/>
        <v>IMPGASNAT_**</v>
      </c>
      <c r="BF34" s="108" t="str">
        <f t="shared" si="24"/>
        <v>PITGASNA*</v>
      </c>
      <c r="BG34" s="161">
        <f>VLOOKUP(BE34,Worldprices!$B$49:$AN$92,$BW34,FALSE)</f>
        <v>6.80303730134173</v>
      </c>
      <c r="BH34" s="161"/>
      <c r="BI34" s="161"/>
      <c r="BJ34" s="161"/>
      <c r="BK34" s="161"/>
      <c r="BL34" s="161"/>
      <c r="BM34" s="161"/>
      <c r="BN34" s="161"/>
      <c r="BO34" s="108" t="str">
        <f t="shared" si="25"/>
        <v>COST</v>
      </c>
      <c r="BP34" s="126">
        <v>2045</v>
      </c>
      <c r="BQ34" s="108" t="str">
        <f t="shared" si="26"/>
        <v>IMPELC*, -IMPELC_Flex*</v>
      </c>
      <c r="BR34" s="108" t="str">
        <f t="shared" ref="BR34" si="53">BR33</f>
        <v>ELCHIGG</v>
      </c>
      <c r="BS34" s="161">
        <f t="shared" si="0"/>
        <v>26.11536309260892</v>
      </c>
      <c r="BT34" s="161"/>
      <c r="BU34" s="161"/>
      <c r="BV34" s="161"/>
      <c r="BW34" s="108">
        <f t="shared" si="28"/>
        <v>33</v>
      </c>
    </row>
    <row r="35" spans="1:75" hidden="1" x14ac:dyDescent="0.25">
      <c r="A35" s="108" t="str">
        <f t="shared" si="1"/>
        <v>COST</v>
      </c>
      <c r="B35" s="126">
        <v>2046</v>
      </c>
      <c r="C35" s="108" t="str">
        <f t="shared" si="2"/>
        <v>IMPOILCRD*</v>
      </c>
      <c r="D35" s="108" t="str">
        <f t="shared" si="2"/>
        <v>*OILCRD</v>
      </c>
      <c r="E35" s="161">
        <f>VLOOKUP(C35,Worldprices!$B$49:$AN$92,$BW35,FALSE)</f>
        <v>6.6941923867650015</v>
      </c>
      <c r="F35" s="161"/>
      <c r="G35" s="108" t="str">
        <f t="shared" si="3"/>
        <v>COST</v>
      </c>
      <c r="H35" s="126">
        <v>2046</v>
      </c>
      <c r="I35" s="108" t="str">
        <f t="shared" si="4"/>
        <v>IMPOILDSL*</v>
      </c>
      <c r="J35" s="108" t="str">
        <f t="shared" si="4"/>
        <v>*OILDSL</v>
      </c>
      <c r="K35" s="161">
        <f>VLOOKUP(I35,Worldprices!$B$49:$AN$92,$BW35,FALSE)</f>
        <v>8.4927149989436419</v>
      </c>
      <c r="L35" s="161"/>
      <c r="M35" s="108" t="str">
        <f t="shared" si="5"/>
        <v>COST</v>
      </c>
      <c r="N35" s="126">
        <v>2046</v>
      </c>
      <c r="O35" s="108" t="str">
        <f t="shared" si="6"/>
        <v>IMPOILGSL*</v>
      </c>
      <c r="P35" s="108" t="str">
        <f t="shared" si="6"/>
        <v>*OILGSL</v>
      </c>
      <c r="Q35" s="161">
        <f>VLOOKUP(O35,Worldprices!$B$49:$AN$92,$BW35,FALSE)</f>
        <v>9.4428919069317399</v>
      </c>
      <c r="R35" s="161"/>
      <c r="S35" s="108" t="str">
        <f t="shared" si="7"/>
        <v>COST</v>
      </c>
      <c r="T35" s="126">
        <v>2046</v>
      </c>
      <c r="U35" s="108" t="str">
        <f t="shared" si="8"/>
        <v>IMPOILLPG*</v>
      </c>
      <c r="V35" s="108" t="str">
        <f t="shared" si="8"/>
        <v>*OILLPG</v>
      </c>
      <c r="W35" s="161">
        <f>VLOOKUP(U35,Worldprices!$B$49:$AN$92,$BW35,FALSE)</f>
        <v>7.5979083589782768</v>
      </c>
      <c r="X35" s="161"/>
      <c r="Y35" s="108" t="str">
        <f t="shared" si="9"/>
        <v>COST</v>
      </c>
      <c r="Z35" s="126">
        <v>2046</v>
      </c>
      <c r="AA35" s="108" t="str">
        <f t="shared" si="10"/>
        <v>IMPOILHFO*</v>
      </c>
      <c r="AB35" s="108" t="str">
        <f t="shared" si="10"/>
        <v>*OILHFO</v>
      </c>
      <c r="AC35" s="161">
        <f>VLOOKUP(AA35,Worldprices!$B$49:$AN$92,$BW35,FALSE)</f>
        <v>4.7281080827721205</v>
      </c>
      <c r="AD35" s="161"/>
      <c r="AE35" s="108" t="str">
        <f t="shared" si="11"/>
        <v>COST</v>
      </c>
      <c r="AF35" s="126">
        <v>2046</v>
      </c>
      <c r="AG35" s="108" t="str">
        <f t="shared" si="12"/>
        <v>IMPOILKER*</v>
      </c>
      <c r="AH35" s="108" t="str">
        <f t="shared" si="12"/>
        <v>*OILKER</v>
      </c>
      <c r="AI35" s="161">
        <f>VLOOKUP(AG35,Worldprices!$B$49:$AN$92,$BW35,FALSE)</f>
        <v>9.1843789666746769</v>
      </c>
      <c r="AJ35" s="161"/>
      <c r="AK35" s="108" t="str">
        <f t="shared" si="13"/>
        <v>COST</v>
      </c>
      <c r="AL35" s="126">
        <v>2046</v>
      </c>
      <c r="AM35" s="108" t="str">
        <f t="shared" si="14"/>
        <v>IMPOILPCK*</v>
      </c>
      <c r="AN35" s="108" t="str">
        <f t="shared" si="15"/>
        <v>*OILPCK</v>
      </c>
      <c r="AO35" s="161">
        <f>VLOOKUP(AM35,Worldprices!$B$49:$AN$92,$BW35,FALSE)</f>
        <v>4.728348970090595</v>
      </c>
      <c r="AP35" s="161"/>
      <c r="AQ35" s="108" t="str">
        <f t="shared" si="16"/>
        <v>COST</v>
      </c>
      <c r="AR35" s="126">
        <v>2046</v>
      </c>
      <c r="AS35" s="108" t="str">
        <f t="shared" si="17"/>
        <v>IMPOILBIT*</v>
      </c>
      <c r="AT35" s="108" t="str">
        <f t="shared" si="18"/>
        <v>*OILBIT</v>
      </c>
      <c r="AU35" s="161">
        <f>VLOOKUP(AS35,Worldprices!$B$49:$AN$92,$BW35,FALSE)</f>
        <v>4.728348970090595</v>
      </c>
      <c r="AV35" s="161"/>
      <c r="AW35" s="108" t="str">
        <f t="shared" si="19"/>
        <v>COST</v>
      </c>
      <c r="AX35" s="126">
        <v>2046</v>
      </c>
      <c r="AY35" s="108" t="str">
        <f t="shared" si="20"/>
        <v>IMPOILLUB*</v>
      </c>
      <c r="AZ35" s="108" t="str">
        <f t="shared" si="21"/>
        <v>*OILLUB</v>
      </c>
      <c r="BA35" s="161">
        <f>VLOOKUP(AY35,Worldprices!$B$49:$AN$92,$BW35,FALSE)</f>
        <v>4.728348970090595</v>
      </c>
      <c r="BB35" s="161"/>
      <c r="BC35" s="108" t="str">
        <f t="shared" si="22"/>
        <v>COST</v>
      </c>
      <c r="BD35" s="126">
        <v>2046</v>
      </c>
      <c r="BE35" s="108" t="str">
        <f t="shared" si="23"/>
        <v>IMPGASNAT_**</v>
      </c>
      <c r="BF35" s="108" t="str">
        <f t="shared" si="24"/>
        <v>PITGASNA*</v>
      </c>
      <c r="BG35" s="161">
        <f>VLOOKUP(BE35,Worldprices!$B$49:$AN$92,$BW35,FALSE)</f>
        <v>6.5989461823014777</v>
      </c>
      <c r="BH35" s="161"/>
      <c r="BI35" s="161"/>
      <c r="BJ35" s="161"/>
      <c r="BK35" s="161"/>
      <c r="BL35" s="161"/>
      <c r="BM35" s="161"/>
      <c r="BN35" s="161"/>
      <c r="BO35" s="108" t="str">
        <f t="shared" si="25"/>
        <v>COST</v>
      </c>
      <c r="BP35" s="126">
        <v>2046</v>
      </c>
      <c r="BQ35" s="108" t="str">
        <f t="shared" si="26"/>
        <v>IMPELC*, -IMPELC_Flex*</v>
      </c>
      <c r="BR35" s="108" t="str">
        <f t="shared" ref="BR35" si="54">BR34</f>
        <v>ELCHIGG</v>
      </c>
      <c r="BS35" s="161">
        <f t="shared" si="0"/>
        <v>26.6376703544611</v>
      </c>
      <c r="BT35" s="161"/>
      <c r="BU35" s="161"/>
      <c r="BV35" s="161"/>
      <c r="BW35" s="108">
        <f t="shared" si="28"/>
        <v>34</v>
      </c>
    </row>
    <row r="36" spans="1:75" hidden="1" x14ac:dyDescent="0.25">
      <c r="A36" s="108" t="str">
        <f t="shared" si="1"/>
        <v>COST</v>
      </c>
      <c r="B36" s="126">
        <v>2047</v>
      </c>
      <c r="C36" s="108" t="str">
        <f t="shared" si="2"/>
        <v>IMPOILCRD*</v>
      </c>
      <c r="D36" s="108" t="str">
        <f t="shared" si="2"/>
        <v>*OILCRD</v>
      </c>
      <c r="E36" s="161">
        <f>VLOOKUP(C36,Worldprices!$B$49:$AN$92,$BW36,FALSE)</f>
        <v>6.3594827674267513</v>
      </c>
      <c r="F36" s="161"/>
      <c r="G36" s="108" t="str">
        <f t="shared" si="3"/>
        <v>COST</v>
      </c>
      <c r="H36" s="126">
        <v>2047</v>
      </c>
      <c r="I36" s="108" t="str">
        <f t="shared" si="4"/>
        <v>IMPOILDSL*</v>
      </c>
      <c r="J36" s="108" t="str">
        <f t="shared" si="4"/>
        <v>*OILDSL</v>
      </c>
      <c r="K36" s="161">
        <f>VLOOKUP(I36,Worldprices!$B$49:$AN$92,$BW36,FALSE)</f>
        <v>8.0680792489964599</v>
      </c>
      <c r="L36" s="161"/>
      <c r="M36" s="108" t="str">
        <f t="shared" si="5"/>
        <v>COST</v>
      </c>
      <c r="N36" s="126">
        <v>2047</v>
      </c>
      <c r="O36" s="108" t="str">
        <f t="shared" si="6"/>
        <v>IMPOILGSL*</v>
      </c>
      <c r="P36" s="108" t="str">
        <f t="shared" si="6"/>
        <v>*OILGSL</v>
      </c>
      <c r="Q36" s="161">
        <f>VLOOKUP(O36,Worldprices!$B$49:$AN$92,$BW36,FALSE)</f>
        <v>8.9707473115851517</v>
      </c>
      <c r="R36" s="161"/>
      <c r="S36" s="108" t="str">
        <f t="shared" si="7"/>
        <v>COST</v>
      </c>
      <c r="T36" s="126">
        <v>2047</v>
      </c>
      <c r="U36" s="108" t="str">
        <f t="shared" si="8"/>
        <v>IMPOILLPG*</v>
      </c>
      <c r="V36" s="108" t="str">
        <f t="shared" si="8"/>
        <v>*OILLPG</v>
      </c>
      <c r="W36" s="161">
        <f>VLOOKUP(U36,Worldprices!$B$49:$AN$92,$BW36,FALSE)</f>
        <v>7.2180129410293628</v>
      </c>
      <c r="X36" s="161"/>
      <c r="Y36" s="108" t="str">
        <f t="shared" si="9"/>
        <v>COST</v>
      </c>
      <c r="Z36" s="126">
        <v>2047</v>
      </c>
      <c r="AA36" s="108" t="str">
        <f t="shared" si="10"/>
        <v>IMPOILHFO*</v>
      </c>
      <c r="AB36" s="108" t="str">
        <f t="shared" si="10"/>
        <v>*OILHFO</v>
      </c>
      <c r="AC36" s="161">
        <f>VLOOKUP(AA36,Worldprices!$B$49:$AN$92,$BW36,FALSE)</f>
        <v>4.4917026786335148</v>
      </c>
      <c r="AD36" s="161"/>
      <c r="AE36" s="108" t="str">
        <f t="shared" si="11"/>
        <v>COST</v>
      </c>
      <c r="AF36" s="126">
        <v>2047</v>
      </c>
      <c r="AG36" s="108" t="str">
        <f t="shared" si="12"/>
        <v>IMPOILKER*</v>
      </c>
      <c r="AH36" s="108" t="str">
        <f t="shared" si="12"/>
        <v>*OILKER</v>
      </c>
      <c r="AI36" s="161">
        <f>VLOOKUP(AG36,Worldprices!$B$49:$AN$92,$BW36,FALSE)</f>
        <v>8.7251600183409419</v>
      </c>
      <c r="AJ36" s="161"/>
      <c r="AK36" s="108" t="str">
        <f t="shared" si="13"/>
        <v>COST</v>
      </c>
      <c r="AL36" s="126">
        <v>2047</v>
      </c>
      <c r="AM36" s="108" t="str">
        <f t="shared" si="14"/>
        <v>IMPOILPCK*</v>
      </c>
      <c r="AN36" s="108" t="str">
        <f t="shared" si="15"/>
        <v>*OILPCK</v>
      </c>
      <c r="AO36" s="161">
        <f>VLOOKUP(AM36,Worldprices!$B$49:$AN$92,$BW36,FALSE)</f>
        <v>4.4919315215860651</v>
      </c>
      <c r="AP36" s="161"/>
      <c r="AQ36" s="108" t="str">
        <f t="shared" si="16"/>
        <v>COST</v>
      </c>
      <c r="AR36" s="126">
        <v>2047</v>
      </c>
      <c r="AS36" s="108" t="str">
        <f t="shared" si="17"/>
        <v>IMPOILBIT*</v>
      </c>
      <c r="AT36" s="108" t="str">
        <f t="shared" si="18"/>
        <v>*OILBIT</v>
      </c>
      <c r="AU36" s="161">
        <f>VLOOKUP(AS36,Worldprices!$B$49:$AN$92,$BW36,FALSE)</f>
        <v>4.4919315215860651</v>
      </c>
      <c r="AV36" s="161"/>
      <c r="AW36" s="108" t="str">
        <f t="shared" si="19"/>
        <v>COST</v>
      </c>
      <c r="AX36" s="126">
        <v>2047</v>
      </c>
      <c r="AY36" s="108" t="str">
        <f t="shared" si="20"/>
        <v>IMPOILLUB*</v>
      </c>
      <c r="AZ36" s="108" t="str">
        <f t="shared" si="21"/>
        <v>*OILLUB</v>
      </c>
      <c r="BA36" s="161">
        <f>VLOOKUP(AY36,Worldprices!$B$49:$AN$92,$BW36,FALSE)</f>
        <v>4.4919315215860651</v>
      </c>
      <c r="BB36" s="161"/>
      <c r="BC36" s="108" t="str">
        <f t="shared" si="22"/>
        <v>COST</v>
      </c>
      <c r="BD36" s="126">
        <v>2047</v>
      </c>
      <c r="BE36" s="108" t="str">
        <f t="shared" si="23"/>
        <v>IMPGASNAT_**</v>
      </c>
      <c r="BF36" s="108" t="str">
        <f t="shared" si="24"/>
        <v>PITGASNA*</v>
      </c>
      <c r="BG36" s="161">
        <f>VLOOKUP(BE36,Worldprices!$B$49:$AN$92,$BW36,FALSE)</f>
        <v>6.4009777968324331</v>
      </c>
      <c r="BH36" s="161"/>
      <c r="BI36" s="161"/>
      <c r="BJ36" s="161"/>
      <c r="BK36" s="161"/>
      <c r="BL36" s="161"/>
      <c r="BM36" s="161"/>
      <c r="BN36" s="161"/>
      <c r="BO36" s="108" t="str">
        <f t="shared" si="25"/>
        <v>COST</v>
      </c>
      <c r="BP36" s="126">
        <v>2047</v>
      </c>
      <c r="BQ36" s="108" t="str">
        <f t="shared" si="26"/>
        <v>IMPELC*, -IMPELC_Flex*</v>
      </c>
      <c r="BR36" s="108" t="str">
        <f t="shared" ref="BR36" si="55">BR35</f>
        <v>ELCHIGG</v>
      </c>
      <c r="BS36" s="161">
        <f t="shared" si="0"/>
        <v>27.170423761550325</v>
      </c>
      <c r="BT36" s="161"/>
      <c r="BU36" s="161"/>
      <c r="BV36" s="161"/>
      <c r="BW36" s="108">
        <f t="shared" si="28"/>
        <v>35</v>
      </c>
    </row>
    <row r="37" spans="1:75" hidden="1" x14ac:dyDescent="0.25">
      <c r="A37" s="108" t="str">
        <f t="shared" si="1"/>
        <v>COST</v>
      </c>
      <c r="B37" s="126">
        <v>2048</v>
      </c>
      <c r="C37" s="108" t="str">
        <f t="shared" si="2"/>
        <v>IMPOILCRD*</v>
      </c>
      <c r="D37" s="108" t="str">
        <f t="shared" si="2"/>
        <v>*OILCRD</v>
      </c>
      <c r="E37" s="161">
        <f>VLOOKUP(C37,Worldprices!$B$49:$AN$92,$BW37,FALSE)</f>
        <v>6.0415086290554134</v>
      </c>
      <c r="F37" s="161"/>
      <c r="G37" s="108" t="str">
        <f t="shared" si="3"/>
        <v>COST</v>
      </c>
      <c r="H37" s="126">
        <v>2048</v>
      </c>
      <c r="I37" s="108" t="str">
        <f t="shared" si="4"/>
        <v>IMPOILDSL*</v>
      </c>
      <c r="J37" s="108" t="str">
        <f t="shared" si="4"/>
        <v>*OILDSL</v>
      </c>
      <c r="K37" s="161">
        <f>VLOOKUP(I37,Worldprices!$B$49:$AN$92,$BW37,FALSE)</f>
        <v>7.664675286546637</v>
      </c>
      <c r="L37" s="161"/>
      <c r="M37" s="108" t="str">
        <f t="shared" si="5"/>
        <v>COST</v>
      </c>
      <c r="N37" s="126">
        <v>2048</v>
      </c>
      <c r="O37" s="108" t="str">
        <f t="shared" si="6"/>
        <v>IMPOILGSL*</v>
      </c>
      <c r="P37" s="108" t="str">
        <f t="shared" si="6"/>
        <v>*OILGSL</v>
      </c>
      <c r="Q37" s="161">
        <f>VLOOKUP(O37,Worldprices!$B$49:$AN$92,$BW37,FALSE)</f>
        <v>8.5222099460058942</v>
      </c>
      <c r="R37" s="161"/>
      <c r="S37" s="108" t="str">
        <f t="shared" si="7"/>
        <v>COST</v>
      </c>
      <c r="T37" s="126">
        <v>2048</v>
      </c>
      <c r="U37" s="108" t="str">
        <f t="shared" si="8"/>
        <v>IMPOILLPG*</v>
      </c>
      <c r="V37" s="108" t="str">
        <f t="shared" si="8"/>
        <v>*OILLPG</v>
      </c>
      <c r="W37" s="161">
        <f>VLOOKUP(U37,Worldprices!$B$49:$AN$92,$BW37,FALSE)</f>
        <v>6.8571122939778943</v>
      </c>
      <c r="X37" s="161"/>
      <c r="Y37" s="108" t="str">
        <f t="shared" si="9"/>
        <v>COST</v>
      </c>
      <c r="Z37" s="126">
        <v>2048</v>
      </c>
      <c r="AA37" s="108" t="str">
        <f t="shared" si="10"/>
        <v>IMPOILHFO*</v>
      </c>
      <c r="AB37" s="108" t="str">
        <f t="shared" si="10"/>
        <v>*OILHFO</v>
      </c>
      <c r="AC37" s="161">
        <f>VLOOKUP(AA37,Worldprices!$B$49:$AN$92,$BW37,FALSE)</f>
        <v>4.267117544701839</v>
      </c>
      <c r="AD37" s="161"/>
      <c r="AE37" s="108" t="str">
        <f t="shared" si="11"/>
        <v>COST</v>
      </c>
      <c r="AF37" s="126">
        <v>2048</v>
      </c>
      <c r="AG37" s="108" t="str">
        <f t="shared" si="12"/>
        <v>IMPOILKER*</v>
      </c>
      <c r="AH37" s="108" t="str">
        <f t="shared" si="12"/>
        <v>*OILKER</v>
      </c>
      <c r="AI37" s="161">
        <f>VLOOKUP(AG37,Worldprices!$B$49:$AN$92,$BW37,FALSE)</f>
        <v>8.2889020174238954</v>
      </c>
      <c r="AJ37" s="161"/>
      <c r="AK37" s="108" t="str">
        <f t="shared" si="13"/>
        <v>COST</v>
      </c>
      <c r="AL37" s="126">
        <v>2048</v>
      </c>
      <c r="AM37" s="108" t="str">
        <f t="shared" si="14"/>
        <v>IMPOILPCK*</v>
      </c>
      <c r="AN37" s="108" t="str">
        <f t="shared" si="15"/>
        <v>*OILPCK</v>
      </c>
      <c r="AO37" s="161">
        <f>VLOOKUP(AM37,Worldprices!$B$49:$AN$92,$BW37,FALSE)</f>
        <v>4.2673349455067617</v>
      </c>
      <c r="AP37" s="161"/>
      <c r="AQ37" s="108" t="str">
        <f t="shared" si="16"/>
        <v>COST</v>
      </c>
      <c r="AR37" s="126">
        <v>2048</v>
      </c>
      <c r="AS37" s="108" t="str">
        <f t="shared" si="17"/>
        <v>IMPOILBIT*</v>
      </c>
      <c r="AT37" s="108" t="str">
        <f t="shared" si="18"/>
        <v>*OILBIT</v>
      </c>
      <c r="AU37" s="161">
        <f>VLOOKUP(AS37,Worldprices!$B$49:$AN$92,$BW37,FALSE)</f>
        <v>4.2673349455067617</v>
      </c>
      <c r="AV37" s="161"/>
      <c r="AW37" s="108" t="str">
        <f t="shared" si="19"/>
        <v>COST</v>
      </c>
      <c r="AX37" s="126">
        <v>2048</v>
      </c>
      <c r="AY37" s="108" t="str">
        <f t="shared" si="20"/>
        <v>IMPOILLUB*</v>
      </c>
      <c r="AZ37" s="108" t="str">
        <f t="shared" si="21"/>
        <v>*OILLUB</v>
      </c>
      <c r="BA37" s="161">
        <f>VLOOKUP(AY37,Worldprices!$B$49:$AN$92,$BW37,FALSE)</f>
        <v>4.2673349455067617</v>
      </c>
      <c r="BB37" s="161"/>
      <c r="BC37" s="108" t="str">
        <f t="shared" si="22"/>
        <v>COST</v>
      </c>
      <c r="BD37" s="126">
        <v>2048</v>
      </c>
      <c r="BE37" s="108" t="str">
        <f t="shared" si="23"/>
        <v>IMPGASNAT_**</v>
      </c>
      <c r="BF37" s="108" t="str">
        <f t="shared" si="24"/>
        <v>PITGASNA*</v>
      </c>
      <c r="BG37" s="161">
        <f>VLOOKUP(BE37,Worldprices!$B$49:$AN$92,$BW37,FALSE)</f>
        <v>6.2089484629274603</v>
      </c>
      <c r="BH37" s="161"/>
      <c r="BI37" s="161"/>
      <c r="BJ37" s="161"/>
      <c r="BK37" s="161"/>
      <c r="BL37" s="161"/>
      <c r="BM37" s="161"/>
      <c r="BN37" s="161"/>
      <c r="BO37" s="108" t="str">
        <f t="shared" si="25"/>
        <v>COST</v>
      </c>
      <c r="BP37" s="126">
        <v>2048</v>
      </c>
      <c r="BQ37" s="108" t="str">
        <f t="shared" si="26"/>
        <v>IMPELC*, -IMPELC_Flex*</v>
      </c>
      <c r="BR37" s="108" t="str">
        <f t="shared" ref="BR37" si="56">BR36</f>
        <v>ELCHIGG</v>
      </c>
      <c r="BS37" s="161">
        <f t="shared" si="0"/>
        <v>27.713832236781332</v>
      </c>
      <c r="BT37" s="161"/>
      <c r="BU37" s="161"/>
      <c r="BV37" s="161"/>
      <c r="BW37" s="108">
        <f t="shared" si="28"/>
        <v>36</v>
      </c>
    </row>
    <row r="38" spans="1:75" hidden="1" x14ac:dyDescent="0.25">
      <c r="A38" s="108" t="str">
        <f t="shared" si="1"/>
        <v>COST</v>
      </c>
      <c r="B38" s="126">
        <v>2049</v>
      </c>
      <c r="C38" s="108" t="str">
        <f t="shared" si="2"/>
        <v>IMPOILCRD*</v>
      </c>
      <c r="D38" s="108" t="str">
        <f t="shared" si="2"/>
        <v>*OILCRD</v>
      </c>
      <c r="E38" s="161">
        <f>VLOOKUP(C38,Worldprices!$B$49:$AN$92,$BW38,FALSE)</f>
        <v>5.7394331976026427</v>
      </c>
      <c r="F38" s="161"/>
      <c r="G38" s="108" t="str">
        <f t="shared" si="3"/>
        <v>COST</v>
      </c>
      <c r="H38" s="126">
        <v>2049</v>
      </c>
      <c r="I38" s="108" t="str">
        <f t="shared" si="4"/>
        <v>IMPOILDSL*</v>
      </c>
      <c r="J38" s="108" t="str">
        <f t="shared" si="4"/>
        <v>*OILDSL</v>
      </c>
      <c r="K38" s="161">
        <f>VLOOKUP(I38,Worldprices!$B$49:$AN$92,$BW38,FALSE)</f>
        <v>7.2814415222193052</v>
      </c>
      <c r="L38" s="161"/>
      <c r="M38" s="108" t="str">
        <f t="shared" si="5"/>
        <v>COST</v>
      </c>
      <c r="N38" s="126">
        <v>2049</v>
      </c>
      <c r="O38" s="108" t="str">
        <f t="shared" si="6"/>
        <v>IMPOILGSL*</v>
      </c>
      <c r="P38" s="108" t="str">
        <f t="shared" si="6"/>
        <v>*OILGSL</v>
      </c>
      <c r="Q38" s="161">
        <f>VLOOKUP(O38,Worldprices!$B$49:$AN$92,$BW38,FALSE)</f>
        <v>8.0960994487055995</v>
      </c>
      <c r="R38" s="161"/>
      <c r="S38" s="108" t="str">
        <f t="shared" si="7"/>
        <v>COST</v>
      </c>
      <c r="T38" s="126">
        <v>2049</v>
      </c>
      <c r="U38" s="108" t="str">
        <f t="shared" si="8"/>
        <v>IMPOILLPG*</v>
      </c>
      <c r="V38" s="108" t="str">
        <f t="shared" si="8"/>
        <v>*OILLPG</v>
      </c>
      <c r="W38" s="161">
        <f>VLOOKUP(U38,Worldprices!$B$49:$AN$92,$BW38,FALSE)</f>
        <v>6.5142566792789998</v>
      </c>
      <c r="X38" s="161"/>
      <c r="Y38" s="108" t="str">
        <f t="shared" si="9"/>
        <v>COST</v>
      </c>
      <c r="Z38" s="126">
        <v>2049</v>
      </c>
      <c r="AA38" s="108" t="str">
        <f t="shared" si="10"/>
        <v>IMPOILHFO*</v>
      </c>
      <c r="AB38" s="108" t="str">
        <f t="shared" si="10"/>
        <v>*OILHFO</v>
      </c>
      <c r="AC38" s="161">
        <f>VLOOKUP(AA38,Worldprices!$B$49:$AN$92,$BW38,FALSE)</f>
        <v>4.0537616674667465</v>
      </c>
      <c r="AD38" s="161"/>
      <c r="AE38" s="108" t="str">
        <f t="shared" si="11"/>
        <v>COST</v>
      </c>
      <c r="AF38" s="126">
        <v>2049</v>
      </c>
      <c r="AG38" s="108" t="str">
        <f t="shared" si="12"/>
        <v>IMPOILKER*</v>
      </c>
      <c r="AH38" s="108" t="str">
        <f t="shared" si="12"/>
        <v>*OILKER</v>
      </c>
      <c r="AI38" s="161">
        <f>VLOOKUP(AG38,Worldprices!$B$49:$AN$92,$BW38,FALSE)</f>
        <v>7.8744569165526999</v>
      </c>
      <c r="AJ38" s="161"/>
      <c r="AK38" s="108" t="str">
        <f t="shared" si="13"/>
        <v>COST</v>
      </c>
      <c r="AL38" s="126">
        <v>2049</v>
      </c>
      <c r="AM38" s="108" t="str">
        <f t="shared" si="14"/>
        <v>IMPOILPCK*</v>
      </c>
      <c r="AN38" s="108" t="str">
        <f t="shared" si="15"/>
        <v>*OILPCK</v>
      </c>
      <c r="AO38" s="161">
        <f>VLOOKUP(AM38,Worldprices!$B$49:$AN$92,$BW38,FALSE)</f>
        <v>4.0539681982314235</v>
      </c>
      <c r="AP38" s="161"/>
      <c r="AQ38" s="108" t="str">
        <f t="shared" si="16"/>
        <v>COST</v>
      </c>
      <c r="AR38" s="126">
        <v>2049</v>
      </c>
      <c r="AS38" s="108" t="str">
        <f t="shared" si="17"/>
        <v>IMPOILBIT*</v>
      </c>
      <c r="AT38" s="108" t="str">
        <f t="shared" si="18"/>
        <v>*OILBIT</v>
      </c>
      <c r="AU38" s="161">
        <f>VLOOKUP(AS38,Worldprices!$B$49:$AN$92,$BW38,FALSE)</f>
        <v>4.0539681982314235</v>
      </c>
      <c r="AV38" s="161"/>
      <c r="AW38" s="108" t="str">
        <f t="shared" si="19"/>
        <v>COST</v>
      </c>
      <c r="AX38" s="126">
        <v>2049</v>
      </c>
      <c r="AY38" s="108" t="str">
        <f t="shared" si="20"/>
        <v>IMPOILLUB*</v>
      </c>
      <c r="AZ38" s="108" t="str">
        <f t="shared" si="21"/>
        <v>*OILLUB</v>
      </c>
      <c r="BA38" s="161">
        <f>VLOOKUP(AY38,Worldprices!$B$49:$AN$92,$BW38,FALSE)</f>
        <v>4.0539681982314235</v>
      </c>
      <c r="BB38" s="161"/>
      <c r="BC38" s="108" t="str">
        <f t="shared" si="22"/>
        <v>COST</v>
      </c>
      <c r="BD38" s="126">
        <v>2049</v>
      </c>
      <c r="BE38" s="108" t="str">
        <f t="shared" si="23"/>
        <v>IMPGASNAT_**</v>
      </c>
      <c r="BF38" s="108" t="str">
        <f t="shared" si="24"/>
        <v>PITGASNA*</v>
      </c>
      <c r="BG38" s="161">
        <f>VLOOKUP(BE38,Worldprices!$B$49:$AN$92,$BW38,FALSE)</f>
        <v>6.022680009039636</v>
      </c>
      <c r="BH38" s="161"/>
      <c r="BI38" s="161"/>
      <c r="BJ38" s="161"/>
      <c r="BK38" s="161"/>
      <c r="BL38" s="161"/>
      <c r="BM38" s="161"/>
      <c r="BN38" s="161"/>
      <c r="BO38" s="108" t="str">
        <f t="shared" si="25"/>
        <v>COST</v>
      </c>
      <c r="BP38" s="126">
        <v>2049</v>
      </c>
      <c r="BQ38" s="108" t="str">
        <f t="shared" si="26"/>
        <v>IMPELC*, -IMPELC_Flex*</v>
      </c>
      <c r="BR38" s="108" t="str">
        <f t="shared" ref="BR38" si="57">BR37</f>
        <v>ELCHIGG</v>
      </c>
      <c r="BS38" s="161">
        <f t="shared" si="0"/>
        <v>28.268108881516959</v>
      </c>
      <c r="BT38" s="161"/>
      <c r="BU38" s="161"/>
      <c r="BV38" s="161"/>
      <c r="BW38" s="108">
        <f t="shared" si="28"/>
        <v>37</v>
      </c>
    </row>
    <row r="39" spans="1:75" x14ac:dyDescent="0.25">
      <c r="A39" s="108" t="str">
        <f t="shared" si="1"/>
        <v>COST</v>
      </c>
      <c r="B39" s="126">
        <v>2050</v>
      </c>
      <c r="C39" s="108" t="str">
        <f t="shared" si="2"/>
        <v>IMPOILCRD*</v>
      </c>
      <c r="D39" s="108" t="str">
        <f t="shared" si="2"/>
        <v>*OILCRD</v>
      </c>
      <c r="E39" s="161">
        <f>VLOOKUP(C39,Worldprices!$B$49:$AN$92,$BW39,FALSE)</f>
        <v>5.4524615377225105</v>
      </c>
      <c r="F39" s="161"/>
      <c r="G39" s="108" t="str">
        <f t="shared" si="3"/>
        <v>COST</v>
      </c>
      <c r="H39" s="126">
        <v>2050</v>
      </c>
      <c r="I39" s="108" t="str">
        <f t="shared" si="4"/>
        <v>IMPOILDSL*</v>
      </c>
      <c r="J39" s="108" t="str">
        <f t="shared" si="4"/>
        <v>*OILDSL</v>
      </c>
      <c r="K39" s="161">
        <f>VLOOKUP(I39,Worldprices!$B$49:$AN$92,$BW39,FALSE)</f>
        <v>6.9173694461083395</v>
      </c>
      <c r="L39" s="161"/>
      <c r="M39" s="108" t="str">
        <f t="shared" si="5"/>
        <v>COST</v>
      </c>
      <c r="N39" s="126">
        <v>2050</v>
      </c>
      <c r="O39" s="108" t="str">
        <f t="shared" si="6"/>
        <v>IMPOILGSL*</v>
      </c>
      <c r="P39" s="108" t="str">
        <f t="shared" si="6"/>
        <v>*OILGSL</v>
      </c>
      <c r="Q39" s="161">
        <f>VLOOKUP(O39,Worldprices!$B$49:$AN$92,$BW39,FALSE)</f>
        <v>7.6912944762703193</v>
      </c>
      <c r="R39" s="161"/>
      <c r="S39" s="108" t="str">
        <f t="shared" si="7"/>
        <v>COST</v>
      </c>
      <c r="T39" s="126">
        <v>2050</v>
      </c>
      <c r="U39" s="108" t="str">
        <f t="shared" si="8"/>
        <v>IMPOILLPG*</v>
      </c>
      <c r="V39" s="108" t="str">
        <f t="shared" si="8"/>
        <v>*OILLPG</v>
      </c>
      <c r="W39" s="161">
        <f>VLOOKUP(U39,Worldprices!$B$49:$AN$92,$BW39,FALSE)</f>
        <v>6.1885438453150492</v>
      </c>
      <c r="X39" s="161"/>
      <c r="Y39" s="108" t="str">
        <f t="shared" si="9"/>
        <v>COST</v>
      </c>
      <c r="Z39" s="126">
        <v>2050</v>
      </c>
      <c r="AA39" s="108" t="str">
        <f t="shared" si="10"/>
        <v>IMPOILHFO*</v>
      </c>
      <c r="AB39" s="108" t="str">
        <f t="shared" si="10"/>
        <v>*OILHFO</v>
      </c>
      <c r="AC39" s="161">
        <f>VLOOKUP(AA39,Worldprices!$B$49:$AN$92,$BW39,FALSE)</f>
        <v>3.8510735840934096</v>
      </c>
      <c r="AD39" s="161"/>
      <c r="AE39" s="108" t="str">
        <f t="shared" si="11"/>
        <v>COST</v>
      </c>
      <c r="AF39" s="126">
        <v>2050</v>
      </c>
      <c r="AG39" s="108" t="str">
        <f t="shared" si="12"/>
        <v>IMPOILKER*</v>
      </c>
      <c r="AH39" s="108" t="str">
        <f t="shared" si="12"/>
        <v>*OILKER</v>
      </c>
      <c r="AI39" s="161">
        <f>VLOOKUP(AG39,Worldprices!$B$49:$AN$92,$BW39,FALSE)</f>
        <v>7.4807340707250649</v>
      </c>
      <c r="AJ39" s="161"/>
      <c r="AK39" s="108" t="str">
        <f t="shared" si="13"/>
        <v>COST</v>
      </c>
      <c r="AL39" s="126">
        <v>2050</v>
      </c>
      <c r="AM39" s="108" t="str">
        <f t="shared" si="14"/>
        <v>IMPOILPCK*</v>
      </c>
      <c r="AN39" s="108" t="str">
        <f t="shared" si="15"/>
        <v>*OILPCK</v>
      </c>
      <c r="AO39" s="161">
        <f>VLOOKUP(AM39,Worldprices!$B$49:$AN$92,$BW39,FALSE)</f>
        <v>3.8512697883198528</v>
      </c>
      <c r="AP39" s="161"/>
      <c r="AQ39" s="108" t="str">
        <f t="shared" si="16"/>
        <v>COST</v>
      </c>
      <c r="AR39" s="126">
        <v>2050</v>
      </c>
      <c r="AS39" s="108" t="str">
        <f t="shared" si="17"/>
        <v>IMPOILBIT*</v>
      </c>
      <c r="AT39" s="108" t="str">
        <f t="shared" si="18"/>
        <v>*OILBIT</v>
      </c>
      <c r="AU39" s="161">
        <f>VLOOKUP(AS39,Worldprices!$B$49:$AN$92,$BW39,FALSE)</f>
        <v>3.8512697883198528</v>
      </c>
      <c r="AV39" s="161"/>
      <c r="AW39" s="108" t="str">
        <f t="shared" si="19"/>
        <v>COST</v>
      </c>
      <c r="AX39" s="126">
        <v>2050</v>
      </c>
      <c r="AY39" s="108" t="str">
        <f t="shared" si="20"/>
        <v>IMPOILLUB*</v>
      </c>
      <c r="AZ39" s="108" t="str">
        <f t="shared" si="21"/>
        <v>*OILLUB</v>
      </c>
      <c r="BA39" s="161">
        <f>VLOOKUP(AY39,Worldprices!$B$49:$AN$92,$BW39,FALSE)</f>
        <v>3.8512697883198528</v>
      </c>
      <c r="BB39" s="161"/>
      <c r="BC39" s="108" t="str">
        <f t="shared" si="22"/>
        <v>COST</v>
      </c>
      <c r="BD39" s="126">
        <v>2050</v>
      </c>
      <c r="BE39" s="108" t="str">
        <f t="shared" si="23"/>
        <v>IMPGASNAT_**</v>
      </c>
      <c r="BF39" s="108" t="str">
        <f t="shared" si="24"/>
        <v>PITGASNA*</v>
      </c>
      <c r="BG39" s="161">
        <f>VLOOKUP(BE39,Worldprices!$B$49:$AN$92,$BW39,FALSE)</f>
        <v>5.8419996087684467</v>
      </c>
      <c r="BH39" s="161"/>
      <c r="BI39" s="161"/>
      <c r="BJ39" s="161"/>
      <c r="BK39" s="161"/>
      <c r="BL39" s="161"/>
      <c r="BM39" s="161"/>
      <c r="BN39" s="161"/>
      <c r="BO39" s="108" t="str">
        <f t="shared" si="25"/>
        <v>COST</v>
      </c>
      <c r="BP39" s="126">
        <v>2050</v>
      </c>
      <c r="BQ39" s="108" t="str">
        <f t="shared" si="26"/>
        <v>IMPELC*, -IMPELC_Flex*</v>
      </c>
      <c r="BR39" s="108" t="str">
        <f t="shared" ref="BR39" si="58">BR38</f>
        <v>ELCHIGG</v>
      </c>
      <c r="BS39" s="161">
        <f t="shared" si="0"/>
        <v>28.8334710591473</v>
      </c>
      <c r="BT39" s="161"/>
      <c r="BU39" s="161"/>
      <c r="BV39" s="161"/>
      <c r="BW39" s="108">
        <f t="shared" si="28"/>
        <v>38</v>
      </c>
    </row>
    <row r="43" spans="1:75" ht="17.399999999999999" x14ac:dyDescent="0.3">
      <c r="A43" s="111" t="s">
        <v>154</v>
      </c>
      <c r="B43" s="111"/>
      <c r="C43" s="111"/>
      <c r="D43" s="111"/>
      <c r="H43" s="116"/>
    </row>
    <row r="45" spans="1:75" x14ac:dyDescent="0.25">
      <c r="B45" s="108"/>
      <c r="E45" s="109"/>
    </row>
    <row r="46" spans="1:75" x14ac:dyDescent="0.25">
      <c r="A46" s="109" t="s">
        <v>47</v>
      </c>
      <c r="B46" s="108"/>
      <c r="C46" s="125"/>
      <c r="F46" s="108"/>
      <c r="G46" s="109" t="s">
        <v>47</v>
      </c>
      <c r="H46" s="108"/>
      <c r="I46" s="125"/>
      <c r="J46" s="108"/>
      <c r="K46" s="108"/>
      <c r="L46" s="108"/>
      <c r="M46" s="109" t="s">
        <v>260</v>
      </c>
      <c r="N46" s="108"/>
      <c r="O46" s="125"/>
      <c r="P46" s="108"/>
      <c r="Q46" s="108"/>
      <c r="R46" s="108"/>
      <c r="S46" s="109" t="s">
        <v>47</v>
      </c>
      <c r="T46" s="108"/>
      <c r="U46" s="125"/>
      <c r="V46" s="108"/>
      <c r="W46" s="108"/>
      <c r="X46" s="108"/>
      <c r="Y46" s="109" t="s">
        <v>47</v>
      </c>
      <c r="Z46" s="108"/>
      <c r="AA46" s="125"/>
      <c r="AB46" s="108"/>
      <c r="AC46" s="108"/>
      <c r="AD46" s="108"/>
      <c r="AE46" s="109" t="s">
        <v>47</v>
      </c>
      <c r="AF46" s="108"/>
      <c r="AG46" s="125"/>
      <c r="AH46" s="108"/>
      <c r="AI46" s="108"/>
      <c r="AJ46" s="108"/>
      <c r="AK46" s="109" t="s">
        <v>47</v>
      </c>
      <c r="AL46" s="108"/>
      <c r="AM46" s="125"/>
      <c r="AN46" s="108"/>
      <c r="AO46" s="108"/>
      <c r="AP46" s="108"/>
      <c r="AQ46" s="109" t="s">
        <v>47</v>
      </c>
      <c r="AR46" s="108"/>
      <c r="AS46" s="125"/>
      <c r="AT46" s="108"/>
      <c r="AU46" s="108"/>
      <c r="AV46" s="108"/>
      <c r="AW46" s="109" t="s">
        <v>47</v>
      </c>
      <c r="AX46" s="108"/>
      <c r="AY46" s="125"/>
      <c r="AZ46" s="108"/>
      <c r="BA46" s="108"/>
      <c r="BB46" s="108"/>
      <c r="BC46" s="109" t="s">
        <v>47</v>
      </c>
      <c r="BD46" s="108"/>
      <c r="BE46" s="125"/>
      <c r="BF46" s="108"/>
      <c r="BG46" s="108"/>
      <c r="BH46" s="108"/>
      <c r="BI46" s="109" t="s">
        <v>47</v>
      </c>
      <c r="BJ46" s="108"/>
      <c r="BK46" s="125"/>
      <c r="BL46" s="108"/>
      <c r="BM46" s="108"/>
      <c r="BN46" s="108"/>
      <c r="BO46" s="109" t="s">
        <v>47</v>
      </c>
      <c r="BP46" s="108"/>
      <c r="BQ46" s="125"/>
      <c r="BR46" s="108"/>
      <c r="BS46" s="108"/>
      <c r="BT46" s="108"/>
      <c r="BU46" s="108"/>
      <c r="BV46" s="108"/>
    </row>
    <row r="47" spans="1:75" ht="13.8" x14ac:dyDescent="0.25">
      <c r="A47" s="157" t="s">
        <v>40</v>
      </c>
      <c r="B47" s="157" t="s">
        <v>41</v>
      </c>
      <c r="C47" s="158" t="s">
        <v>42</v>
      </c>
      <c r="D47" s="157" t="s">
        <v>43</v>
      </c>
      <c r="E47" s="157" t="s">
        <v>149</v>
      </c>
      <c r="F47" s="159"/>
      <c r="G47" s="157" t="s">
        <v>40</v>
      </c>
      <c r="H47" s="157" t="s">
        <v>41</v>
      </c>
      <c r="I47" s="158" t="s">
        <v>42</v>
      </c>
      <c r="J47" s="157" t="s">
        <v>43</v>
      </c>
      <c r="K47" s="157" t="str">
        <f>E47</f>
        <v>AllRegions</v>
      </c>
      <c r="L47" s="159"/>
      <c r="M47" s="157" t="s">
        <v>40</v>
      </c>
      <c r="N47" s="157" t="s">
        <v>41</v>
      </c>
      <c r="O47" s="158" t="s">
        <v>42</v>
      </c>
      <c r="P47" s="157" t="s">
        <v>43</v>
      </c>
      <c r="Q47" s="157" t="str">
        <f>E47</f>
        <v>AllRegions</v>
      </c>
      <c r="R47" s="159"/>
      <c r="S47" s="157" t="s">
        <v>40</v>
      </c>
      <c r="T47" s="157" t="s">
        <v>41</v>
      </c>
      <c r="U47" s="158" t="s">
        <v>42</v>
      </c>
      <c r="V47" s="157" t="s">
        <v>43</v>
      </c>
      <c r="W47" s="157" t="str">
        <f>$E$5</f>
        <v>AllRegions</v>
      </c>
      <c r="X47" s="159"/>
      <c r="Y47" s="157" t="s">
        <v>40</v>
      </c>
      <c r="Z47" s="157" t="s">
        <v>41</v>
      </c>
      <c r="AA47" s="158" t="s">
        <v>42</v>
      </c>
      <c r="AB47" s="157" t="s">
        <v>43</v>
      </c>
      <c r="AC47" s="157" t="str">
        <f>$E$5</f>
        <v>AllRegions</v>
      </c>
      <c r="AD47" s="159"/>
      <c r="AE47" s="157" t="s">
        <v>40</v>
      </c>
      <c r="AF47" s="157" t="s">
        <v>41</v>
      </c>
      <c r="AG47" s="158" t="s">
        <v>42</v>
      </c>
      <c r="AH47" s="157" t="s">
        <v>43</v>
      </c>
      <c r="AI47" s="157" t="str">
        <f>$E$5</f>
        <v>AllRegions</v>
      </c>
      <c r="AJ47" s="159"/>
      <c r="AK47" s="157" t="s">
        <v>40</v>
      </c>
      <c r="AL47" s="157" t="s">
        <v>41</v>
      </c>
      <c r="AM47" s="158" t="s">
        <v>42</v>
      </c>
      <c r="AN47" s="157" t="s">
        <v>43</v>
      </c>
      <c r="AO47" s="157" t="str">
        <f>$E$5</f>
        <v>AllRegions</v>
      </c>
      <c r="AP47" s="159"/>
      <c r="AQ47" s="157" t="s">
        <v>40</v>
      </c>
      <c r="AR47" s="157" t="s">
        <v>41</v>
      </c>
      <c r="AS47" s="158" t="s">
        <v>42</v>
      </c>
      <c r="AT47" s="157" t="s">
        <v>43</v>
      </c>
      <c r="AU47" s="157" t="str">
        <f>$E$5</f>
        <v>AllRegions</v>
      </c>
      <c r="AV47" s="159"/>
      <c r="AW47" s="157" t="s">
        <v>40</v>
      </c>
      <c r="AX47" s="157" t="s">
        <v>41</v>
      </c>
      <c r="AY47" s="158" t="s">
        <v>42</v>
      </c>
      <c r="AZ47" s="157" t="s">
        <v>43</v>
      </c>
      <c r="BA47" s="157" t="str">
        <f>$E$5</f>
        <v>AllRegions</v>
      </c>
      <c r="BB47" s="159"/>
      <c r="BC47" s="157" t="s">
        <v>40</v>
      </c>
      <c r="BD47" s="157" t="s">
        <v>41</v>
      </c>
      <c r="BE47" s="158" t="s">
        <v>42</v>
      </c>
      <c r="BF47" s="157" t="s">
        <v>43</v>
      </c>
      <c r="BG47" s="157" t="str">
        <f>$E$5</f>
        <v>AllRegions</v>
      </c>
      <c r="BH47" s="159"/>
      <c r="BI47" s="157" t="s">
        <v>40</v>
      </c>
      <c r="BJ47" s="157" t="s">
        <v>41</v>
      </c>
      <c r="BK47" s="158" t="s">
        <v>42</v>
      </c>
      <c r="BL47" s="157" t="s">
        <v>43</v>
      </c>
      <c r="BM47" s="157" t="str">
        <f>$E$5</f>
        <v>AllRegions</v>
      </c>
      <c r="BN47" s="159"/>
      <c r="BO47" s="157" t="s">
        <v>40</v>
      </c>
      <c r="BP47" s="157" t="s">
        <v>41</v>
      </c>
      <c r="BQ47" s="158" t="s">
        <v>42</v>
      </c>
      <c r="BR47" s="157" t="s">
        <v>43</v>
      </c>
      <c r="BS47" s="157" t="str">
        <f>$E$5</f>
        <v>AllRegions</v>
      </c>
      <c r="BT47" s="159"/>
      <c r="BU47" s="159" t="s">
        <v>271</v>
      </c>
      <c r="BV47" s="159" t="s">
        <v>193</v>
      </c>
      <c r="BW47" s="160" t="s">
        <v>151</v>
      </c>
    </row>
    <row r="48" spans="1:75" x14ac:dyDescent="0.25">
      <c r="A48" s="108" t="s">
        <v>39</v>
      </c>
      <c r="B48" s="126">
        <v>2017</v>
      </c>
      <c r="C48" s="108" t="str">
        <f>Worldprices!B75</f>
        <v>EXPOILCRD*</v>
      </c>
      <c r="D48" s="108" t="str">
        <f>Worldprices!AO56</f>
        <v>*OILCRD</v>
      </c>
      <c r="E48" s="161">
        <f>VLOOKUP(C48,Worldprices!$B$49:$AN$92,$BW48,FALSE)</f>
        <v>8.2685371431662009</v>
      </c>
      <c r="F48" s="161"/>
      <c r="G48" s="108" t="s">
        <v>39</v>
      </c>
      <c r="H48" s="126">
        <v>2017</v>
      </c>
      <c r="I48" s="108" t="str">
        <f>Worldprices!B76</f>
        <v>EXPOILDSL*</v>
      </c>
      <c r="J48" s="108" t="str">
        <f>Worldprices!AO57</f>
        <v>*OILDSL</v>
      </c>
      <c r="K48" s="161">
        <f>VLOOKUP(I48,Worldprices!$B$49:$AN$92,$BW48,FALSE)</f>
        <v>10.490037536705078</v>
      </c>
      <c r="L48" s="161"/>
      <c r="M48" s="108" t="s">
        <v>39</v>
      </c>
      <c r="N48" s="126">
        <v>2017</v>
      </c>
      <c r="O48" s="108" t="str">
        <f>Worldprices!B77</f>
        <v>EXPOILGSL*</v>
      </c>
      <c r="P48" s="108" t="str">
        <f>Worldprices!AO58</f>
        <v>*OILGSL</v>
      </c>
      <c r="Q48" s="161">
        <f>VLOOKUP(O48,Worldprices!$B$49:$AN$92,$BW48,FALSE)</f>
        <v>11.663677701545799</v>
      </c>
      <c r="R48" s="161"/>
      <c r="S48" s="108" t="s">
        <v>39</v>
      </c>
      <c r="T48" s="126">
        <v>2017</v>
      </c>
      <c r="U48" s="108" t="str">
        <f>Worldprices!B78</f>
        <v>EXPOILLPG*</v>
      </c>
      <c r="V48" s="108" t="str">
        <f>Worldprices!AO59</f>
        <v>*OILLPG</v>
      </c>
      <c r="W48" s="161">
        <f>VLOOKUP(U48,Worldprices!$B$49:$AN$92,$BW48,FALSE)</f>
        <v>9.3847896574936378</v>
      </c>
      <c r="X48" s="161"/>
      <c r="Y48" s="108" t="s">
        <v>39</v>
      </c>
      <c r="Z48" s="126">
        <v>2017</v>
      </c>
      <c r="AA48" s="108" t="str">
        <f>Worldprices!B79</f>
        <v>EXPOILHFO*</v>
      </c>
      <c r="AB48" s="108" t="str">
        <f>Worldprices!AO60</f>
        <v>*OILHFO</v>
      </c>
      <c r="AC48" s="161">
        <f>VLOOKUP(AA48,Worldprices!$B$49:$AN$92,$BW48,FALSE)</f>
        <v>5.8400677842182889</v>
      </c>
      <c r="AD48" s="161"/>
      <c r="AE48" s="108" t="s">
        <v>39</v>
      </c>
      <c r="AF48" s="126">
        <v>2017</v>
      </c>
      <c r="AG48" s="108" t="str">
        <f>Worldprices!B80</f>
        <v>EXPOILKER*</v>
      </c>
      <c r="AH48" s="108" t="str">
        <f>Worldprices!AO61</f>
        <v>*OILKER</v>
      </c>
      <c r="AI48" s="161">
        <f>VLOOKUP(AG48,Worldprices!$B$49:$AN$92,$BW48,FALSE)</f>
        <v>11.344367510710727</v>
      </c>
      <c r="AJ48" s="161"/>
      <c r="AK48" s="108" t="s">
        <v>39</v>
      </c>
      <c r="AL48" s="126">
        <v>2017</v>
      </c>
      <c r="AM48" s="108" t="s">
        <v>341</v>
      </c>
      <c r="AN48" s="108" t="s">
        <v>342</v>
      </c>
      <c r="AO48" s="161">
        <f>VLOOKUP(AM48,Worldprices!$B$49:$AN$92,$BW48,FALSE)</f>
        <v>5.8403653235815227</v>
      </c>
      <c r="AP48" s="161"/>
      <c r="AQ48" s="108" t="s">
        <v>39</v>
      </c>
      <c r="AR48" s="126">
        <v>2017</v>
      </c>
      <c r="AS48" s="108" t="str">
        <f>Worldprices!B82</f>
        <v>EXPOILBIT*</v>
      </c>
      <c r="AT48" s="108" t="str">
        <f>Worldprices!AO63</f>
        <v>*OILBIT</v>
      </c>
      <c r="AU48" s="161">
        <f>VLOOKUP(AS48,Worldprices!$B$49:$AN$92,$BW48,FALSE)</f>
        <v>5.8403653235815227</v>
      </c>
      <c r="AV48" s="161"/>
      <c r="AW48" s="108" t="s">
        <v>39</v>
      </c>
      <c r="AX48" s="126">
        <v>2017</v>
      </c>
      <c r="AY48" s="108" t="str">
        <f>Worldprices!B83</f>
        <v>EXPOILLUB*</v>
      </c>
      <c r="AZ48" s="108" t="str">
        <f>Worldprices!AO64</f>
        <v>*OILLUB</v>
      </c>
      <c r="BA48" s="161">
        <f>VLOOKUP(AY48,Worldprices!$B$49:$AN$92,$BW48,FALSE)</f>
        <v>5.8403653235815227</v>
      </c>
      <c r="BB48" s="161"/>
      <c r="BC48" s="108" t="s">
        <v>39</v>
      </c>
      <c r="BD48" s="126">
        <v>2017</v>
      </c>
      <c r="BE48" s="108" t="str">
        <f>Worldprices!B84</f>
        <v>EXPGASNAT_**E01</v>
      </c>
      <c r="BF48" s="108" t="str">
        <f>LEFT(Worldprices!$AO$65,8)&amp;"*"</f>
        <v>PITGASNA*</v>
      </c>
      <c r="BG48" s="161">
        <f>VLOOKUP(BE48,Worldprices!$B$49:$AN$92,$BW48,FALSE)</f>
        <v>5.3496977735439817</v>
      </c>
      <c r="BH48" s="161"/>
      <c r="BI48" s="108" t="s">
        <v>39</v>
      </c>
      <c r="BJ48" s="126">
        <v>2017</v>
      </c>
      <c r="BK48" s="108" t="str">
        <f>Worldprices!B89</f>
        <v>EXPGASNAT_**E02</v>
      </c>
      <c r="BL48" s="108" t="str">
        <f>BF48</f>
        <v>PITGASNA*</v>
      </c>
      <c r="BM48" s="161">
        <f>VLOOKUP(BK48,Worldprices!$B$49:$AN$92,$BW48,FALSE)</f>
        <v>6.5151937552272088</v>
      </c>
      <c r="BN48" s="161"/>
      <c r="BO48" s="108" t="s">
        <v>39</v>
      </c>
      <c r="BP48" s="126">
        <v>2017</v>
      </c>
      <c r="BQ48" s="108" t="s">
        <v>302</v>
      </c>
      <c r="BR48" s="108" t="s">
        <v>265</v>
      </c>
      <c r="BS48" s="161">
        <v>15</v>
      </c>
      <c r="BT48" s="161"/>
      <c r="BU48" s="161"/>
      <c r="BV48" s="161"/>
      <c r="BW48" s="108">
        <v>5</v>
      </c>
    </row>
    <row r="49" spans="1:75" x14ac:dyDescent="0.25">
      <c r="A49" s="108" t="str">
        <f>A48</f>
        <v>COST</v>
      </c>
      <c r="B49" s="126">
        <v>2018</v>
      </c>
      <c r="C49" s="108" t="str">
        <f>C48</f>
        <v>EXPOILCRD*</v>
      </c>
      <c r="D49" s="108" t="str">
        <f>D48</f>
        <v>*OILCRD</v>
      </c>
      <c r="E49" s="161">
        <f>VLOOKUP(C49,Worldprices!$B$49:$AN$92,$BW49,FALSE)</f>
        <v>10.555555555555555</v>
      </c>
      <c r="F49" s="161"/>
      <c r="G49" s="108" t="str">
        <f>G48</f>
        <v>COST</v>
      </c>
      <c r="H49" s="126">
        <v>2018</v>
      </c>
      <c r="I49" s="108" t="str">
        <f>I48</f>
        <v>EXPOILDSL*</v>
      </c>
      <c r="J49" s="108" t="str">
        <f>J48</f>
        <v>*OILDSL</v>
      </c>
      <c r="K49" s="161">
        <f>VLOOKUP(I49,Worldprices!$B$49:$AN$92,$BW49,FALSE)</f>
        <v>13.391507116838488</v>
      </c>
      <c r="L49" s="161"/>
      <c r="M49" s="108" t="str">
        <f>M48</f>
        <v>COST</v>
      </c>
      <c r="N49" s="126">
        <v>2018</v>
      </c>
      <c r="O49" s="108" t="str">
        <f>O48</f>
        <v>EXPOILGSL*</v>
      </c>
      <c r="P49" s="108" t="str">
        <f>P48</f>
        <v>*OILGSL</v>
      </c>
      <c r="Q49" s="161">
        <f>VLOOKUP(O49,Worldprices!$B$49:$AN$92,$BW49,FALSE)</f>
        <v>14.88976778226302</v>
      </c>
      <c r="R49" s="161"/>
      <c r="S49" s="108" t="str">
        <f>S48</f>
        <v>COST</v>
      </c>
      <c r="T49" s="126">
        <v>2018</v>
      </c>
      <c r="U49" s="108" t="str">
        <f>U48</f>
        <v>EXPOILLPG*</v>
      </c>
      <c r="V49" s="108" t="str">
        <f>V48</f>
        <v>*OILLPG</v>
      </c>
      <c r="W49" s="161">
        <f>VLOOKUP(U49,Worldprices!$B$49:$AN$92,$BW49,FALSE)</f>
        <v>11.980555555555554</v>
      </c>
      <c r="X49" s="161"/>
      <c r="Y49" s="108" t="str">
        <f>Y48</f>
        <v>COST</v>
      </c>
      <c r="Z49" s="126">
        <v>2018</v>
      </c>
      <c r="AA49" s="108" t="str">
        <f>AA48</f>
        <v>EXPOILHFO*</v>
      </c>
      <c r="AB49" s="108" t="str">
        <f>AB48</f>
        <v>*OILHFO</v>
      </c>
      <c r="AC49" s="161">
        <f>VLOOKUP(AA49,Worldprices!$B$49:$AN$92,$BW49,FALSE)</f>
        <v>7.4553888888888888</v>
      </c>
      <c r="AD49" s="161"/>
      <c r="AE49" s="108" t="str">
        <f>AE48</f>
        <v>COST</v>
      </c>
      <c r="AF49" s="126">
        <v>2018</v>
      </c>
      <c r="AG49" s="108" t="str">
        <f>AG48</f>
        <v>EXPOILKER*</v>
      </c>
      <c r="AH49" s="108" t="str">
        <f>AH48</f>
        <v>*OILKER</v>
      </c>
      <c r="AI49" s="161">
        <f>VLOOKUP(AG49,Worldprices!$B$49:$AN$92,$BW49,FALSE)</f>
        <v>14.482138669584931</v>
      </c>
      <c r="AJ49" s="161"/>
      <c r="AK49" s="108" t="str">
        <f>AK48</f>
        <v>COST</v>
      </c>
      <c r="AL49" s="126">
        <v>2018</v>
      </c>
      <c r="AM49" s="108" t="str">
        <f>AM48</f>
        <v>EXPOILNG*</v>
      </c>
      <c r="AN49" s="108" t="str">
        <f>AN48</f>
        <v>*OILNGL</v>
      </c>
      <c r="AO49" s="161">
        <f>VLOOKUP(AM49,Worldprices!$B$49:$AN$92,$BW49,FALSE)</f>
        <v>7.4557687255182952</v>
      </c>
      <c r="AP49" s="161"/>
      <c r="AQ49" s="108" t="str">
        <f>AQ48</f>
        <v>COST</v>
      </c>
      <c r="AR49" s="126">
        <v>2018</v>
      </c>
      <c r="AS49" s="108" t="str">
        <f>AS48</f>
        <v>EXPOILBIT*</v>
      </c>
      <c r="AT49" s="108" t="str">
        <f>AT48</f>
        <v>*OILBIT</v>
      </c>
      <c r="AU49" s="161">
        <f>VLOOKUP(AS49,Worldprices!$B$49:$AN$92,$BW49,FALSE)</f>
        <v>7.4557687255182952</v>
      </c>
      <c r="AV49" s="161"/>
      <c r="AW49" s="108" t="str">
        <f>AW48</f>
        <v>COST</v>
      </c>
      <c r="AX49" s="126">
        <v>2018</v>
      </c>
      <c r="AY49" s="108" t="str">
        <f>AY48</f>
        <v>EXPOILLUB*</v>
      </c>
      <c r="AZ49" s="108" t="str">
        <f>AZ48</f>
        <v>*OILLUB</v>
      </c>
      <c r="BA49" s="161">
        <f>VLOOKUP(AY49,Worldprices!$B$49:$AN$92,$BW49,FALSE)</f>
        <v>7.4557687255182952</v>
      </c>
      <c r="BB49" s="161"/>
      <c r="BC49" s="108" t="str">
        <f>BC48</f>
        <v>COST</v>
      </c>
      <c r="BD49" s="126">
        <v>2018</v>
      </c>
      <c r="BE49" s="108" t="str">
        <f>BE48</f>
        <v>EXPGASNAT_**E01</v>
      </c>
      <c r="BF49" s="108" t="str">
        <f>BF48</f>
        <v>PITGASNA*</v>
      </c>
      <c r="BG49" s="161">
        <f>VLOOKUP(BE49,Worldprices!$B$49:$AN$92,$BW49,FALSE)</f>
        <v>6.8432387399999994</v>
      </c>
      <c r="BH49" s="161"/>
      <c r="BI49" s="108" t="str">
        <f>BI48</f>
        <v>COST</v>
      </c>
      <c r="BJ49" s="126">
        <v>2018</v>
      </c>
      <c r="BK49" s="108" t="str">
        <f>BK48</f>
        <v>EXPGASNAT_**E02</v>
      </c>
      <c r="BL49" s="108" t="str">
        <f t="shared" ref="BL49:BL81" si="59">BF49</f>
        <v>PITGASNA*</v>
      </c>
      <c r="BM49" s="161">
        <f>VLOOKUP(BK49,Worldprices!$B$49:$AN$92,$BW49,FALSE)</f>
        <v>6.5151937552272088</v>
      </c>
      <c r="BN49" s="161"/>
      <c r="BO49" s="108" t="str">
        <f>BO48</f>
        <v>COST</v>
      </c>
      <c r="BP49" s="126">
        <v>2018</v>
      </c>
      <c r="BQ49" s="108" t="str">
        <f>BQ48</f>
        <v>EXPELC*</v>
      </c>
      <c r="BR49" s="108" t="str">
        <f>BR48</f>
        <v>ELCHIGG</v>
      </c>
      <c r="BS49" s="161">
        <f t="shared" ref="BS49:BS81" si="60">BS48*(1+$BS$2)</f>
        <v>15.3</v>
      </c>
      <c r="BT49" s="161"/>
      <c r="BU49" s="161"/>
      <c r="BV49" s="161"/>
      <c r="BW49" s="108">
        <f>BW48+1</f>
        <v>6</v>
      </c>
    </row>
    <row r="50" spans="1:75" hidden="1" x14ac:dyDescent="0.25">
      <c r="A50" s="108" t="str">
        <f t="shared" ref="A50:A81" si="61">A49</f>
        <v>COST</v>
      </c>
      <c r="B50" s="126">
        <v>2019</v>
      </c>
      <c r="C50" s="108" t="str">
        <f t="shared" ref="C50:C81" si="62">C49</f>
        <v>EXPOILCRD*</v>
      </c>
      <c r="D50" s="108" t="str">
        <f t="shared" ref="D50:D81" si="63">D49</f>
        <v>*OILCRD</v>
      </c>
      <c r="E50" s="161">
        <f>VLOOKUP(C50,Worldprices!$B$49:$AN$92,$BW50,FALSE)</f>
        <v>11.11179193899782</v>
      </c>
      <c r="F50" s="161"/>
      <c r="G50" s="108" t="str">
        <f t="shared" ref="G50:G81" si="64">G49</f>
        <v>COST</v>
      </c>
      <c r="H50" s="126">
        <v>2019</v>
      </c>
      <c r="I50" s="108" t="str">
        <f t="shared" ref="I50:I81" si="65">I49</f>
        <v>EXPOILDSL*</v>
      </c>
      <c r="J50" s="108" t="str">
        <f t="shared" ref="J50:J81" si="66">J49</f>
        <v>*OILDSL</v>
      </c>
      <c r="K50" s="161">
        <f>VLOOKUP(I50,Worldprices!$B$49:$AN$92,$BW50,FALSE)</f>
        <v>14.097187026181695</v>
      </c>
      <c r="L50" s="161"/>
      <c r="M50" s="108" t="str">
        <f t="shared" ref="M50:M81" si="67">M49</f>
        <v>COST</v>
      </c>
      <c r="N50" s="126">
        <v>2019</v>
      </c>
      <c r="O50" s="108" t="str">
        <f t="shared" ref="O50:O81" si="68">O49</f>
        <v>EXPOILGSL*</v>
      </c>
      <c r="P50" s="108" t="str">
        <f t="shared" ref="P50:P81" si="69">P49</f>
        <v>*OILGSL</v>
      </c>
      <c r="Q50" s="161">
        <f>VLOOKUP(O50,Worldprices!$B$49:$AN$92,$BW50,FALSE)</f>
        <v>15.674400153142075</v>
      </c>
      <c r="R50" s="161"/>
      <c r="S50" s="108" t="str">
        <f t="shared" ref="S50:S81" si="70">S49</f>
        <v>COST</v>
      </c>
      <c r="T50" s="126">
        <v>2019</v>
      </c>
      <c r="U50" s="108" t="str">
        <f t="shared" ref="U50:V50" si="71">U49</f>
        <v>EXPOILLPG*</v>
      </c>
      <c r="V50" s="108" t="str">
        <f t="shared" si="71"/>
        <v>*OILLPG</v>
      </c>
      <c r="W50" s="161">
        <f>VLOOKUP(U50,Worldprices!$B$49:$AN$92,$BW50,FALSE)</f>
        <v>12.611883850762524</v>
      </c>
      <c r="X50" s="161"/>
      <c r="Y50" s="108" t="str">
        <f t="shared" ref="Y50:Y81" si="72">Y49</f>
        <v>COST</v>
      </c>
      <c r="Z50" s="126">
        <v>2019</v>
      </c>
      <c r="AA50" s="108" t="str">
        <f t="shared" ref="AA50:AB50" si="73">AA49</f>
        <v>EXPOILHFO*</v>
      </c>
      <c r="AB50" s="108" t="str">
        <f t="shared" si="73"/>
        <v>*OILHFO</v>
      </c>
      <c r="AC50" s="161">
        <f>VLOOKUP(AA50,Worldprices!$B$49:$AN$92,$BW50,FALSE)</f>
        <v>7.8482586465141608</v>
      </c>
      <c r="AD50" s="161"/>
      <c r="AE50" s="108" t="str">
        <f t="shared" ref="AE50:AE81" si="74">AE49</f>
        <v>COST</v>
      </c>
      <c r="AF50" s="126">
        <v>2019</v>
      </c>
      <c r="AG50" s="108" t="str">
        <f t="shared" ref="AG50:AH50" si="75">AG49</f>
        <v>EXPOILKER*</v>
      </c>
      <c r="AH50" s="108" t="str">
        <f t="shared" si="75"/>
        <v>*OILKER</v>
      </c>
      <c r="AI50" s="161">
        <f>VLOOKUP(AG50,Worldprices!$B$49:$AN$92,$BW50,FALSE)</f>
        <v>15.245290584771389</v>
      </c>
      <c r="AJ50" s="161"/>
      <c r="AK50" s="108" t="str">
        <f t="shared" ref="AK50:AK81" si="76">AK49</f>
        <v>COST</v>
      </c>
      <c r="AL50" s="126">
        <v>2019</v>
      </c>
      <c r="AM50" s="108" t="str">
        <f t="shared" ref="AM50:AN65" si="77">AM49</f>
        <v>EXPOILNG*</v>
      </c>
      <c r="AN50" s="108" t="str">
        <f t="shared" si="77"/>
        <v>*OILNGL</v>
      </c>
      <c r="AO50" s="161">
        <f>VLOOKUP(AM50,Worldprices!$B$49:$AN$92,$BW50,FALSE)</f>
        <v>7.8486584990443813</v>
      </c>
      <c r="AP50" s="161"/>
      <c r="AQ50" s="108" t="str">
        <f t="shared" ref="AQ50:AQ81" si="78">AQ49</f>
        <v>COST</v>
      </c>
      <c r="AR50" s="126">
        <v>2019</v>
      </c>
      <c r="AS50" s="108" t="str">
        <f t="shared" ref="AS50:AT65" si="79">AS49</f>
        <v>EXPOILBIT*</v>
      </c>
      <c r="AT50" s="108" t="str">
        <f t="shared" si="79"/>
        <v>*OILBIT</v>
      </c>
      <c r="AU50" s="161">
        <f>VLOOKUP(AS50,Worldprices!$B$49:$AN$92,$BW50,FALSE)</f>
        <v>7.8486584990443813</v>
      </c>
      <c r="AV50" s="161"/>
      <c r="AW50" s="108" t="str">
        <f t="shared" ref="AW50:AW81" si="80">AW49</f>
        <v>COST</v>
      </c>
      <c r="AX50" s="126">
        <v>2019</v>
      </c>
      <c r="AY50" s="108" t="str">
        <f t="shared" ref="AY50:AZ65" si="81">AY49</f>
        <v>EXPOILLUB*</v>
      </c>
      <c r="AZ50" s="108" t="str">
        <f t="shared" si="81"/>
        <v>*OILLUB</v>
      </c>
      <c r="BA50" s="161">
        <f>VLOOKUP(AY50,Worldprices!$B$49:$AN$92,$BW50,FALSE)</f>
        <v>7.8486584990443813</v>
      </c>
      <c r="BB50" s="161"/>
      <c r="BC50" s="108" t="str">
        <f t="shared" ref="BC50:BC81" si="82">BC49</f>
        <v>COST</v>
      </c>
      <c r="BD50" s="126">
        <v>2019</v>
      </c>
      <c r="BE50" s="108" t="str">
        <f t="shared" ref="BE50:BF65" si="83">BE49</f>
        <v>EXPGASNAT_**E01</v>
      </c>
      <c r="BF50" s="108" t="str">
        <f t="shared" si="83"/>
        <v>PITGASNA*</v>
      </c>
      <c r="BG50" s="161">
        <f>VLOOKUP(BE50,Worldprices!$B$49:$AN$92,$BW50,FALSE)</f>
        <v>6.9407849062499993</v>
      </c>
      <c r="BH50" s="161"/>
      <c r="BI50" s="108" t="str">
        <f t="shared" ref="BI50:BI81" si="84">BI49</f>
        <v>COST</v>
      </c>
      <c r="BJ50" s="126">
        <v>2019</v>
      </c>
      <c r="BK50" s="108" t="str">
        <f t="shared" ref="BK50" si="85">BK49</f>
        <v>EXPGASNAT_**E02</v>
      </c>
      <c r="BL50" s="108" t="str">
        <f t="shared" si="59"/>
        <v>PITGASNA*</v>
      </c>
      <c r="BM50" s="161">
        <f>VLOOKUP(BK50,Worldprices!$B$49:$AN$92,$BW50,FALSE)</f>
        <v>6.5151937552272088</v>
      </c>
      <c r="BN50" s="161"/>
      <c r="BO50" s="108" t="str">
        <f t="shared" ref="BO50:BO81" si="86">BO49</f>
        <v>COST</v>
      </c>
      <c r="BP50" s="126">
        <v>2019</v>
      </c>
      <c r="BQ50" s="108" t="str">
        <f t="shared" ref="BQ50:BR50" si="87">BQ49</f>
        <v>EXPELC*</v>
      </c>
      <c r="BR50" s="108" t="str">
        <f t="shared" si="87"/>
        <v>ELCHIGG</v>
      </c>
      <c r="BS50" s="161">
        <f t="shared" si="60"/>
        <v>15.606000000000002</v>
      </c>
      <c r="BT50" s="161"/>
      <c r="BU50" s="161"/>
      <c r="BV50" s="161"/>
      <c r="BW50" s="108">
        <f t="shared" ref="BW50:BW81" si="88">BW49+1</f>
        <v>7</v>
      </c>
    </row>
    <row r="51" spans="1:75" x14ac:dyDescent="0.25">
      <c r="A51" s="108" t="str">
        <f t="shared" si="61"/>
        <v>COST</v>
      </c>
      <c r="B51" s="126">
        <v>2020</v>
      </c>
      <c r="C51" s="108" t="str">
        <f t="shared" si="62"/>
        <v>EXPOILCRD*</v>
      </c>
      <c r="D51" s="108" t="str">
        <f t="shared" si="63"/>
        <v>*OILCRD</v>
      </c>
      <c r="E51" s="161">
        <f>VLOOKUP(C51,Worldprices!$B$49:$AN$92,$BW51,FALSE)</f>
        <v>7.4078612926652134</v>
      </c>
      <c r="F51" s="161"/>
      <c r="G51" s="108" t="str">
        <f t="shared" si="64"/>
        <v>COST</v>
      </c>
      <c r="H51" s="126">
        <v>2020</v>
      </c>
      <c r="I51" s="108" t="str">
        <f t="shared" si="65"/>
        <v>EXPOILDSL*</v>
      </c>
      <c r="J51" s="108" t="str">
        <f t="shared" si="66"/>
        <v>*OILDSL</v>
      </c>
      <c r="K51" s="161">
        <f>VLOOKUP(I51,Worldprices!$B$49:$AN$92,$BW51,FALSE)</f>
        <v>9.3981246841211288</v>
      </c>
      <c r="L51" s="161"/>
      <c r="M51" s="108" t="str">
        <f t="shared" si="67"/>
        <v>COST</v>
      </c>
      <c r="N51" s="126">
        <v>2020</v>
      </c>
      <c r="O51" s="108" t="str">
        <f t="shared" si="68"/>
        <v>EXPOILGSL*</v>
      </c>
      <c r="P51" s="108" t="str">
        <f t="shared" si="69"/>
        <v>*OILGSL</v>
      </c>
      <c r="Q51" s="161">
        <f>VLOOKUP(O51,Worldprices!$B$49:$AN$92,$BW51,FALSE)</f>
        <v>10.449600102094717</v>
      </c>
      <c r="R51" s="161"/>
      <c r="S51" s="108" t="str">
        <f t="shared" si="70"/>
        <v>COST</v>
      </c>
      <c r="T51" s="126">
        <v>2020</v>
      </c>
      <c r="U51" s="108" t="str">
        <f t="shared" ref="U51:V51" si="89">U50</f>
        <v>EXPOILLPG*</v>
      </c>
      <c r="V51" s="108" t="str">
        <f t="shared" si="89"/>
        <v>*OILLPG</v>
      </c>
      <c r="W51" s="161">
        <f>VLOOKUP(U51,Worldprices!$B$49:$AN$92,$BW51,FALSE)</f>
        <v>8.4079225671750173</v>
      </c>
      <c r="X51" s="161"/>
      <c r="Y51" s="108" t="str">
        <f t="shared" si="72"/>
        <v>COST</v>
      </c>
      <c r="Z51" s="126">
        <v>2020</v>
      </c>
      <c r="AA51" s="108" t="str">
        <f t="shared" ref="AA51:AB51" si="90">AA50</f>
        <v>EXPOILHFO*</v>
      </c>
      <c r="AB51" s="108" t="str">
        <f t="shared" si="90"/>
        <v>*OILHFO</v>
      </c>
      <c r="AC51" s="161">
        <f>VLOOKUP(AA51,Worldprices!$B$49:$AN$92,$BW51,FALSE)</f>
        <v>5.2321724310094408</v>
      </c>
      <c r="AD51" s="161"/>
      <c r="AE51" s="108" t="str">
        <f t="shared" si="74"/>
        <v>COST</v>
      </c>
      <c r="AF51" s="126">
        <v>2020</v>
      </c>
      <c r="AG51" s="108" t="str">
        <f t="shared" ref="AG51:AH51" si="91">AG50</f>
        <v>EXPOILKER*</v>
      </c>
      <c r="AH51" s="108" t="str">
        <f t="shared" si="91"/>
        <v>*OILKER</v>
      </c>
      <c r="AI51" s="161">
        <f>VLOOKUP(AG51,Worldprices!$B$49:$AN$92,$BW51,FALSE)</f>
        <v>10.16352705651426</v>
      </c>
      <c r="AJ51" s="161"/>
      <c r="AK51" s="108" t="str">
        <f t="shared" si="76"/>
        <v>COST</v>
      </c>
      <c r="AL51" s="126">
        <v>2020</v>
      </c>
      <c r="AM51" s="108" t="str">
        <f t="shared" si="77"/>
        <v>EXPOILNG*</v>
      </c>
      <c r="AN51" s="108" t="str">
        <f t="shared" si="77"/>
        <v>*OILNGL</v>
      </c>
      <c r="AO51" s="161">
        <f>VLOOKUP(AM51,Worldprices!$B$49:$AN$92,$BW51,FALSE)</f>
        <v>5.2324389993629206</v>
      </c>
      <c r="AP51" s="161"/>
      <c r="AQ51" s="108" t="str">
        <f t="shared" si="78"/>
        <v>COST</v>
      </c>
      <c r="AR51" s="126">
        <v>2020</v>
      </c>
      <c r="AS51" s="108" t="str">
        <f t="shared" si="79"/>
        <v>EXPOILBIT*</v>
      </c>
      <c r="AT51" s="108" t="str">
        <f t="shared" si="79"/>
        <v>*OILBIT</v>
      </c>
      <c r="AU51" s="161">
        <f>VLOOKUP(AS51,Worldprices!$B$49:$AN$92,$BW51,FALSE)</f>
        <v>5.2324389993629206</v>
      </c>
      <c r="AV51" s="161"/>
      <c r="AW51" s="108" t="str">
        <f t="shared" si="80"/>
        <v>COST</v>
      </c>
      <c r="AX51" s="126">
        <v>2020</v>
      </c>
      <c r="AY51" s="108" t="str">
        <f t="shared" si="81"/>
        <v>EXPOILLUB*</v>
      </c>
      <c r="AZ51" s="108" t="str">
        <f t="shared" si="81"/>
        <v>*OILLUB</v>
      </c>
      <c r="BA51" s="161">
        <f>VLOOKUP(AY51,Worldprices!$B$49:$AN$92,$BW51,FALSE)</f>
        <v>5.2324389993629206</v>
      </c>
      <c r="BB51" s="161"/>
      <c r="BC51" s="108" t="str">
        <f t="shared" si="82"/>
        <v>COST</v>
      </c>
      <c r="BD51" s="126">
        <v>2020</v>
      </c>
      <c r="BE51" s="108" t="str">
        <f t="shared" si="83"/>
        <v>EXPGASNAT_**E01</v>
      </c>
      <c r="BF51" s="108" t="str">
        <f t="shared" si="83"/>
        <v>PITGASNA*</v>
      </c>
      <c r="BG51" s="161">
        <f>VLOOKUP(BE51,Worldprices!$B$49:$AN$92,$BW51,FALSE)</f>
        <v>4.6271899374999998</v>
      </c>
      <c r="BH51" s="161"/>
      <c r="BI51" s="108" t="str">
        <f t="shared" si="84"/>
        <v>COST</v>
      </c>
      <c r="BJ51" s="126">
        <v>2020</v>
      </c>
      <c r="BK51" s="108" t="str">
        <f t="shared" ref="BK51" si="92">BK50</f>
        <v>EXPGASNAT_**E02</v>
      </c>
      <c r="BL51" s="108" t="str">
        <f t="shared" si="59"/>
        <v>PITGASNA*</v>
      </c>
      <c r="BM51" s="161">
        <f>VLOOKUP(BK51,Worldprices!$B$49:$AN$92,$BW51,FALSE)</f>
        <v>5.1909673822135485</v>
      </c>
      <c r="BN51" s="161"/>
      <c r="BO51" s="108" t="str">
        <f t="shared" si="86"/>
        <v>COST</v>
      </c>
      <c r="BP51" s="126">
        <v>2020</v>
      </c>
      <c r="BQ51" s="108" t="str">
        <f t="shared" ref="BQ51:BR51" si="93">BQ50</f>
        <v>EXPELC*</v>
      </c>
      <c r="BR51" s="108" t="str">
        <f t="shared" si="93"/>
        <v>ELCHIGG</v>
      </c>
      <c r="BS51" s="161">
        <f t="shared" si="60"/>
        <v>15.918120000000002</v>
      </c>
      <c r="BT51" s="161"/>
      <c r="BU51" s="161"/>
      <c r="BV51" s="161"/>
      <c r="BW51" s="108">
        <f t="shared" si="88"/>
        <v>8</v>
      </c>
    </row>
    <row r="52" spans="1:75" hidden="1" x14ac:dyDescent="0.25">
      <c r="A52" s="108" t="str">
        <f t="shared" si="61"/>
        <v>COST</v>
      </c>
      <c r="B52" s="126">
        <v>2021</v>
      </c>
      <c r="C52" s="108" t="str">
        <f t="shared" si="62"/>
        <v>EXPOILCRD*</v>
      </c>
      <c r="D52" s="108" t="str">
        <f t="shared" si="63"/>
        <v>*OILCRD</v>
      </c>
      <c r="E52" s="161">
        <f>VLOOKUP(C52,Worldprices!$B$49:$AN$92,$BW52,FALSE)</f>
        <v>8.1203612926652138</v>
      </c>
      <c r="F52" s="161"/>
      <c r="G52" s="108" t="str">
        <f t="shared" si="64"/>
        <v>COST</v>
      </c>
      <c r="H52" s="126">
        <v>2021</v>
      </c>
      <c r="I52" s="108" t="str">
        <f t="shared" si="65"/>
        <v>EXPOILDSL*</v>
      </c>
      <c r="J52" s="108" t="str">
        <f t="shared" si="66"/>
        <v>*OILDSL</v>
      </c>
      <c r="K52" s="161">
        <f>VLOOKUP(I52,Worldprices!$B$49:$AN$92,$BW52,FALSE)</f>
        <v>10.302051414507728</v>
      </c>
      <c r="L52" s="161"/>
      <c r="M52" s="108" t="str">
        <f t="shared" si="67"/>
        <v>COST</v>
      </c>
      <c r="N52" s="126">
        <v>2021</v>
      </c>
      <c r="O52" s="108" t="str">
        <f t="shared" si="68"/>
        <v>EXPOILGSL*</v>
      </c>
      <c r="P52" s="108" t="str">
        <f t="shared" si="69"/>
        <v>*OILGSL</v>
      </c>
      <c r="Q52" s="161">
        <f>VLOOKUP(O52,Worldprices!$B$49:$AN$92,$BW52,FALSE)</f>
        <v>11.45465942739747</v>
      </c>
      <c r="R52" s="161"/>
      <c r="S52" s="108" t="str">
        <f t="shared" si="70"/>
        <v>COST</v>
      </c>
      <c r="T52" s="126">
        <v>2021</v>
      </c>
      <c r="U52" s="108" t="str">
        <f t="shared" ref="U52:V52" si="94">U51</f>
        <v>EXPOILLPG*</v>
      </c>
      <c r="V52" s="108" t="str">
        <f t="shared" si="94"/>
        <v>*OILLPG</v>
      </c>
      <c r="W52" s="161">
        <f>VLOOKUP(U52,Worldprices!$B$49:$AN$92,$BW52,FALSE)</f>
        <v>9.2166100671750169</v>
      </c>
      <c r="X52" s="161"/>
      <c r="Y52" s="108" t="str">
        <f t="shared" si="72"/>
        <v>COST</v>
      </c>
      <c r="Z52" s="126">
        <v>2021</v>
      </c>
      <c r="AA52" s="108" t="str">
        <f t="shared" ref="AA52:AB52" si="95">AA51</f>
        <v>EXPOILHFO*</v>
      </c>
      <c r="AB52" s="108" t="str">
        <f t="shared" si="95"/>
        <v>*OILHFO</v>
      </c>
      <c r="AC52" s="161">
        <f>VLOOKUP(AA52,Worldprices!$B$49:$AN$92,$BW52,FALSE)</f>
        <v>5.7354111810094404</v>
      </c>
      <c r="AD52" s="161"/>
      <c r="AE52" s="108" t="str">
        <f t="shared" si="74"/>
        <v>COST</v>
      </c>
      <c r="AF52" s="126">
        <v>2021</v>
      </c>
      <c r="AG52" s="108" t="str">
        <f t="shared" ref="AG52:AH52" si="96">AG51</f>
        <v>EXPOILKER*</v>
      </c>
      <c r="AH52" s="108" t="str">
        <f t="shared" si="96"/>
        <v>*OILKER</v>
      </c>
      <c r="AI52" s="161">
        <f>VLOOKUP(AG52,Worldprices!$B$49:$AN$92,$BW52,FALSE)</f>
        <v>11.141071416711243</v>
      </c>
      <c r="AJ52" s="161"/>
      <c r="AK52" s="108" t="str">
        <f t="shared" si="76"/>
        <v>COST</v>
      </c>
      <c r="AL52" s="126">
        <v>2021</v>
      </c>
      <c r="AM52" s="108" t="str">
        <f t="shared" si="77"/>
        <v>EXPOILNG*</v>
      </c>
      <c r="AN52" s="108" t="str">
        <f t="shared" si="77"/>
        <v>*OILNGL</v>
      </c>
      <c r="AO52" s="161">
        <f>VLOOKUP(AM52,Worldprices!$B$49:$AN$92,$BW52,FALSE)</f>
        <v>5.7357033883354056</v>
      </c>
      <c r="AP52" s="161"/>
      <c r="AQ52" s="108" t="str">
        <f t="shared" si="78"/>
        <v>COST</v>
      </c>
      <c r="AR52" s="126">
        <v>2021</v>
      </c>
      <c r="AS52" s="108" t="str">
        <f t="shared" si="79"/>
        <v>EXPOILBIT*</v>
      </c>
      <c r="AT52" s="108" t="str">
        <f t="shared" si="79"/>
        <v>*OILBIT</v>
      </c>
      <c r="AU52" s="161">
        <f>VLOOKUP(AS52,Worldprices!$B$49:$AN$92,$BW52,FALSE)</f>
        <v>5.7357033883354056</v>
      </c>
      <c r="AV52" s="161"/>
      <c r="AW52" s="108" t="str">
        <f t="shared" si="80"/>
        <v>COST</v>
      </c>
      <c r="AX52" s="126">
        <v>2021</v>
      </c>
      <c r="AY52" s="108" t="str">
        <f t="shared" si="81"/>
        <v>EXPOILLUB*</v>
      </c>
      <c r="AZ52" s="108" t="str">
        <f t="shared" si="81"/>
        <v>*OILLUB</v>
      </c>
      <c r="BA52" s="161">
        <f>VLOOKUP(AY52,Worldprices!$B$49:$AN$92,$BW52,FALSE)</f>
        <v>5.7357033883354056</v>
      </c>
      <c r="BB52" s="161"/>
      <c r="BC52" s="108" t="str">
        <f t="shared" si="82"/>
        <v>COST</v>
      </c>
      <c r="BD52" s="126">
        <v>2021</v>
      </c>
      <c r="BE52" s="108" t="str">
        <f t="shared" si="83"/>
        <v>EXPGASNAT_**E01</v>
      </c>
      <c r="BF52" s="108" t="str">
        <f t="shared" si="83"/>
        <v>PITGASNA*</v>
      </c>
      <c r="BG52" s="161">
        <f>VLOOKUP(BE52,Worldprices!$B$49:$AN$92,$BW52,FALSE)</f>
        <v>5.1021899374999995</v>
      </c>
      <c r="BH52" s="161"/>
      <c r="BI52" s="108" t="str">
        <f t="shared" si="84"/>
        <v>COST</v>
      </c>
      <c r="BJ52" s="126">
        <v>2021</v>
      </c>
      <c r="BK52" s="108" t="str">
        <f t="shared" ref="BK52" si="97">BK51</f>
        <v>EXPGASNAT_**E02</v>
      </c>
      <c r="BL52" s="108" t="str">
        <f t="shared" si="59"/>
        <v>PITGASNA*</v>
      </c>
      <c r="BM52" s="161">
        <f>VLOOKUP(BK52,Worldprices!$B$49:$AN$92,$BW52,FALSE)</f>
        <v>5.2947867298578197</v>
      </c>
      <c r="BN52" s="161"/>
      <c r="BO52" s="108" t="str">
        <f t="shared" si="86"/>
        <v>COST</v>
      </c>
      <c r="BP52" s="126">
        <v>2021</v>
      </c>
      <c r="BQ52" s="108" t="str">
        <f t="shared" ref="BQ52:BR52" si="98">BQ51</f>
        <v>EXPELC*</v>
      </c>
      <c r="BR52" s="108" t="str">
        <f t="shared" si="98"/>
        <v>ELCHIGG</v>
      </c>
      <c r="BS52" s="161">
        <f t="shared" si="60"/>
        <v>16.236482400000003</v>
      </c>
      <c r="BT52" s="161"/>
      <c r="BU52" s="161"/>
      <c r="BV52" s="161"/>
      <c r="BW52" s="108">
        <f t="shared" si="88"/>
        <v>9</v>
      </c>
    </row>
    <row r="53" spans="1:75" hidden="1" x14ac:dyDescent="0.25">
      <c r="A53" s="108" t="str">
        <f t="shared" si="61"/>
        <v>COST</v>
      </c>
      <c r="B53" s="126">
        <v>2022</v>
      </c>
      <c r="C53" s="108" t="str">
        <f t="shared" si="62"/>
        <v>EXPOILCRD*</v>
      </c>
      <c r="D53" s="108" t="str">
        <f t="shared" si="63"/>
        <v>*OILCRD</v>
      </c>
      <c r="E53" s="161">
        <f>VLOOKUP(C53,Worldprices!$B$49:$AN$92,$BW53,FALSE)</f>
        <v>8.8328612926652124</v>
      </c>
      <c r="F53" s="161"/>
      <c r="G53" s="108" t="str">
        <f t="shared" si="64"/>
        <v>COST</v>
      </c>
      <c r="H53" s="126">
        <v>2022</v>
      </c>
      <c r="I53" s="108" t="str">
        <f t="shared" si="65"/>
        <v>EXPOILDSL*</v>
      </c>
      <c r="J53" s="108" t="str">
        <f t="shared" si="66"/>
        <v>*OILDSL</v>
      </c>
      <c r="K53" s="161">
        <f>VLOOKUP(I53,Worldprices!$B$49:$AN$92,$BW53,FALSE)</f>
        <v>11.205978144894324</v>
      </c>
      <c r="L53" s="161"/>
      <c r="M53" s="108" t="str">
        <f t="shared" si="67"/>
        <v>COST</v>
      </c>
      <c r="N53" s="126">
        <v>2022</v>
      </c>
      <c r="O53" s="108" t="str">
        <f t="shared" si="68"/>
        <v>EXPOILGSL*</v>
      </c>
      <c r="P53" s="108" t="str">
        <f t="shared" si="69"/>
        <v>*OILGSL</v>
      </c>
      <c r="Q53" s="161">
        <f>VLOOKUP(O53,Worldprices!$B$49:$AN$92,$BW53,FALSE)</f>
        <v>12.459718752700224</v>
      </c>
      <c r="R53" s="161"/>
      <c r="S53" s="108" t="str">
        <f t="shared" si="70"/>
        <v>COST</v>
      </c>
      <c r="T53" s="126">
        <v>2022</v>
      </c>
      <c r="U53" s="108" t="str">
        <f t="shared" ref="U53:V53" si="99">U52</f>
        <v>EXPOILLPG*</v>
      </c>
      <c r="V53" s="108" t="str">
        <f t="shared" si="99"/>
        <v>*OILLPG</v>
      </c>
      <c r="W53" s="161">
        <f>VLOOKUP(U53,Worldprices!$B$49:$AN$92,$BW53,FALSE)</f>
        <v>10.025297567175018</v>
      </c>
      <c r="X53" s="161"/>
      <c r="Y53" s="108" t="str">
        <f t="shared" si="72"/>
        <v>COST</v>
      </c>
      <c r="Z53" s="126">
        <v>2022</v>
      </c>
      <c r="AA53" s="108" t="str">
        <f t="shared" ref="AA53:AB53" si="100">AA52</f>
        <v>EXPOILHFO*</v>
      </c>
      <c r="AB53" s="108" t="str">
        <f t="shared" si="100"/>
        <v>*OILHFO</v>
      </c>
      <c r="AC53" s="161">
        <f>VLOOKUP(AA53,Worldprices!$B$49:$AN$92,$BW53,FALSE)</f>
        <v>6.2386499310094408</v>
      </c>
      <c r="AD53" s="161"/>
      <c r="AE53" s="108" t="str">
        <f t="shared" si="74"/>
        <v>COST</v>
      </c>
      <c r="AF53" s="126">
        <v>2022</v>
      </c>
      <c r="AG53" s="108" t="str">
        <f t="shared" ref="AG53:AH53" si="101">AG52</f>
        <v>EXPOILKER*</v>
      </c>
      <c r="AH53" s="108" t="str">
        <f t="shared" si="101"/>
        <v>*OILKER</v>
      </c>
      <c r="AI53" s="161">
        <f>VLOOKUP(AG53,Worldprices!$B$49:$AN$92,$BW53,FALSE)</f>
        <v>12.118615776908225</v>
      </c>
      <c r="AJ53" s="161"/>
      <c r="AK53" s="108" t="str">
        <f t="shared" si="76"/>
        <v>COST</v>
      </c>
      <c r="AL53" s="126">
        <v>2022</v>
      </c>
      <c r="AM53" s="108" t="str">
        <f t="shared" si="77"/>
        <v>EXPOILNG*</v>
      </c>
      <c r="AN53" s="108" t="str">
        <f t="shared" si="77"/>
        <v>*OILNGL</v>
      </c>
      <c r="AO53" s="161">
        <f>VLOOKUP(AM53,Worldprices!$B$49:$AN$92,$BW53,FALSE)</f>
        <v>6.2389677773078906</v>
      </c>
      <c r="AP53" s="161"/>
      <c r="AQ53" s="108" t="str">
        <f t="shared" si="78"/>
        <v>COST</v>
      </c>
      <c r="AR53" s="126">
        <v>2022</v>
      </c>
      <c r="AS53" s="108" t="str">
        <f t="shared" si="79"/>
        <v>EXPOILBIT*</v>
      </c>
      <c r="AT53" s="108" t="str">
        <f t="shared" si="79"/>
        <v>*OILBIT</v>
      </c>
      <c r="AU53" s="161">
        <f>VLOOKUP(AS53,Worldprices!$B$49:$AN$92,$BW53,FALSE)</f>
        <v>6.2389677773078906</v>
      </c>
      <c r="AV53" s="161"/>
      <c r="AW53" s="108" t="str">
        <f t="shared" si="80"/>
        <v>COST</v>
      </c>
      <c r="AX53" s="126">
        <v>2022</v>
      </c>
      <c r="AY53" s="108" t="str">
        <f t="shared" si="81"/>
        <v>EXPOILLUB*</v>
      </c>
      <c r="AZ53" s="108" t="str">
        <f t="shared" si="81"/>
        <v>*OILLUB</v>
      </c>
      <c r="BA53" s="161">
        <f>VLOOKUP(AY53,Worldprices!$B$49:$AN$92,$BW53,FALSE)</f>
        <v>6.2389677773078906</v>
      </c>
      <c r="BB53" s="161"/>
      <c r="BC53" s="108" t="str">
        <f t="shared" si="82"/>
        <v>COST</v>
      </c>
      <c r="BD53" s="126">
        <v>2022</v>
      </c>
      <c r="BE53" s="108" t="str">
        <f t="shared" si="83"/>
        <v>EXPGASNAT_**E01</v>
      </c>
      <c r="BF53" s="108" t="str">
        <f t="shared" si="83"/>
        <v>PITGASNA*</v>
      </c>
      <c r="BG53" s="161">
        <f>VLOOKUP(BE53,Worldprices!$B$49:$AN$92,$BW53,FALSE)</f>
        <v>5.5771899374999991</v>
      </c>
      <c r="BH53" s="161"/>
      <c r="BI53" s="108" t="str">
        <f t="shared" si="84"/>
        <v>COST</v>
      </c>
      <c r="BJ53" s="126">
        <v>2022</v>
      </c>
      <c r="BK53" s="108" t="str">
        <f t="shared" ref="BK53" si="102">BK52</f>
        <v>EXPGASNAT_**E02</v>
      </c>
      <c r="BL53" s="108" t="str">
        <f t="shared" si="59"/>
        <v>PITGASNA*</v>
      </c>
      <c r="BM53" s="161">
        <f>VLOOKUP(BK53,Worldprices!$B$49:$AN$92,$BW53,FALSE)</f>
        <v>5.4006824644549765</v>
      </c>
      <c r="BN53" s="161"/>
      <c r="BO53" s="108" t="str">
        <f t="shared" si="86"/>
        <v>COST</v>
      </c>
      <c r="BP53" s="126">
        <v>2022</v>
      </c>
      <c r="BQ53" s="108" t="str">
        <f t="shared" ref="BQ53:BR53" si="103">BQ52</f>
        <v>EXPELC*</v>
      </c>
      <c r="BR53" s="108" t="str">
        <f t="shared" si="103"/>
        <v>ELCHIGG</v>
      </c>
      <c r="BS53" s="161">
        <f t="shared" si="60"/>
        <v>16.561212048000005</v>
      </c>
      <c r="BT53" s="161"/>
      <c r="BU53" s="161"/>
      <c r="BV53" s="161"/>
      <c r="BW53" s="108">
        <f t="shared" si="88"/>
        <v>10</v>
      </c>
    </row>
    <row r="54" spans="1:75" hidden="1" x14ac:dyDescent="0.25">
      <c r="A54" s="108" t="str">
        <f t="shared" si="61"/>
        <v>COST</v>
      </c>
      <c r="B54" s="126">
        <v>2023</v>
      </c>
      <c r="C54" s="108" t="str">
        <f t="shared" si="62"/>
        <v>EXPOILCRD*</v>
      </c>
      <c r="D54" s="108" t="str">
        <f t="shared" si="63"/>
        <v>*OILCRD</v>
      </c>
      <c r="E54" s="161">
        <f>VLOOKUP(C54,Worldprices!$B$49:$AN$92,$BW54,FALSE)</f>
        <v>9.5453612926652127</v>
      </c>
      <c r="F54" s="161"/>
      <c r="G54" s="108" t="str">
        <f t="shared" si="64"/>
        <v>COST</v>
      </c>
      <c r="H54" s="126">
        <v>2023</v>
      </c>
      <c r="I54" s="108" t="str">
        <f t="shared" si="65"/>
        <v>EXPOILDSL*</v>
      </c>
      <c r="J54" s="108" t="str">
        <f t="shared" si="66"/>
        <v>*OILDSL</v>
      </c>
      <c r="K54" s="161">
        <f>VLOOKUP(I54,Worldprices!$B$49:$AN$92,$BW54,FALSE)</f>
        <v>12.109904875280922</v>
      </c>
      <c r="L54" s="161"/>
      <c r="M54" s="108" t="str">
        <f t="shared" si="67"/>
        <v>COST</v>
      </c>
      <c r="N54" s="126">
        <v>2023</v>
      </c>
      <c r="O54" s="108" t="str">
        <f t="shared" si="68"/>
        <v>EXPOILGSL*</v>
      </c>
      <c r="P54" s="108" t="str">
        <f t="shared" si="69"/>
        <v>*OILGSL</v>
      </c>
      <c r="Q54" s="161">
        <f>VLOOKUP(O54,Worldprices!$B$49:$AN$92,$BW54,FALSE)</f>
        <v>13.464778078002977</v>
      </c>
      <c r="R54" s="161"/>
      <c r="S54" s="108" t="str">
        <f t="shared" si="70"/>
        <v>COST</v>
      </c>
      <c r="T54" s="126">
        <v>2023</v>
      </c>
      <c r="U54" s="108" t="str">
        <f t="shared" ref="U54:V54" si="104">U53</f>
        <v>EXPOILLPG*</v>
      </c>
      <c r="V54" s="108" t="str">
        <f t="shared" si="104"/>
        <v>*OILLPG</v>
      </c>
      <c r="W54" s="161">
        <f>VLOOKUP(U54,Worldprices!$B$49:$AN$92,$BW54,FALSE)</f>
        <v>10.833985067175016</v>
      </c>
      <c r="X54" s="161"/>
      <c r="Y54" s="108" t="str">
        <f t="shared" si="72"/>
        <v>COST</v>
      </c>
      <c r="Z54" s="126">
        <v>2023</v>
      </c>
      <c r="AA54" s="108" t="str">
        <f t="shared" ref="AA54:AB54" si="105">AA53</f>
        <v>EXPOILHFO*</v>
      </c>
      <c r="AB54" s="108" t="str">
        <f t="shared" si="105"/>
        <v>*OILHFO</v>
      </c>
      <c r="AC54" s="161">
        <f>VLOOKUP(AA54,Worldprices!$B$49:$AN$92,$BW54,FALSE)</f>
        <v>6.7418886810094412</v>
      </c>
      <c r="AD54" s="161"/>
      <c r="AE54" s="108" t="str">
        <f t="shared" si="74"/>
        <v>COST</v>
      </c>
      <c r="AF54" s="126">
        <v>2023</v>
      </c>
      <c r="AG54" s="108" t="str">
        <f t="shared" ref="AG54:AH54" si="106">AG53</f>
        <v>EXPOILKER*</v>
      </c>
      <c r="AH54" s="108" t="str">
        <f t="shared" si="106"/>
        <v>*OILKER</v>
      </c>
      <c r="AI54" s="161">
        <f>VLOOKUP(AG54,Worldprices!$B$49:$AN$92,$BW54,FALSE)</f>
        <v>13.096160137105208</v>
      </c>
      <c r="AJ54" s="161"/>
      <c r="AK54" s="108" t="str">
        <f t="shared" si="76"/>
        <v>COST</v>
      </c>
      <c r="AL54" s="126">
        <v>2023</v>
      </c>
      <c r="AM54" s="108" t="str">
        <f t="shared" si="77"/>
        <v>EXPOILNG*</v>
      </c>
      <c r="AN54" s="108" t="str">
        <f t="shared" si="77"/>
        <v>*OILNGL</v>
      </c>
      <c r="AO54" s="161">
        <f>VLOOKUP(AM54,Worldprices!$B$49:$AN$92,$BW54,FALSE)</f>
        <v>6.7422321662803757</v>
      </c>
      <c r="AP54" s="161"/>
      <c r="AQ54" s="108" t="str">
        <f t="shared" si="78"/>
        <v>COST</v>
      </c>
      <c r="AR54" s="126">
        <v>2023</v>
      </c>
      <c r="AS54" s="108" t="str">
        <f t="shared" si="79"/>
        <v>EXPOILBIT*</v>
      </c>
      <c r="AT54" s="108" t="str">
        <f t="shared" si="79"/>
        <v>*OILBIT</v>
      </c>
      <c r="AU54" s="161">
        <f>VLOOKUP(AS54,Worldprices!$B$49:$AN$92,$BW54,FALSE)</f>
        <v>6.7422321662803757</v>
      </c>
      <c r="AV54" s="161"/>
      <c r="AW54" s="108" t="str">
        <f t="shared" si="80"/>
        <v>COST</v>
      </c>
      <c r="AX54" s="126">
        <v>2023</v>
      </c>
      <c r="AY54" s="108" t="str">
        <f t="shared" si="81"/>
        <v>EXPOILLUB*</v>
      </c>
      <c r="AZ54" s="108" t="str">
        <f t="shared" si="81"/>
        <v>*OILLUB</v>
      </c>
      <c r="BA54" s="161">
        <f>VLOOKUP(AY54,Worldprices!$B$49:$AN$92,$BW54,FALSE)</f>
        <v>6.7422321662803757</v>
      </c>
      <c r="BB54" s="161"/>
      <c r="BC54" s="108" t="str">
        <f t="shared" si="82"/>
        <v>COST</v>
      </c>
      <c r="BD54" s="126">
        <v>2023</v>
      </c>
      <c r="BE54" s="108" t="str">
        <f t="shared" si="83"/>
        <v>EXPGASNAT_**E01</v>
      </c>
      <c r="BF54" s="108" t="str">
        <f t="shared" si="83"/>
        <v>PITGASNA*</v>
      </c>
      <c r="BG54" s="161">
        <f>VLOOKUP(BE54,Worldprices!$B$49:$AN$92,$BW54,FALSE)</f>
        <v>6.0521899374999997</v>
      </c>
      <c r="BH54" s="161"/>
      <c r="BI54" s="108" t="str">
        <f t="shared" si="84"/>
        <v>COST</v>
      </c>
      <c r="BJ54" s="126">
        <v>2023</v>
      </c>
      <c r="BK54" s="108" t="str">
        <f t="shared" ref="BK54" si="107">BK53</f>
        <v>EXPGASNAT_**E02</v>
      </c>
      <c r="BL54" s="108" t="str">
        <f t="shared" si="59"/>
        <v>PITGASNA*</v>
      </c>
      <c r="BM54" s="161">
        <f>VLOOKUP(BK54,Worldprices!$B$49:$AN$92,$BW54,FALSE)</f>
        <v>5.508696113744076</v>
      </c>
      <c r="BN54" s="161"/>
      <c r="BO54" s="108" t="str">
        <f t="shared" si="86"/>
        <v>COST</v>
      </c>
      <c r="BP54" s="126">
        <v>2023</v>
      </c>
      <c r="BQ54" s="108" t="str">
        <f t="shared" ref="BQ54:BR54" si="108">BQ53</f>
        <v>EXPELC*</v>
      </c>
      <c r="BR54" s="108" t="str">
        <f t="shared" si="108"/>
        <v>ELCHIGG</v>
      </c>
      <c r="BS54" s="161">
        <f t="shared" si="60"/>
        <v>16.892436288960006</v>
      </c>
      <c r="BT54" s="161"/>
      <c r="BU54" s="161"/>
      <c r="BV54" s="161"/>
      <c r="BW54" s="108">
        <f t="shared" si="88"/>
        <v>11</v>
      </c>
    </row>
    <row r="55" spans="1:75" hidden="1" x14ac:dyDescent="0.25">
      <c r="A55" s="108" t="str">
        <f t="shared" si="61"/>
        <v>COST</v>
      </c>
      <c r="B55" s="126">
        <v>2024</v>
      </c>
      <c r="C55" s="108" t="str">
        <f t="shared" si="62"/>
        <v>EXPOILCRD*</v>
      </c>
      <c r="D55" s="108" t="str">
        <f t="shared" si="63"/>
        <v>*OILCRD</v>
      </c>
      <c r="E55" s="161">
        <f>VLOOKUP(C55,Worldprices!$B$49:$AN$92,$BW55,FALSE)</f>
        <v>10.257861292665213</v>
      </c>
      <c r="F55" s="161"/>
      <c r="G55" s="108" t="str">
        <f t="shared" si="64"/>
        <v>COST</v>
      </c>
      <c r="H55" s="126">
        <v>2024</v>
      </c>
      <c r="I55" s="108" t="str">
        <f t="shared" si="65"/>
        <v>EXPOILDSL*</v>
      </c>
      <c r="J55" s="108" t="str">
        <f t="shared" si="66"/>
        <v>*OILDSL</v>
      </c>
      <c r="K55" s="161">
        <f>VLOOKUP(I55,Worldprices!$B$49:$AN$92,$BW55,FALSE)</f>
        <v>13.013831605667521</v>
      </c>
      <c r="L55" s="161"/>
      <c r="M55" s="108" t="str">
        <f t="shared" si="67"/>
        <v>COST</v>
      </c>
      <c r="N55" s="126">
        <v>2024</v>
      </c>
      <c r="O55" s="108" t="str">
        <f t="shared" si="68"/>
        <v>EXPOILGSL*</v>
      </c>
      <c r="P55" s="108" t="str">
        <f t="shared" si="69"/>
        <v>*OILGSL</v>
      </c>
      <c r="Q55" s="161">
        <f>VLOOKUP(O55,Worldprices!$B$49:$AN$92,$BW55,FALSE)</f>
        <v>14.469837403305732</v>
      </c>
      <c r="R55" s="161"/>
      <c r="S55" s="108" t="str">
        <f t="shared" si="70"/>
        <v>COST</v>
      </c>
      <c r="T55" s="126">
        <v>2024</v>
      </c>
      <c r="U55" s="108" t="str">
        <f t="shared" ref="U55:V55" si="109">U54</f>
        <v>EXPOILLPG*</v>
      </c>
      <c r="V55" s="108" t="str">
        <f t="shared" si="109"/>
        <v>*OILLPG</v>
      </c>
      <c r="W55" s="161">
        <f>VLOOKUP(U55,Worldprices!$B$49:$AN$92,$BW55,FALSE)</f>
        <v>11.642672567175016</v>
      </c>
      <c r="X55" s="161"/>
      <c r="Y55" s="108" t="str">
        <f t="shared" si="72"/>
        <v>COST</v>
      </c>
      <c r="Z55" s="126">
        <v>2024</v>
      </c>
      <c r="AA55" s="108" t="str">
        <f t="shared" ref="AA55:AB55" si="110">AA54</f>
        <v>EXPOILHFO*</v>
      </c>
      <c r="AB55" s="108" t="str">
        <f t="shared" si="110"/>
        <v>*OILHFO</v>
      </c>
      <c r="AC55" s="161">
        <f>VLOOKUP(AA55,Worldprices!$B$49:$AN$92,$BW55,FALSE)</f>
        <v>7.2451274310094407</v>
      </c>
      <c r="AD55" s="161"/>
      <c r="AE55" s="108" t="str">
        <f t="shared" si="74"/>
        <v>COST</v>
      </c>
      <c r="AF55" s="126">
        <v>2024</v>
      </c>
      <c r="AG55" s="108" t="str">
        <f t="shared" ref="AG55:AH55" si="111">AG54</f>
        <v>EXPOILKER*</v>
      </c>
      <c r="AH55" s="108" t="str">
        <f t="shared" si="111"/>
        <v>*OILKER</v>
      </c>
      <c r="AI55" s="161">
        <f>VLOOKUP(AG55,Worldprices!$B$49:$AN$92,$BW55,FALSE)</f>
        <v>14.073704497302192</v>
      </c>
      <c r="AJ55" s="161"/>
      <c r="AK55" s="108" t="str">
        <f t="shared" si="76"/>
        <v>COST</v>
      </c>
      <c r="AL55" s="126">
        <v>2024</v>
      </c>
      <c r="AM55" s="108" t="str">
        <f t="shared" si="77"/>
        <v>EXPOILNG*</v>
      </c>
      <c r="AN55" s="108" t="str">
        <f t="shared" si="77"/>
        <v>*OILNGL</v>
      </c>
      <c r="AO55" s="161">
        <f>VLOOKUP(AM55,Worldprices!$B$49:$AN$92,$BW55,FALSE)</f>
        <v>7.2454965552528607</v>
      </c>
      <c r="AP55" s="161"/>
      <c r="AQ55" s="108" t="str">
        <f t="shared" si="78"/>
        <v>COST</v>
      </c>
      <c r="AR55" s="126">
        <v>2024</v>
      </c>
      <c r="AS55" s="108" t="str">
        <f t="shared" si="79"/>
        <v>EXPOILBIT*</v>
      </c>
      <c r="AT55" s="108" t="str">
        <f t="shared" si="79"/>
        <v>*OILBIT</v>
      </c>
      <c r="AU55" s="161">
        <f>VLOOKUP(AS55,Worldprices!$B$49:$AN$92,$BW55,FALSE)</f>
        <v>7.2454965552528607</v>
      </c>
      <c r="AV55" s="161"/>
      <c r="AW55" s="108" t="str">
        <f t="shared" si="80"/>
        <v>COST</v>
      </c>
      <c r="AX55" s="126">
        <v>2024</v>
      </c>
      <c r="AY55" s="108" t="str">
        <f t="shared" si="81"/>
        <v>EXPOILLUB*</v>
      </c>
      <c r="AZ55" s="108" t="str">
        <f t="shared" si="81"/>
        <v>*OILLUB</v>
      </c>
      <c r="BA55" s="161">
        <f>VLOOKUP(AY55,Worldprices!$B$49:$AN$92,$BW55,FALSE)</f>
        <v>7.2454965552528607</v>
      </c>
      <c r="BB55" s="161"/>
      <c r="BC55" s="108" t="str">
        <f t="shared" si="82"/>
        <v>COST</v>
      </c>
      <c r="BD55" s="126">
        <v>2024</v>
      </c>
      <c r="BE55" s="108" t="str">
        <f t="shared" si="83"/>
        <v>EXPGASNAT_**E01</v>
      </c>
      <c r="BF55" s="108" t="str">
        <f t="shared" si="83"/>
        <v>PITGASNA*</v>
      </c>
      <c r="BG55" s="161">
        <f>VLOOKUP(BE55,Worldprices!$B$49:$AN$92,$BW55,FALSE)</f>
        <v>6.5271899374999993</v>
      </c>
      <c r="BH55" s="161"/>
      <c r="BI55" s="108" t="str">
        <f t="shared" si="84"/>
        <v>COST</v>
      </c>
      <c r="BJ55" s="126">
        <v>2024</v>
      </c>
      <c r="BK55" s="108" t="str">
        <f t="shared" ref="BK55" si="112">BK54</f>
        <v>EXPGASNAT_**E02</v>
      </c>
      <c r="BL55" s="108" t="str">
        <f t="shared" si="59"/>
        <v>PITGASNA*</v>
      </c>
      <c r="BM55" s="161">
        <f>VLOOKUP(BK55,Worldprices!$B$49:$AN$92,$BW55,FALSE)</f>
        <v>5.6188700360189578</v>
      </c>
      <c r="BN55" s="161"/>
      <c r="BO55" s="108" t="str">
        <f t="shared" si="86"/>
        <v>COST</v>
      </c>
      <c r="BP55" s="126">
        <v>2024</v>
      </c>
      <c r="BQ55" s="108" t="str">
        <f t="shared" ref="BQ55:BR55" si="113">BQ54</f>
        <v>EXPELC*</v>
      </c>
      <c r="BR55" s="108" t="str">
        <f t="shared" si="113"/>
        <v>ELCHIGG</v>
      </c>
      <c r="BS55" s="161">
        <f t="shared" si="60"/>
        <v>17.230285014739206</v>
      </c>
      <c r="BT55" s="161"/>
      <c r="BU55" s="161"/>
      <c r="BV55" s="161"/>
      <c r="BW55" s="108">
        <f t="shared" si="88"/>
        <v>12</v>
      </c>
    </row>
    <row r="56" spans="1:75" x14ac:dyDescent="0.25">
      <c r="A56" s="108" t="str">
        <f t="shared" si="61"/>
        <v>COST</v>
      </c>
      <c r="B56" s="126">
        <v>2025</v>
      </c>
      <c r="C56" s="108" t="str">
        <f t="shared" si="62"/>
        <v>EXPOILCRD*</v>
      </c>
      <c r="D56" s="108" t="str">
        <f t="shared" si="63"/>
        <v>*OILCRD</v>
      </c>
      <c r="E56" s="161">
        <f>VLOOKUP(C56,Worldprices!$B$49:$AN$92,$BW56,FALSE)</f>
        <v>10.970361292665213</v>
      </c>
      <c r="F56" s="161"/>
      <c r="G56" s="108" t="str">
        <f t="shared" si="64"/>
        <v>COST</v>
      </c>
      <c r="H56" s="126">
        <v>2025</v>
      </c>
      <c r="I56" s="108" t="str">
        <f t="shared" si="65"/>
        <v>EXPOILDSL*</v>
      </c>
      <c r="J56" s="108" t="str">
        <f t="shared" si="66"/>
        <v>*OILDSL</v>
      </c>
      <c r="K56" s="161">
        <f>VLOOKUP(I56,Worldprices!$B$49:$AN$92,$BW56,FALSE)</f>
        <v>13.917758336054119</v>
      </c>
      <c r="L56" s="161"/>
      <c r="M56" s="108" t="str">
        <f t="shared" si="67"/>
        <v>COST</v>
      </c>
      <c r="N56" s="126">
        <v>2025</v>
      </c>
      <c r="O56" s="108" t="str">
        <f t="shared" si="68"/>
        <v>EXPOILGSL*</v>
      </c>
      <c r="P56" s="108" t="str">
        <f t="shared" si="69"/>
        <v>*OILGSL</v>
      </c>
      <c r="Q56" s="161">
        <f>VLOOKUP(O56,Worldprices!$B$49:$AN$92,$BW56,FALSE)</f>
        <v>15.474896728608485</v>
      </c>
      <c r="R56" s="161"/>
      <c r="S56" s="108" t="str">
        <f t="shared" si="70"/>
        <v>COST</v>
      </c>
      <c r="T56" s="126">
        <v>2025</v>
      </c>
      <c r="U56" s="108" t="str">
        <f t="shared" ref="U56:V56" si="114">U55</f>
        <v>EXPOILLPG*</v>
      </c>
      <c r="V56" s="108" t="str">
        <f t="shared" si="114"/>
        <v>*OILLPG</v>
      </c>
      <c r="W56" s="161">
        <f>VLOOKUP(U56,Worldprices!$B$49:$AN$92,$BW56,FALSE)</f>
        <v>12.451360067175017</v>
      </c>
      <c r="X56" s="161"/>
      <c r="Y56" s="108" t="str">
        <f t="shared" si="72"/>
        <v>COST</v>
      </c>
      <c r="Z56" s="126">
        <v>2025</v>
      </c>
      <c r="AA56" s="108" t="str">
        <f t="shared" ref="AA56:AB56" si="115">AA55</f>
        <v>EXPOILHFO*</v>
      </c>
      <c r="AB56" s="108" t="str">
        <f t="shared" si="115"/>
        <v>*OILHFO</v>
      </c>
      <c r="AC56" s="161">
        <f>VLOOKUP(AA56,Worldprices!$B$49:$AN$92,$BW56,FALSE)</f>
        <v>7.7483661810094411</v>
      </c>
      <c r="AD56" s="161"/>
      <c r="AE56" s="108" t="str">
        <f t="shared" si="74"/>
        <v>COST</v>
      </c>
      <c r="AF56" s="126">
        <v>2025</v>
      </c>
      <c r="AG56" s="108" t="str">
        <f t="shared" ref="AG56:AH56" si="116">AG55</f>
        <v>EXPOILKER*</v>
      </c>
      <c r="AH56" s="108" t="str">
        <f t="shared" si="116"/>
        <v>*OILKER</v>
      </c>
      <c r="AI56" s="161">
        <f>VLOOKUP(AG56,Worldprices!$B$49:$AN$92,$BW56,FALSE)</f>
        <v>15.051248857499175</v>
      </c>
      <c r="AJ56" s="161"/>
      <c r="AK56" s="108" t="str">
        <f t="shared" si="76"/>
        <v>COST</v>
      </c>
      <c r="AL56" s="126">
        <v>2025</v>
      </c>
      <c r="AM56" s="108" t="str">
        <f t="shared" si="77"/>
        <v>EXPOILNG*</v>
      </c>
      <c r="AN56" s="108" t="str">
        <f t="shared" si="77"/>
        <v>*OILNGL</v>
      </c>
      <c r="AO56" s="161">
        <f>VLOOKUP(AM56,Worldprices!$B$49:$AN$92,$BW56,FALSE)</f>
        <v>7.7487609442253449</v>
      </c>
      <c r="AP56" s="161"/>
      <c r="AQ56" s="108" t="str">
        <f t="shared" si="78"/>
        <v>COST</v>
      </c>
      <c r="AR56" s="126">
        <v>2025</v>
      </c>
      <c r="AS56" s="108" t="str">
        <f t="shared" si="79"/>
        <v>EXPOILBIT*</v>
      </c>
      <c r="AT56" s="108" t="str">
        <f t="shared" si="79"/>
        <v>*OILBIT</v>
      </c>
      <c r="AU56" s="161">
        <f>VLOOKUP(AS56,Worldprices!$B$49:$AN$92,$BW56,FALSE)</f>
        <v>7.7487609442253449</v>
      </c>
      <c r="AV56" s="161"/>
      <c r="AW56" s="108" t="str">
        <f t="shared" si="80"/>
        <v>COST</v>
      </c>
      <c r="AX56" s="126">
        <v>2025</v>
      </c>
      <c r="AY56" s="108" t="str">
        <f t="shared" si="81"/>
        <v>EXPOILLUB*</v>
      </c>
      <c r="AZ56" s="108" t="str">
        <f t="shared" si="81"/>
        <v>*OILLUB</v>
      </c>
      <c r="BA56" s="161">
        <f>VLOOKUP(AY56,Worldprices!$B$49:$AN$92,$BW56,FALSE)</f>
        <v>7.7487609442253449</v>
      </c>
      <c r="BB56" s="161"/>
      <c r="BC56" s="108" t="str">
        <f t="shared" si="82"/>
        <v>COST</v>
      </c>
      <c r="BD56" s="126">
        <v>2025</v>
      </c>
      <c r="BE56" s="108" t="str">
        <f t="shared" si="83"/>
        <v>EXPGASNAT_**E01</v>
      </c>
      <c r="BF56" s="108" t="str">
        <f t="shared" si="83"/>
        <v>PITGASNA*</v>
      </c>
      <c r="BG56" s="161">
        <f>VLOOKUP(BE56,Worldprices!$B$49:$AN$92,$BW56,FALSE)</f>
        <v>7.002189937499999</v>
      </c>
      <c r="BH56" s="161"/>
      <c r="BI56" s="108" t="str">
        <f t="shared" si="84"/>
        <v>COST</v>
      </c>
      <c r="BJ56" s="126">
        <v>2025</v>
      </c>
      <c r="BK56" s="108" t="str">
        <f t="shared" ref="BK56" si="117">BK55</f>
        <v>EXPGASNAT_**E02</v>
      </c>
      <c r="BL56" s="108" t="str">
        <f t="shared" si="59"/>
        <v>PITGASNA*</v>
      </c>
      <c r="BM56" s="161">
        <f>VLOOKUP(BK56,Worldprices!$B$49:$AN$92,$BW56,FALSE)</f>
        <v>5.7312474367393369</v>
      </c>
      <c r="BN56" s="161"/>
      <c r="BO56" s="108" t="str">
        <f t="shared" si="86"/>
        <v>COST</v>
      </c>
      <c r="BP56" s="126">
        <v>2025</v>
      </c>
      <c r="BQ56" s="108" t="str">
        <f t="shared" ref="BQ56:BR56" si="118">BQ55</f>
        <v>EXPELC*</v>
      </c>
      <c r="BR56" s="108" t="str">
        <f t="shared" si="118"/>
        <v>ELCHIGG</v>
      </c>
      <c r="BS56" s="161">
        <f t="shared" si="60"/>
        <v>17.574890715033991</v>
      </c>
      <c r="BT56" s="161"/>
      <c r="BU56" s="161"/>
      <c r="BV56" s="161"/>
      <c r="BW56" s="108">
        <f t="shared" si="88"/>
        <v>13</v>
      </c>
    </row>
    <row r="57" spans="1:75" hidden="1" x14ac:dyDescent="0.25">
      <c r="A57" s="108" t="str">
        <f t="shared" si="61"/>
        <v>COST</v>
      </c>
      <c r="B57" s="126">
        <v>2026</v>
      </c>
      <c r="C57" s="108" t="str">
        <f t="shared" si="62"/>
        <v>EXPOILCRD*</v>
      </c>
      <c r="D57" s="108" t="str">
        <f t="shared" si="63"/>
        <v>*OILCRD</v>
      </c>
      <c r="E57" s="161">
        <f>VLOOKUP(C57,Worldprices!$B$49:$AN$92,$BW57,FALSE)</f>
        <v>12.22426470588235</v>
      </c>
      <c r="F57" s="161"/>
      <c r="G57" s="108" t="str">
        <f t="shared" si="64"/>
        <v>COST</v>
      </c>
      <c r="H57" s="126">
        <v>2026</v>
      </c>
      <c r="I57" s="108" t="str">
        <f t="shared" si="65"/>
        <v>EXPOILDSL*</v>
      </c>
      <c r="J57" s="108" t="str">
        <f t="shared" si="66"/>
        <v>*OILDSL</v>
      </c>
      <c r="K57" s="161">
        <f>VLOOKUP(I57,Worldprices!$B$49:$AN$92,$BW57,FALSE)</f>
        <v>15.5085468448681</v>
      </c>
      <c r="L57" s="161"/>
      <c r="M57" s="108" t="str">
        <f t="shared" si="67"/>
        <v>COST</v>
      </c>
      <c r="N57" s="126">
        <v>2026</v>
      </c>
      <c r="O57" s="108" t="str">
        <f t="shared" si="68"/>
        <v>EXPOILGSL*</v>
      </c>
      <c r="P57" s="108" t="str">
        <f t="shared" si="69"/>
        <v>*OILGSL</v>
      </c>
      <c r="Q57" s="161">
        <f>VLOOKUP(O57,Worldprices!$B$49:$AN$92,$BW57,FALSE)</f>
        <v>17.243664894900185</v>
      </c>
      <c r="R57" s="161"/>
      <c r="S57" s="108" t="str">
        <f t="shared" si="70"/>
        <v>COST</v>
      </c>
      <c r="T57" s="126">
        <v>2026</v>
      </c>
      <c r="U57" s="108" t="str">
        <f t="shared" ref="U57:V57" si="119">U56</f>
        <v>EXPOILLPG*</v>
      </c>
      <c r="V57" s="108" t="str">
        <f t="shared" si="119"/>
        <v>*OILLPG</v>
      </c>
      <c r="W57" s="161">
        <f>VLOOKUP(U57,Worldprices!$B$49:$AN$92,$BW57,FALSE)</f>
        <v>13.874540441176467</v>
      </c>
      <c r="X57" s="161"/>
      <c r="Y57" s="108" t="str">
        <f t="shared" si="72"/>
        <v>COST</v>
      </c>
      <c r="Z57" s="126">
        <v>2026</v>
      </c>
      <c r="AA57" s="108" t="str">
        <f t="shared" ref="AA57:AB57" si="120">AA56</f>
        <v>EXPOILHFO*</v>
      </c>
      <c r="AB57" s="108" t="str">
        <f t="shared" si="120"/>
        <v>*OILHFO</v>
      </c>
      <c r="AC57" s="161">
        <f>VLOOKUP(AA57,Worldprices!$B$49:$AN$92,$BW57,FALSE)</f>
        <v>8.6339981617647048</v>
      </c>
      <c r="AD57" s="161"/>
      <c r="AE57" s="108" t="str">
        <f t="shared" si="74"/>
        <v>COST</v>
      </c>
      <c r="AF57" s="126">
        <v>2026</v>
      </c>
      <c r="AG57" s="108" t="str">
        <f t="shared" ref="AG57:AH57" si="121">AG56</f>
        <v>EXPOILKER*</v>
      </c>
      <c r="AH57" s="108" t="str">
        <f t="shared" si="121"/>
        <v>*OILKER</v>
      </c>
      <c r="AI57" s="161">
        <f>VLOOKUP(AG57,Worldprices!$B$49:$AN$92,$BW57,FALSE)</f>
        <v>16.77159441514431</v>
      </c>
      <c r="AJ57" s="161"/>
      <c r="AK57" s="108" t="str">
        <f t="shared" si="76"/>
        <v>COST</v>
      </c>
      <c r="AL57" s="126">
        <v>2026</v>
      </c>
      <c r="AM57" s="108" t="str">
        <f t="shared" si="77"/>
        <v>EXPOILNG*</v>
      </c>
      <c r="AN57" s="108" t="str">
        <f t="shared" si="77"/>
        <v>*OILNGL</v>
      </c>
      <c r="AO57" s="161">
        <f>VLOOKUP(AM57,Worldprices!$B$49:$AN$92,$BW57,FALSE)</f>
        <v>8.6344380460965535</v>
      </c>
      <c r="AP57" s="161"/>
      <c r="AQ57" s="108" t="str">
        <f t="shared" si="78"/>
        <v>COST</v>
      </c>
      <c r="AR57" s="126">
        <v>2026</v>
      </c>
      <c r="AS57" s="108" t="str">
        <f t="shared" si="79"/>
        <v>EXPOILBIT*</v>
      </c>
      <c r="AT57" s="108" t="str">
        <f t="shared" si="79"/>
        <v>*OILBIT</v>
      </c>
      <c r="AU57" s="161">
        <f>VLOOKUP(AS57,Worldprices!$B$49:$AN$92,$BW57,FALSE)</f>
        <v>8.6344380460965535</v>
      </c>
      <c r="AV57" s="161"/>
      <c r="AW57" s="108" t="str">
        <f t="shared" si="80"/>
        <v>COST</v>
      </c>
      <c r="AX57" s="126">
        <v>2026</v>
      </c>
      <c r="AY57" s="108" t="str">
        <f t="shared" si="81"/>
        <v>EXPOILLUB*</v>
      </c>
      <c r="AZ57" s="108" t="str">
        <f t="shared" si="81"/>
        <v>*OILLUB</v>
      </c>
      <c r="BA57" s="161">
        <f>VLOOKUP(AY57,Worldprices!$B$49:$AN$92,$BW57,FALSE)</f>
        <v>8.6344380460965535</v>
      </c>
      <c r="BB57" s="161"/>
      <c r="BC57" s="108" t="str">
        <f t="shared" si="82"/>
        <v>COST</v>
      </c>
      <c r="BD57" s="126">
        <v>2026</v>
      </c>
      <c r="BE57" s="108" t="str">
        <f t="shared" si="83"/>
        <v>EXPGASNAT_**E01</v>
      </c>
      <c r="BF57" s="108" t="str">
        <f t="shared" si="83"/>
        <v>PITGASNA*</v>
      </c>
      <c r="BG57" s="161">
        <f>VLOOKUP(BE57,Worldprices!$B$49:$AN$92,$BW57,FALSE)</f>
        <v>7.13587723875</v>
      </c>
      <c r="BH57" s="161"/>
      <c r="BI57" s="108" t="str">
        <f t="shared" si="84"/>
        <v>COST</v>
      </c>
      <c r="BJ57" s="126">
        <v>2026</v>
      </c>
      <c r="BK57" s="108" t="str">
        <f t="shared" ref="BK57" si="122">BK56</f>
        <v>EXPGASNAT_**E02</v>
      </c>
      <c r="BL57" s="108" t="str">
        <f t="shared" si="59"/>
        <v>PITGASNA*</v>
      </c>
      <c r="BM57" s="161">
        <f>VLOOKUP(BK57,Worldprices!$B$49:$AN$92,$BW57,FALSE)</f>
        <v>5.8745286226578202</v>
      </c>
      <c r="BN57" s="161"/>
      <c r="BO57" s="108" t="str">
        <f t="shared" si="86"/>
        <v>COST</v>
      </c>
      <c r="BP57" s="126">
        <v>2026</v>
      </c>
      <c r="BQ57" s="108" t="str">
        <f t="shared" ref="BQ57:BR57" si="123">BQ56</f>
        <v>EXPELC*</v>
      </c>
      <c r="BR57" s="108" t="str">
        <f t="shared" si="123"/>
        <v>ELCHIGG</v>
      </c>
      <c r="BS57" s="161">
        <f t="shared" si="60"/>
        <v>17.92638852933467</v>
      </c>
      <c r="BT57" s="161"/>
      <c r="BU57" s="161"/>
      <c r="BV57" s="161"/>
      <c r="BW57" s="108">
        <f t="shared" si="88"/>
        <v>14</v>
      </c>
    </row>
    <row r="58" spans="1:75" hidden="1" x14ac:dyDescent="0.25">
      <c r="A58" s="108" t="str">
        <f t="shared" si="61"/>
        <v>COST</v>
      </c>
      <c r="B58" s="126">
        <v>2027</v>
      </c>
      <c r="C58" s="108" t="str">
        <f t="shared" si="62"/>
        <v>EXPOILCRD*</v>
      </c>
      <c r="D58" s="108" t="str">
        <f t="shared" si="63"/>
        <v>*OILCRD</v>
      </c>
      <c r="E58" s="161">
        <f>VLOOKUP(C58,Worldprices!$B$49:$AN$92,$BW58,FALSE)</f>
        <v>12.780501089324616</v>
      </c>
      <c r="F58" s="161"/>
      <c r="G58" s="108" t="str">
        <f t="shared" si="64"/>
        <v>COST</v>
      </c>
      <c r="H58" s="126">
        <v>2027</v>
      </c>
      <c r="I58" s="108" t="str">
        <f t="shared" si="65"/>
        <v>EXPOILDSL*</v>
      </c>
      <c r="J58" s="108" t="str">
        <f t="shared" si="66"/>
        <v>*OILDSL</v>
      </c>
      <c r="K58" s="161">
        <f>VLOOKUP(I58,Worldprices!$B$49:$AN$92,$BW58,FALSE)</f>
        <v>16.214226754211307</v>
      </c>
      <c r="L58" s="161"/>
      <c r="M58" s="108" t="str">
        <f t="shared" si="67"/>
        <v>COST</v>
      </c>
      <c r="N58" s="126">
        <v>2027</v>
      </c>
      <c r="O58" s="108" t="str">
        <f t="shared" si="68"/>
        <v>EXPOILGSL*</v>
      </c>
      <c r="P58" s="108" t="str">
        <f t="shared" si="69"/>
        <v>*OILGSL</v>
      </c>
      <c r="Q58" s="161">
        <f>VLOOKUP(O58,Worldprices!$B$49:$AN$92,$BW58,FALSE)</f>
        <v>18.028297265779241</v>
      </c>
      <c r="R58" s="161"/>
      <c r="S58" s="108" t="str">
        <f t="shared" si="70"/>
        <v>COST</v>
      </c>
      <c r="T58" s="126">
        <v>2027</v>
      </c>
      <c r="U58" s="108" t="str">
        <f t="shared" ref="U58:V58" si="124">U57</f>
        <v>EXPOILLPG*</v>
      </c>
      <c r="V58" s="108" t="str">
        <f t="shared" si="124"/>
        <v>*OILLPG</v>
      </c>
      <c r="W58" s="161">
        <f>VLOOKUP(U58,Worldprices!$B$49:$AN$92,$BW58,FALSE)</f>
        <v>14.505868736383439</v>
      </c>
      <c r="X58" s="161"/>
      <c r="Y58" s="108" t="str">
        <f t="shared" si="72"/>
        <v>COST</v>
      </c>
      <c r="Z58" s="126">
        <v>2027</v>
      </c>
      <c r="AA58" s="108" t="str">
        <f t="shared" ref="AA58:AB58" si="125">AA57</f>
        <v>EXPOILHFO*</v>
      </c>
      <c r="AB58" s="108" t="str">
        <f t="shared" si="125"/>
        <v>*OILHFO</v>
      </c>
      <c r="AC58" s="161">
        <f>VLOOKUP(AA58,Worldprices!$B$49:$AN$92,$BW58,FALSE)</f>
        <v>9.0268679193899768</v>
      </c>
      <c r="AD58" s="161"/>
      <c r="AE58" s="108" t="str">
        <f t="shared" si="74"/>
        <v>COST</v>
      </c>
      <c r="AF58" s="126">
        <v>2027</v>
      </c>
      <c r="AG58" s="108" t="str">
        <f t="shared" ref="AG58:AH58" si="126">AG57</f>
        <v>EXPOILKER*</v>
      </c>
      <c r="AH58" s="108" t="str">
        <f t="shared" si="126"/>
        <v>*OILKER</v>
      </c>
      <c r="AI58" s="161">
        <f>VLOOKUP(AG58,Worldprices!$B$49:$AN$92,$BW58,FALSE)</f>
        <v>17.534746330330773</v>
      </c>
      <c r="AJ58" s="161"/>
      <c r="AK58" s="108" t="str">
        <f t="shared" si="76"/>
        <v>COST</v>
      </c>
      <c r="AL58" s="126">
        <v>2027</v>
      </c>
      <c r="AM58" s="108" t="str">
        <f t="shared" si="77"/>
        <v>EXPOILNG*</v>
      </c>
      <c r="AN58" s="108" t="str">
        <f t="shared" si="77"/>
        <v>*OILNGL</v>
      </c>
      <c r="AO58" s="161">
        <f>VLOOKUP(AM58,Worldprices!$B$49:$AN$92,$BW58,FALSE)</f>
        <v>9.0273278196226396</v>
      </c>
      <c r="AP58" s="161"/>
      <c r="AQ58" s="108" t="str">
        <f t="shared" si="78"/>
        <v>COST</v>
      </c>
      <c r="AR58" s="126">
        <v>2027</v>
      </c>
      <c r="AS58" s="108" t="str">
        <f t="shared" si="79"/>
        <v>EXPOILBIT*</v>
      </c>
      <c r="AT58" s="108" t="str">
        <f t="shared" si="79"/>
        <v>*OILBIT</v>
      </c>
      <c r="AU58" s="161">
        <f>VLOOKUP(AS58,Worldprices!$B$49:$AN$92,$BW58,FALSE)</f>
        <v>9.0273278196226396</v>
      </c>
      <c r="AV58" s="161"/>
      <c r="AW58" s="108" t="str">
        <f t="shared" si="80"/>
        <v>COST</v>
      </c>
      <c r="AX58" s="126">
        <v>2027</v>
      </c>
      <c r="AY58" s="108" t="str">
        <f t="shared" si="81"/>
        <v>EXPOILLUB*</v>
      </c>
      <c r="AZ58" s="108" t="str">
        <f t="shared" si="81"/>
        <v>*OILLUB</v>
      </c>
      <c r="BA58" s="161">
        <f>VLOOKUP(AY58,Worldprices!$B$49:$AN$92,$BW58,FALSE)</f>
        <v>9.0273278196226396</v>
      </c>
      <c r="BB58" s="161"/>
      <c r="BC58" s="108" t="str">
        <f t="shared" si="82"/>
        <v>COST</v>
      </c>
      <c r="BD58" s="126">
        <v>2027</v>
      </c>
      <c r="BE58" s="108" t="str">
        <f t="shared" si="83"/>
        <v>EXPGASNAT_**E01</v>
      </c>
      <c r="BF58" s="108" t="str">
        <f t="shared" si="83"/>
        <v>PITGASNA*</v>
      </c>
      <c r="BG58" s="161">
        <f>VLOOKUP(BE58,Worldprices!$B$49:$AN$92,$BW58,FALSE)</f>
        <v>7.2334234049999999</v>
      </c>
      <c r="BH58" s="161"/>
      <c r="BI58" s="108" t="str">
        <f t="shared" si="84"/>
        <v>COST</v>
      </c>
      <c r="BJ58" s="126">
        <v>2027</v>
      </c>
      <c r="BK58" s="108" t="str">
        <f t="shared" ref="BK58" si="127">BK57</f>
        <v>EXPGASNAT_**E02</v>
      </c>
      <c r="BL58" s="108" t="str">
        <f t="shared" si="59"/>
        <v>PITGASNA*</v>
      </c>
      <c r="BM58" s="161">
        <f>VLOOKUP(BK58,Worldprices!$B$49:$AN$92,$BW58,FALSE)</f>
        <v>6.0213918382242646</v>
      </c>
      <c r="BN58" s="161"/>
      <c r="BO58" s="108" t="str">
        <f t="shared" si="86"/>
        <v>COST</v>
      </c>
      <c r="BP58" s="126">
        <v>2027</v>
      </c>
      <c r="BQ58" s="108" t="str">
        <f t="shared" ref="BQ58:BR58" si="128">BQ57</f>
        <v>EXPELC*</v>
      </c>
      <c r="BR58" s="108" t="str">
        <f t="shared" si="128"/>
        <v>ELCHIGG</v>
      </c>
      <c r="BS58" s="161">
        <f t="shared" si="60"/>
        <v>18.284916299921363</v>
      </c>
      <c r="BT58" s="161"/>
      <c r="BU58" s="161"/>
      <c r="BV58" s="161"/>
      <c r="BW58" s="108">
        <f t="shared" si="88"/>
        <v>15</v>
      </c>
    </row>
    <row r="59" spans="1:75" hidden="1" x14ac:dyDescent="0.25">
      <c r="A59" s="108" t="str">
        <f t="shared" si="61"/>
        <v>COST</v>
      </c>
      <c r="B59" s="126">
        <v>2028</v>
      </c>
      <c r="C59" s="108" t="str">
        <f t="shared" si="62"/>
        <v>EXPOILCRD*</v>
      </c>
      <c r="D59" s="108" t="str">
        <f t="shared" si="63"/>
        <v>*OILCRD</v>
      </c>
      <c r="E59" s="161">
        <f>VLOOKUP(C59,Worldprices!$B$49:$AN$92,$BW59,FALSE)</f>
        <v>13.336737472766881</v>
      </c>
      <c r="F59" s="161"/>
      <c r="G59" s="108" t="str">
        <f t="shared" si="64"/>
        <v>COST</v>
      </c>
      <c r="H59" s="126">
        <v>2028</v>
      </c>
      <c r="I59" s="108" t="str">
        <f t="shared" si="65"/>
        <v>EXPOILDSL*</v>
      </c>
      <c r="J59" s="108" t="str">
        <f t="shared" si="66"/>
        <v>*OILDSL</v>
      </c>
      <c r="K59" s="161">
        <f>VLOOKUP(I59,Worldprices!$B$49:$AN$92,$BW59,FALSE)</f>
        <v>16.919906663554507</v>
      </c>
      <c r="L59" s="161"/>
      <c r="M59" s="108" t="str">
        <f t="shared" si="67"/>
        <v>COST</v>
      </c>
      <c r="N59" s="126">
        <v>2028</v>
      </c>
      <c r="O59" s="108" t="str">
        <f t="shared" si="68"/>
        <v>EXPOILGSL*</v>
      </c>
      <c r="P59" s="108" t="str">
        <f t="shared" si="69"/>
        <v>*OILGSL</v>
      </c>
      <c r="Q59" s="161">
        <f>VLOOKUP(O59,Worldprices!$B$49:$AN$92,$BW59,FALSE)</f>
        <v>18.812929636658296</v>
      </c>
      <c r="R59" s="161"/>
      <c r="S59" s="108" t="str">
        <f t="shared" si="70"/>
        <v>COST</v>
      </c>
      <c r="T59" s="126">
        <v>2028</v>
      </c>
      <c r="U59" s="108" t="str">
        <f t="shared" ref="U59:V59" si="129">U58</f>
        <v>EXPOILLPG*</v>
      </c>
      <c r="V59" s="108" t="str">
        <f t="shared" si="129"/>
        <v>*OILLPG</v>
      </c>
      <c r="W59" s="161">
        <f>VLOOKUP(U59,Worldprices!$B$49:$AN$92,$BW59,FALSE)</f>
        <v>15.137197031590409</v>
      </c>
      <c r="X59" s="161"/>
      <c r="Y59" s="108" t="str">
        <f t="shared" si="72"/>
        <v>COST</v>
      </c>
      <c r="Z59" s="126">
        <v>2028</v>
      </c>
      <c r="AA59" s="108" t="str">
        <f t="shared" ref="AA59:AB59" si="130">AA58</f>
        <v>EXPOILHFO*</v>
      </c>
      <c r="AB59" s="108" t="str">
        <f t="shared" si="130"/>
        <v>*OILHFO</v>
      </c>
      <c r="AC59" s="161">
        <f>VLOOKUP(AA59,Worldprices!$B$49:$AN$92,$BW59,FALSE)</f>
        <v>9.419737677015247</v>
      </c>
      <c r="AD59" s="161"/>
      <c r="AE59" s="108" t="str">
        <f t="shared" si="74"/>
        <v>COST</v>
      </c>
      <c r="AF59" s="126">
        <v>2028</v>
      </c>
      <c r="AG59" s="108" t="str">
        <f t="shared" ref="AG59:AH59" si="131">AG58</f>
        <v>EXPOILKER*</v>
      </c>
      <c r="AH59" s="108" t="str">
        <f t="shared" si="131"/>
        <v>*OILKER</v>
      </c>
      <c r="AI59" s="161">
        <f>VLOOKUP(AG59,Worldprices!$B$49:$AN$92,$BW59,FALSE)</f>
        <v>18.297898245517231</v>
      </c>
      <c r="AJ59" s="161"/>
      <c r="AK59" s="108" t="str">
        <f t="shared" si="76"/>
        <v>COST</v>
      </c>
      <c r="AL59" s="126">
        <v>2028</v>
      </c>
      <c r="AM59" s="108" t="str">
        <f t="shared" si="77"/>
        <v>EXPOILNG*</v>
      </c>
      <c r="AN59" s="108" t="str">
        <f t="shared" si="77"/>
        <v>*OILNGL</v>
      </c>
      <c r="AO59" s="161">
        <f>VLOOKUP(AM59,Worldprices!$B$49:$AN$92,$BW59,FALSE)</f>
        <v>9.4202175931487258</v>
      </c>
      <c r="AP59" s="161"/>
      <c r="AQ59" s="108" t="str">
        <f t="shared" si="78"/>
        <v>COST</v>
      </c>
      <c r="AR59" s="126">
        <v>2028</v>
      </c>
      <c r="AS59" s="108" t="str">
        <f t="shared" si="79"/>
        <v>EXPOILBIT*</v>
      </c>
      <c r="AT59" s="108" t="str">
        <f t="shared" si="79"/>
        <v>*OILBIT</v>
      </c>
      <c r="AU59" s="161">
        <f>VLOOKUP(AS59,Worldprices!$B$49:$AN$92,$BW59,FALSE)</f>
        <v>9.4202175931487258</v>
      </c>
      <c r="AV59" s="161"/>
      <c r="AW59" s="108" t="str">
        <f t="shared" si="80"/>
        <v>COST</v>
      </c>
      <c r="AX59" s="126">
        <v>2028</v>
      </c>
      <c r="AY59" s="108" t="str">
        <f t="shared" si="81"/>
        <v>EXPOILLUB*</v>
      </c>
      <c r="AZ59" s="108" t="str">
        <f t="shared" si="81"/>
        <v>*OILLUB</v>
      </c>
      <c r="BA59" s="161">
        <f>VLOOKUP(AY59,Worldprices!$B$49:$AN$92,$BW59,FALSE)</f>
        <v>9.4202175931487258</v>
      </c>
      <c r="BB59" s="161"/>
      <c r="BC59" s="108" t="str">
        <f t="shared" si="82"/>
        <v>COST</v>
      </c>
      <c r="BD59" s="126">
        <v>2028</v>
      </c>
      <c r="BE59" s="108" t="str">
        <f t="shared" si="83"/>
        <v>EXPGASNAT_**E01</v>
      </c>
      <c r="BF59" s="108" t="str">
        <f t="shared" si="83"/>
        <v>PITGASNA*</v>
      </c>
      <c r="BG59" s="161">
        <f>VLOOKUP(BE59,Worldprices!$B$49:$AN$92,$BW59,FALSE)</f>
        <v>7.3309695712499998</v>
      </c>
      <c r="BH59" s="161"/>
      <c r="BI59" s="108" t="str">
        <f t="shared" si="84"/>
        <v>COST</v>
      </c>
      <c r="BJ59" s="126">
        <v>2028</v>
      </c>
      <c r="BK59" s="108" t="str">
        <f t="shared" ref="BK59" si="132">BK58</f>
        <v>EXPGASNAT_**E02</v>
      </c>
      <c r="BL59" s="108" t="str">
        <f t="shared" si="59"/>
        <v>PITGASNA*</v>
      </c>
      <c r="BM59" s="161">
        <f>VLOOKUP(BK59,Worldprices!$B$49:$AN$92,$BW59,FALSE)</f>
        <v>6.1719266341798713</v>
      </c>
      <c r="BN59" s="161"/>
      <c r="BO59" s="108" t="str">
        <f t="shared" si="86"/>
        <v>COST</v>
      </c>
      <c r="BP59" s="126">
        <v>2028</v>
      </c>
      <c r="BQ59" s="108" t="str">
        <f t="shared" ref="BQ59:BR59" si="133">BQ58</f>
        <v>EXPELC*</v>
      </c>
      <c r="BR59" s="108" t="str">
        <f t="shared" si="133"/>
        <v>ELCHIGG</v>
      </c>
      <c r="BS59" s="161">
        <f t="shared" si="60"/>
        <v>18.65061462591979</v>
      </c>
      <c r="BT59" s="161"/>
      <c r="BU59" s="161"/>
      <c r="BV59" s="161"/>
      <c r="BW59" s="108">
        <f t="shared" si="88"/>
        <v>16</v>
      </c>
    </row>
    <row r="60" spans="1:75" hidden="1" x14ac:dyDescent="0.25">
      <c r="A60" s="108" t="str">
        <f t="shared" si="61"/>
        <v>COST</v>
      </c>
      <c r="B60" s="126">
        <v>2029</v>
      </c>
      <c r="C60" s="108" t="str">
        <f t="shared" si="62"/>
        <v>EXPOILCRD*</v>
      </c>
      <c r="D60" s="108" t="str">
        <f t="shared" si="63"/>
        <v>*OILCRD</v>
      </c>
      <c r="E60" s="161">
        <f>VLOOKUP(C60,Worldprices!$B$49:$AN$92,$BW60,FALSE)</f>
        <v>13.892973856209146</v>
      </c>
      <c r="F60" s="161"/>
      <c r="G60" s="108" t="str">
        <f t="shared" si="64"/>
        <v>COST</v>
      </c>
      <c r="H60" s="126">
        <v>2029</v>
      </c>
      <c r="I60" s="108" t="str">
        <f t="shared" si="65"/>
        <v>EXPOILDSL*</v>
      </c>
      <c r="J60" s="108" t="str">
        <f t="shared" si="66"/>
        <v>*OILDSL</v>
      </c>
      <c r="K60" s="161">
        <f>VLOOKUP(I60,Worldprices!$B$49:$AN$92,$BW60,FALSE)</f>
        <v>17.625586572897713</v>
      </c>
      <c r="L60" s="161"/>
      <c r="M60" s="108" t="str">
        <f t="shared" si="67"/>
        <v>COST</v>
      </c>
      <c r="N60" s="126">
        <v>2029</v>
      </c>
      <c r="O60" s="108" t="str">
        <f t="shared" si="68"/>
        <v>EXPOILGSL*</v>
      </c>
      <c r="P60" s="108" t="str">
        <f t="shared" si="69"/>
        <v>*OILGSL</v>
      </c>
      <c r="Q60" s="161">
        <f>VLOOKUP(O60,Worldprices!$B$49:$AN$92,$BW60,FALSE)</f>
        <v>19.597562007537352</v>
      </c>
      <c r="R60" s="161"/>
      <c r="S60" s="108" t="str">
        <f t="shared" si="70"/>
        <v>COST</v>
      </c>
      <c r="T60" s="126">
        <v>2029</v>
      </c>
      <c r="U60" s="108" t="str">
        <f t="shared" ref="U60:V60" si="134">U59</f>
        <v>EXPOILLPG*</v>
      </c>
      <c r="V60" s="108" t="str">
        <f t="shared" si="134"/>
        <v>*OILLPG</v>
      </c>
      <c r="W60" s="161">
        <f>VLOOKUP(U60,Worldprices!$B$49:$AN$92,$BW60,FALSE)</f>
        <v>15.768525326797379</v>
      </c>
      <c r="X60" s="161"/>
      <c r="Y60" s="108" t="str">
        <f t="shared" si="72"/>
        <v>COST</v>
      </c>
      <c r="Z60" s="126">
        <v>2029</v>
      </c>
      <c r="AA60" s="108" t="str">
        <f t="shared" ref="AA60:AB60" si="135">AA59</f>
        <v>EXPOILHFO*</v>
      </c>
      <c r="AB60" s="108" t="str">
        <f t="shared" si="135"/>
        <v>*OILHFO</v>
      </c>
      <c r="AC60" s="161">
        <f>VLOOKUP(AA60,Worldprices!$B$49:$AN$92,$BW60,FALSE)</f>
        <v>9.8126074346405208</v>
      </c>
      <c r="AD60" s="161"/>
      <c r="AE60" s="108" t="str">
        <f t="shared" si="74"/>
        <v>COST</v>
      </c>
      <c r="AF60" s="126">
        <v>2029</v>
      </c>
      <c r="AG60" s="108" t="str">
        <f t="shared" ref="AG60:AH60" si="136">AG59</f>
        <v>EXPOILKER*</v>
      </c>
      <c r="AH60" s="108" t="str">
        <f t="shared" si="136"/>
        <v>*OILKER</v>
      </c>
      <c r="AI60" s="161">
        <f>VLOOKUP(AG60,Worldprices!$B$49:$AN$92,$BW60,FALSE)</f>
        <v>19.06105016070369</v>
      </c>
      <c r="AJ60" s="161"/>
      <c r="AK60" s="108" t="str">
        <f t="shared" si="76"/>
        <v>COST</v>
      </c>
      <c r="AL60" s="126">
        <v>2029</v>
      </c>
      <c r="AM60" s="108" t="str">
        <f t="shared" si="77"/>
        <v>EXPOILNG*</v>
      </c>
      <c r="AN60" s="108" t="str">
        <f t="shared" si="77"/>
        <v>*OILNGL</v>
      </c>
      <c r="AO60" s="161">
        <f>VLOOKUP(AM60,Worldprices!$B$49:$AN$92,$BW60,FALSE)</f>
        <v>9.8131073666748136</v>
      </c>
      <c r="AP60" s="161"/>
      <c r="AQ60" s="108" t="str">
        <f t="shared" si="78"/>
        <v>COST</v>
      </c>
      <c r="AR60" s="126">
        <v>2029</v>
      </c>
      <c r="AS60" s="108" t="str">
        <f t="shared" si="79"/>
        <v>EXPOILBIT*</v>
      </c>
      <c r="AT60" s="108" t="str">
        <f t="shared" si="79"/>
        <v>*OILBIT</v>
      </c>
      <c r="AU60" s="161">
        <f>VLOOKUP(AS60,Worldprices!$B$49:$AN$92,$BW60,FALSE)</f>
        <v>9.8131073666748136</v>
      </c>
      <c r="AV60" s="161"/>
      <c r="AW60" s="108" t="str">
        <f t="shared" si="80"/>
        <v>COST</v>
      </c>
      <c r="AX60" s="126">
        <v>2029</v>
      </c>
      <c r="AY60" s="108" t="str">
        <f t="shared" si="81"/>
        <v>EXPOILLUB*</v>
      </c>
      <c r="AZ60" s="108" t="str">
        <f t="shared" si="81"/>
        <v>*OILLUB</v>
      </c>
      <c r="BA60" s="161">
        <f>VLOOKUP(AY60,Worldprices!$B$49:$AN$92,$BW60,FALSE)</f>
        <v>9.8131073666748136</v>
      </c>
      <c r="BB60" s="161"/>
      <c r="BC60" s="108" t="str">
        <f t="shared" si="82"/>
        <v>COST</v>
      </c>
      <c r="BD60" s="126">
        <v>2029</v>
      </c>
      <c r="BE60" s="108" t="str">
        <f t="shared" si="83"/>
        <v>EXPGASNAT_**E01</v>
      </c>
      <c r="BF60" s="108" t="str">
        <f t="shared" si="83"/>
        <v>PITGASNA*</v>
      </c>
      <c r="BG60" s="161">
        <f>VLOOKUP(BE60,Worldprices!$B$49:$AN$92,$BW60,FALSE)</f>
        <v>7.4285157374999997</v>
      </c>
      <c r="BH60" s="161"/>
      <c r="BI60" s="108" t="str">
        <f t="shared" si="84"/>
        <v>COST</v>
      </c>
      <c r="BJ60" s="126">
        <v>2029</v>
      </c>
      <c r="BK60" s="108" t="str">
        <f t="shared" ref="BK60" si="137">BK59</f>
        <v>EXPGASNAT_**E02</v>
      </c>
      <c r="BL60" s="108" t="str">
        <f t="shared" si="59"/>
        <v>PITGASNA*</v>
      </c>
      <c r="BM60" s="161">
        <f>VLOOKUP(BK60,Worldprices!$B$49:$AN$92,$BW60,FALSE)</f>
        <v>6.3262248000343675</v>
      </c>
      <c r="BN60" s="161"/>
      <c r="BO60" s="108" t="str">
        <f t="shared" si="86"/>
        <v>COST</v>
      </c>
      <c r="BP60" s="126">
        <v>2029</v>
      </c>
      <c r="BQ60" s="108" t="str">
        <f t="shared" ref="BQ60:BR60" si="138">BQ59</f>
        <v>EXPELC*</v>
      </c>
      <c r="BR60" s="108" t="str">
        <f t="shared" si="138"/>
        <v>ELCHIGG</v>
      </c>
      <c r="BS60" s="161">
        <f t="shared" si="60"/>
        <v>19.023626918438186</v>
      </c>
      <c r="BT60" s="161"/>
      <c r="BU60" s="161"/>
      <c r="BV60" s="161"/>
      <c r="BW60" s="108">
        <f t="shared" si="88"/>
        <v>17</v>
      </c>
    </row>
    <row r="61" spans="1:75" x14ac:dyDescent="0.25">
      <c r="A61" s="108" t="str">
        <f t="shared" si="61"/>
        <v>COST</v>
      </c>
      <c r="B61" s="126">
        <v>2030</v>
      </c>
      <c r="C61" s="108" t="str">
        <f t="shared" si="62"/>
        <v>EXPOILCRD*</v>
      </c>
      <c r="D61" s="108" t="str">
        <f t="shared" si="63"/>
        <v>*OILCRD</v>
      </c>
      <c r="E61" s="161">
        <f>VLOOKUP(C61,Worldprices!$B$49:$AN$92,$BW61,FALSE)</f>
        <v>14.449210239651411</v>
      </c>
      <c r="F61" s="161"/>
      <c r="G61" s="108" t="str">
        <f t="shared" si="64"/>
        <v>COST</v>
      </c>
      <c r="H61" s="126">
        <v>2030</v>
      </c>
      <c r="I61" s="108" t="str">
        <f t="shared" si="65"/>
        <v>EXPOILDSL*</v>
      </c>
      <c r="J61" s="108" t="str">
        <f t="shared" si="66"/>
        <v>*OILDSL</v>
      </c>
      <c r="K61" s="161">
        <f>VLOOKUP(I61,Worldprices!$B$49:$AN$92,$BW61,FALSE)</f>
        <v>18.331266482240917</v>
      </c>
      <c r="L61" s="161"/>
      <c r="M61" s="108" t="str">
        <f t="shared" si="67"/>
        <v>COST</v>
      </c>
      <c r="N61" s="126">
        <v>2030</v>
      </c>
      <c r="O61" s="108" t="str">
        <f t="shared" si="68"/>
        <v>EXPOILGSL*</v>
      </c>
      <c r="P61" s="108" t="str">
        <f t="shared" si="69"/>
        <v>*OILGSL</v>
      </c>
      <c r="Q61" s="161">
        <f>VLOOKUP(O61,Worldprices!$B$49:$AN$92,$BW61,FALSE)</f>
        <v>20.382194378416408</v>
      </c>
      <c r="R61" s="161"/>
      <c r="S61" s="108" t="str">
        <f t="shared" si="70"/>
        <v>COST</v>
      </c>
      <c r="T61" s="126">
        <v>2030</v>
      </c>
      <c r="U61" s="108" t="str">
        <f t="shared" ref="U61:V61" si="139">U60</f>
        <v>EXPOILLPG*</v>
      </c>
      <c r="V61" s="108" t="str">
        <f t="shared" si="139"/>
        <v>*OILLPG</v>
      </c>
      <c r="W61" s="161">
        <f>VLOOKUP(U61,Worldprices!$B$49:$AN$92,$BW61,FALSE)</f>
        <v>16.39985362200435</v>
      </c>
      <c r="X61" s="161"/>
      <c r="Y61" s="108" t="str">
        <f t="shared" si="72"/>
        <v>COST</v>
      </c>
      <c r="Z61" s="126">
        <v>2030</v>
      </c>
      <c r="AA61" s="108" t="str">
        <f t="shared" ref="AA61:AB61" si="140">AA60</f>
        <v>EXPOILHFO*</v>
      </c>
      <c r="AB61" s="108" t="str">
        <f t="shared" si="140"/>
        <v>*OILHFO</v>
      </c>
      <c r="AC61" s="161">
        <f>VLOOKUP(AA61,Worldprices!$B$49:$AN$92,$BW61,FALSE)</f>
        <v>10.205477192265791</v>
      </c>
      <c r="AD61" s="161"/>
      <c r="AE61" s="108" t="str">
        <f t="shared" si="74"/>
        <v>COST</v>
      </c>
      <c r="AF61" s="126">
        <v>2030</v>
      </c>
      <c r="AG61" s="108" t="str">
        <f t="shared" ref="AG61:AH61" si="141">AG60</f>
        <v>EXPOILKER*</v>
      </c>
      <c r="AH61" s="108" t="str">
        <f t="shared" si="141"/>
        <v>*OILKER</v>
      </c>
      <c r="AI61" s="161">
        <f>VLOOKUP(AG61,Worldprices!$B$49:$AN$92,$BW61,FALSE)</f>
        <v>19.824202075890149</v>
      </c>
      <c r="AJ61" s="161"/>
      <c r="AK61" s="108" t="str">
        <f t="shared" si="76"/>
        <v>COST</v>
      </c>
      <c r="AL61" s="126">
        <v>2030</v>
      </c>
      <c r="AM61" s="108" t="str">
        <f t="shared" si="77"/>
        <v>EXPOILNG*</v>
      </c>
      <c r="AN61" s="108" t="str">
        <f t="shared" si="77"/>
        <v>*OILNGL</v>
      </c>
      <c r="AO61" s="161">
        <f>VLOOKUP(AM61,Worldprices!$B$49:$AN$92,$BW61,FALSE)</f>
        <v>10.205997140200898</v>
      </c>
      <c r="AP61" s="161"/>
      <c r="AQ61" s="108" t="str">
        <f t="shared" si="78"/>
        <v>COST</v>
      </c>
      <c r="AR61" s="126">
        <v>2030</v>
      </c>
      <c r="AS61" s="108" t="str">
        <f t="shared" si="79"/>
        <v>EXPOILBIT*</v>
      </c>
      <c r="AT61" s="108" t="str">
        <f t="shared" si="79"/>
        <v>*OILBIT</v>
      </c>
      <c r="AU61" s="161">
        <f>VLOOKUP(AS61,Worldprices!$B$49:$AN$92,$BW61,FALSE)</f>
        <v>10.205997140200898</v>
      </c>
      <c r="AV61" s="161"/>
      <c r="AW61" s="108" t="str">
        <f t="shared" si="80"/>
        <v>COST</v>
      </c>
      <c r="AX61" s="126">
        <v>2030</v>
      </c>
      <c r="AY61" s="108" t="str">
        <f t="shared" si="81"/>
        <v>EXPOILLUB*</v>
      </c>
      <c r="AZ61" s="108" t="str">
        <f t="shared" si="81"/>
        <v>*OILLUB</v>
      </c>
      <c r="BA61" s="161">
        <f>VLOOKUP(AY61,Worldprices!$B$49:$AN$92,$BW61,FALSE)</f>
        <v>10.205997140200898</v>
      </c>
      <c r="BB61" s="161"/>
      <c r="BC61" s="108" t="str">
        <f t="shared" si="82"/>
        <v>COST</v>
      </c>
      <c r="BD61" s="126">
        <v>2030</v>
      </c>
      <c r="BE61" s="108" t="str">
        <f t="shared" si="83"/>
        <v>EXPGASNAT_**E01</v>
      </c>
      <c r="BF61" s="108" t="str">
        <f t="shared" si="83"/>
        <v>PITGASNA*</v>
      </c>
      <c r="BG61" s="161">
        <f>VLOOKUP(BE61,Worldprices!$B$49:$AN$92,$BW61,FALSE)</f>
        <v>7.5260619037500005</v>
      </c>
      <c r="BH61" s="161"/>
      <c r="BI61" s="108" t="str">
        <f t="shared" si="84"/>
        <v>COST</v>
      </c>
      <c r="BJ61" s="126">
        <v>2030</v>
      </c>
      <c r="BK61" s="108" t="str">
        <f t="shared" ref="BK61" si="142">BK60</f>
        <v>EXPGASNAT_**E02</v>
      </c>
      <c r="BL61" s="108" t="str">
        <f t="shared" si="59"/>
        <v>PITGASNA*</v>
      </c>
      <c r="BM61" s="161">
        <f>VLOOKUP(BK61,Worldprices!$B$49:$AN$92,$BW61,FALSE)</f>
        <v>6.4605576262500017</v>
      </c>
      <c r="BN61" s="161"/>
      <c r="BO61" s="108" t="str">
        <f t="shared" si="86"/>
        <v>COST</v>
      </c>
      <c r="BP61" s="126">
        <v>2030</v>
      </c>
      <c r="BQ61" s="108" t="str">
        <f t="shared" ref="BQ61:BR61" si="143">BQ60</f>
        <v>EXPELC*</v>
      </c>
      <c r="BR61" s="108" t="str">
        <f t="shared" si="143"/>
        <v>ELCHIGG</v>
      </c>
      <c r="BS61" s="161">
        <f t="shared" si="60"/>
        <v>19.40409945680695</v>
      </c>
      <c r="BT61" s="161"/>
      <c r="BU61" s="161"/>
      <c r="BV61" s="161"/>
      <c r="BW61" s="108">
        <f t="shared" si="88"/>
        <v>18</v>
      </c>
    </row>
    <row r="62" spans="1:75" hidden="1" x14ac:dyDescent="0.25">
      <c r="A62" s="108" t="str">
        <f t="shared" si="61"/>
        <v>COST</v>
      </c>
      <c r="B62" s="126">
        <v>2031</v>
      </c>
      <c r="C62" s="108" t="str">
        <f t="shared" si="62"/>
        <v>EXPOILCRD*</v>
      </c>
      <c r="D62" s="108" t="str">
        <f t="shared" si="63"/>
        <v>*OILCRD</v>
      </c>
      <c r="E62" s="161">
        <f>VLOOKUP(C62,Worldprices!$B$49:$AN$92,$BW62,FALSE)</f>
        <v>13.726749727668839</v>
      </c>
      <c r="F62" s="161"/>
      <c r="G62" s="108" t="str">
        <f t="shared" si="64"/>
        <v>COST</v>
      </c>
      <c r="H62" s="126">
        <v>2031</v>
      </c>
      <c r="I62" s="108" t="str">
        <f t="shared" si="65"/>
        <v>EXPOILDSL*</v>
      </c>
      <c r="J62" s="108" t="str">
        <f t="shared" si="66"/>
        <v>*OILDSL</v>
      </c>
      <c r="K62" s="161">
        <f>VLOOKUP(I62,Worldprices!$B$49:$AN$92,$BW62,FALSE)</f>
        <v>17.414703158128869</v>
      </c>
      <c r="L62" s="161"/>
      <c r="M62" s="108" t="str">
        <f t="shared" si="67"/>
        <v>COST</v>
      </c>
      <c r="N62" s="126">
        <v>2031</v>
      </c>
      <c r="O62" s="108" t="str">
        <f t="shared" si="68"/>
        <v>EXPOILGSL*</v>
      </c>
      <c r="P62" s="108" t="str">
        <f t="shared" si="69"/>
        <v>*OILGSL</v>
      </c>
      <c r="Q62" s="161">
        <f>VLOOKUP(O62,Worldprices!$B$49:$AN$92,$BW62,FALSE)</f>
        <v>19.363084659495588</v>
      </c>
      <c r="R62" s="161"/>
      <c r="S62" s="108" t="str">
        <f t="shared" si="70"/>
        <v>COST</v>
      </c>
      <c r="T62" s="126">
        <v>2031</v>
      </c>
      <c r="U62" s="108" t="str">
        <f t="shared" ref="U62:V62" si="144">U61</f>
        <v>EXPOILLPG*</v>
      </c>
      <c r="V62" s="108" t="str">
        <f t="shared" si="144"/>
        <v>*OILLPG</v>
      </c>
      <c r="W62" s="161">
        <f>VLOOKUP(U62,Worldprices!$B$49:$AN$92,$BW62,FALSE)</f>
        <v>15.579860940904132</v>
      </c>
      <c r="X62" s="161"/>
      <c r="Y62" s="108" t="str">
        <f t="shared" si="72"/>
        <v>COST</v>
      </c>
      <c r="Z62" s="126">
        <v>2031</v>
      </c>
      <c r="AA62" s="108" t="str">
        <f t="shared" ref="AA62:AB62" si="145">AA61</f>
        <v>EXPOILHFO*</v>
      </c>
      <c r="AB62" s="108" t="str">
        <f t="shared" si="145"/>
        <v>*OILHFO</v>
      </c>
      <c r="AC62" s="161">
        <f>VLOOKUP(AA62,Worldprices!$B$49:$AN$92,$BW62,FALSE)</f>
        <v>9.6952033326525022</v>
      </c>
      <c r="AD62" s="161"/>
      <c r="AE62" s="108" t="str">
        <f t="shared" si="74"/>
        <v>COST</v>
      </c>
      <c r="AF62" s="126">
        <v>2031</v>
      </c>
      <c r="AG62" s="108" t="str">
        <f t="shared" ref="AG62:AH62" si="146">AG61</f>
        <v>EXPOILKER*</v>
      </c>
      <c r="AH62" s="108" t="str">
        <f t="shared" si="146"/>
        <v>*OILKER</v>
      </c>
      <c r="AI62" s="161">
        <f>VLOOKUP(AG62,Worldprices!$B$49:$AN$92,$BW62,FALSE)</f>
        <v>18.832991972095641</v>
      </c>
      <c r="AJ62" s="161"/>
      <c r="AK62" s="108" t="str">
        <f t="shared" si="76"/>
        <v>COST</v>
      </c>
      <c r="AL62" s="126">
        <v>2031</v>
      </c>
      <c r="AM62" s="108" t="str">
        <f t="shared" si="77"/>
        <v>EXPOILNG*</v>
      </c>
      <c r="AN62" s="108" t="str">
        <f t="shared" si="77"/>
        <v>*OILNGL</v>
      </c>
      <c r="AO62" s="161">
        <f>VLOOKUP(AM62,Worldprices!$B$49:$AN$92,$BW62,FALSE)</f>
        <v>9.695697283190853</v>
      </c>
      <c r="AP62" s="161"/>
      <c r="AQ62" s="108" t="str">
        <f t="shared" si="78"/>
        <v>COST</v>
      </c>
      <c r="AR62" s="126">
        <v>2031</v>
      </c>
      <c r="AS62" s="108" t="str">
        <f t="shared" si="79"/>
        <v>EXPOILBIT*</v>
      </c>
      <c r="AT62" s="108" t="str">
        <f t="shared" si="79"/>
        <v>*OILBIT</v>
      </c>
      <c r="AU62" s="161">
        <f>VLOOKUP(AS62,Worldprices!$B$49:$AN$92,$BW62,FALSE)</f>
        <v>9.695697283190853</v>
      </c>
      <c r="AV62" s="161"/>
      <c r="AW62" s="108" t="str">
        <f t="shared" si="80"/>
        <v>COST</v>
      </c>
      <c r="AX62" s="126">
        <v>2031</v>
      </c>
      <c r="AY62" s="108" t="str">
        <f t="shared" si="81"/>
        <v>EXPOILLUB*</v>
      </c>
      <c r="AZ62" s="108" t="str">
        <f t="shared" si="81"/>
        <v>*OILLUB</v>
      </c>
      <c r="BA62" s="161">
        <f>VLOOKUP(AY62,Worldprices!$B$49:$AN$92,$BW62,FALSE)</f>
        <v>9.695697283190853</v>
      </c>
      <c r="BB62" s="161"/>
      <c r="BC62" s="108" t="str">
        <f t="shared" si="82"/>
        <v>COST</v>
      </c>
      <c r="BD62" s="126">
        <v>2031</v>
      </c>
      <c r="BE62" s="108" t="str">
        <f t="shared" si="83"/>
        <v>EXPGASNAT_**E01</v>
      </c>
      <c r="BF62" s="108" t="str">
        <f t="shared" si="83"/>
        <v>PITGASNA*</v>
      </c>
      <c r="BG62" s="161">
        <f>VLOOKUP(BE62,Worldprices!$B$49:$AN$92,$BW62,FALSE)</f>
        <v>7.5260619037500005</v>
      </c>
      <c r="BH62" s="161"/>
      <c r="BI62" s="108" t="str">
        <f t="shared" si="84"/>
        <v>COST</v>
      </c>
      <c r="BJ62" s="126">
        <v>2031</v>
      </c>
      <c r="BK62" s="108" t="str">
        <f t="shared" ref="BK62" si="147">BK61</f>
        <v>EXPGASNAT_**E02</v>
      </c>
      <c r="BL62" s="108" t="str">
        <f t="shared" si="59"/>
        <v>PITGASNA*</v>
      </c>
      <c r="BM62" s="161">
        <f>VLOOKUP(BK62,Worldprices!$B$49:$AN$92,$BW62,FALSE)</f>
        <v>6.5090118084468775</v>
      </c>
      <c r="BN62" s="161"/>
      <c r="BO62" s="108" t="str">
        <f t="shared" si="86"/>
        <v>COST</v>
      </c>
      <c r="BP62" s="126">
        <v>2031</v>
      </c>
      <c r="BQ62" s="108" t="str">
        <f t="shared" ref="BQ62:BR62" si="148">BQ61</f>
        <v>EXPELC*</v>
      </c>
      <c r="BR62" s="108" t="str">
        <f t="shared" si="148"/>
        <v>ELCHIGG</v>
      </c>
      <c r="BS62" s="161">
        <f t="shared" si="60"/>
        <v>19.79218144594309</v>
      </c>
      <c r="BT62" s="161"/>
      <c r="BU62" s="161"/>
      <c r="BV62" s="161"/>
      <c r="BW62" s="108">
        <f t="shared" si="88"/>
        <v>19</v>
      </c>
    </row>
    <row r="63" spans="1:75" hidden="1" x14ac:dyDescent="0.25">
      <c r="A63" s="108" t="str">
        <f t="shared" si="61"/>
        <v>COST</v>
      </c>
      <c r="B63" s="126">
        <v>2032</v>
      </c>
      <c r="C63" s="108" t="str">
        <f t="shared" si="62"/>
        <v>EXPOILCRD*</v>
      </c>
      <c r="D63" s="108" t="str">
        <f t="shared" si="63"/>
        <v>*OILCRD</v>
      </c>
      <c r="E63" s="161">
        <f>VLOOKUP(C63,Worldprices!$B$49:$AN$92,$BW63,FALSE)</f>
        <v>13.040412241285397</v>
      </c>
      <c r="F63" s="161"/>
      <c r="G63" s="108" t="str">
        <f t="shared" si="64"/>
        <v>COST</v>
      </c>
      <c r="H63" s="126">
        <v>2032</v>
      </c>
      <c r="I63" s="108" t="str">
        <f t="shared" si="65"/>
        <v>EXPOILDSL*</v>
      </c>
      <c r="J63" s="108" t="str">
        <f t="shared" si="66"/>
        <v>*OILDSL</v>
      </c>
      <c r="K63" s="161">
        <f>VLOOKUP(I63,Worldprices!$B$49:$AN$92,$BW63,FALSE)</f>
        <v>16.543968000222424</v>
      </c>
      <c r="L63" s="161"/>
      <c r="M63" s="108" t="str">
        <f t="shared" si="67"/>
        <v>COST</v>
      </c>
      <c r="N63" s="126">
        <v>2032</v>
      </c>
      <c r="O63" s="108" t="str">
        <f t="shared" si="68"/>
        <v>EXPOILGSL*</v>
      </c>
      <c r="P63" s="108" t="str">
        <f t="shared" si="69"/>
        <v>*OILGSL</v>
      </c>
      <c r="Q63" s="161">
        <f>VLOOKUP(O63,Worldprices!$B$49:$AN$92,$BW63,FALSE)</f>
        <v>18.394930426520805</v>
      </c>
      <c r="R63" s="161"/>
      <c r="S63" s="108" t="str">
        <f t="shared" si="70"/>
        <v>COST</v>
      </c>
      <c r="T63" s="126">
        <v>2032</v>
      </c>
      <c r="U63" s="108" t="str">
        <f t="shared" ref="U63:V63" si="149">U62</f>
        <v>EXPOILLPG*</v>
      </c>
      <c r="V63" s="108" t="str">
        <f t="shared" si="149"/>
        <v>*OILLPG</v>
      </c>
      <c r="W63" s="161">
        <f>VLOOKUP(U63,Worldprices!$B$49:$AN$92,$BW63,FALSE)</f>
        <v>14.800867893858925</v>
      </c>
      <c r="X63" s="161"/>
      <c r="Y63" s="108" t="str">
        <f t="shared" si="72"/>
        <v>COST</v>
      </c>
      <c r="Z63" s="126">
        <v>2032</v>
      </c>
      <c r="AA63" s="108" t="str">
        <f t="shared" ref="AA63:AB63" si="150">AA62</f>
        <v>EXPOILHFO*</v>
      </c>
      <c r="AB63" s="108" t="str">
        <f t="shared" si="150"/>
        <v>*OILHFO</v>
      </c>
      <c r="AC63" s="161">
        <f>VLOOKUP(AA63,Worldprices!$B$49:$AN$92,$BW63,FALSE)</f>
        <v>9.2104431660198767</v>
      </c>
      <c r="AD63" s="161"/>
      <c r="AE63" s="108" t="str">
        <f t="shared" si="74"/>
        <v>COST</v>
      </c>
      <c r="AF63" s="126">
        <v>2032</v>
      </c>
      <c r="AG63" s="108" t="str">
        <f t="shared" ref="AG63:AH63" si="151">AG62</f>
        <v>EXPOILKER*</v>
      </c>
      <c r="AH63" s="108" t="str">
        <f t="shared" si="151"/>
        <v>*OILKER</v>
      </c>
      <c r="AI63" s="161">
        <f>VLOOKUP(AG63,Worldprices!$B$49:$AN$92,$BW63,FALSE)</f>
        <v>17.891342373490858</v>
      </c>
      <c r="AJ63" s="161"/>
      <c r="AK63" s="108" t="str">
        <f t="shared" si="76"/>
        <v>COST</v>
      </c>
      <c r="AL63" s="126">
        <v>2032</v>
      </c>
      <c r="AM63" s="108" t="str">
        <f t="shared" si="77"/>
        <v>EXPOILNG*</v>
      </c>
      <c r="AN63" s="108" t="str">
        <f t="shared" si="77"/>
        <v>*OILNGL</v>
      </c>
      <c r="AO63" s="161">
        <f>VLOOKUP(AM63,Worldprices!$B$49:$AN$92,$BW63,FALSE)</f>
        <v>9.2109124190313096</v>
      </c>
      <c r="AP63" s="161"/>
      <c r="AQ63" s="108" t="str">
        <f t="shared" si="78"/>
        <v>COST</v>
      </c>
      <c r="AR63" s="126">
        <v>2032</v>
      </c>
      <c r="AS63" s="108" t="str">
        <f t="shared" si="79"/>
        <v>EXPOILBIT*</v>
      </c>
      <c r="AT63" s="108" t="str">
        <f t="shared" si="79"/>
        <v>*OILBIT</v>
      </c>
      <c r="AU63" s="161">
        <f>VLOOKUP(AS63,Worldprices!$B$49:$AN$92,$BW63,FALSE)</f>
        <v>9.2109124190313096</v>
      </c>
      <c r="AV63" s="161"/>
      <c r="AW63" s="108" t="str">
        <f t="shared" si="80"/>
        <v>COST</v>
      </c>
      <c r="AX63" s="126">
        <v>2032</v>
      </c>
      <c r="AY63" s="108" t="str">
        <f t="shared" si="81"/>
        <v>EXPOILLUB*</v>
      </c>
      <c r="AZ63" s="108" t="str">
        <f t="shared" si="81"/>
        <v>*OILLUB</v>
      </c>
      <c r="BA63" s="161">
        <f>VLOOKUP(AY63,Worldprices!$B$49:$AN$92,$BW63,FALSE)</f>
        <v>9.2109124190313096</v>
      </c>
      <c r="BB63" s="161"/>
      <c r="BC63" s="108" t="str">
        <f t="shared" si="82"/>
        <v>COST</v>
      </c>
      <c r="BD63" s="126">
        <v>2032</v>
      </c>
      <c r="BE63" s="108" t="str">
        <f t="shared" si="83"/>
        <v>EXPGASNAT_**E01</v>
      </c>
      <c r="BF63" s="108" t="str">
        <f t="shared" si="83"/>
        <v>PITGASNA*</v>
      </c>
      <c r="BG63" s="161">
        <f>VLOOKUP(BE63,Worldprices!$B$49:$AN$92,$BW63,FALSE)</f>
        <v>7.5260619037500005</v>
      </c>
      <c r="BH63" s="161"/>
      <c r="BI63" s="108" t="str">
        <f t="shared" si="84"/>
        <v>COST</v>
      </c>
      <c r="BJ63" s="126">
        <v>2032</v>
      </c>
      <c r="BK63" s="108" t="str">
        <f t="shared" ref="BK63" si="152">BK62</f>
        <v>EXPGASNAT_**E02</v>
      </c>
      <c r="BL63" s="108" t="str">
        <f t="shared" si="59"/>
        <v>PITGASNA*</v>
      </c>
      <c r="BM63" s="161">
        <f>VLOOKUP(BK63,Worldprices!$B$49:$AN$92,$BW63,FALSE)</f>
        <v>6.5578293970102299</v>
      </c>
      <c r="BN63" s="161"/>
      <c r="BO63" s="108" t="str">
        <f t="shared" si="86"/>
        <v>COST</v>
      </c>
      <c r="BP63" s="126">
        <v>2032</v>
      </c>
      <c r="BQ63" s="108" t="str">
        <f t="shared" ref="BQ63:BR63" si="153">BQ62</f>
        <v>EXPELC*</v>
      </c>
      <c r="BR63" s="108" t="str">
        <f t="shared" si="153"/>
        <v>ELCHIGG</v>
      </c>
      <c r="BS63" s="161">
        <f t="shared" si="60"/>
        <v>20.188025074861951</v>
      </c>
      <c r="BT63" s="161"/>
      <c r="BU63" s="161"/>
      <c r="BV63" s="161"/>
      <c r="BW63" s="108">
        <f t="shared" si="88"/>
        <v>20</v>
      </c>
    </row>
    <row r="64" spans="1:75" hidden="1" x14ac:dyDescent="0.25">
      <c r="A64" s="108" t="str">
        <f t="shared" si="61"/>
        <v>COST</v>
      </c>
      <c r="B64" s="126">
        <v>2033</v>
      </c>
      <c r="C64" s="108" t="str">
        <f t="shared" si="62"/>
        <v>EXPOILCRD*</v>
      </c>
      <c r="D64" s="108" t="str">
        <f t="shared" si="63"/>
        <v>*OILCRD</v>
      </c>
      <c r="E64" s="161">
        <f>VLOOKUP(C64,Worldprices!$B$49:$AN$92,$BW64,FALSE)</f>
        <v>12.388391629221127</v>
      </c>
      <c r="F64" s="161"/>
      <c r="G64" s="108" t="str">
        <f t="shared" si="64"/>
        <v>COST</v>
      </c>
      <c r="H64" s="126">
        <v>2033</v>
      </c>
      <c r="I64" s="108" t="str">
        <f t="shared" si="65"/>
        <v>EXPOILDSL*</v>
      </c>
      <c r="J64" s="108" t="str">
        <f t="shared" si="66"/>
        <v>*OILDSL</v>
      </c>
      <c r="K64" s="161">
        <f>VLOOKUP(I64,Worldprices!$B$49:$AN$92,$BW64,FALSE)</f>
        <v>15.716769600211302</v>
      </c>
      <c r="L64" s="161"/>
      <c r="M64" s="108" t="str">
        <f t="shared" si="67"/>
        <v>COST</v>
      </c>
      <c r="N64" s="126">
        <v>2033</v>
      </c>
      <c r="O64" s="108" t="str">
        <f t="shared" si="68"/>
        <v>EXPOILGSL*</v>
      </c>
      <c r="P64" s="108" t="str">
        <f t="shared" si="69"/>
        <v>*OILGSL</v>
      </c>
      <c r="Q64" s="161">
        <f>VLOOKUP(O64,Worldprices!$B$49:$AN$92,$BW64,FALSE)</f>
        <v>17.475183905194765</v>
      </c>
      <c r="R64" s="161"/>
      <c r="S64" s="108" t="str">
        <f t="shared" si="70"/>
        <v>COST</v>
      </c>
      <c r="T64" s="126">
        <v>2033</v>
      </c>
      <c r="U64" s="108" t="str">
        <f t="shared" ref="U64:V64" si="154">U63</f>
        <v>EXPOILLPG*</v>
      </c>
      <c r="V64" s="108" t="str">
        <f t="shared" si="154"/>
        <v>*OILLPG</v>
      </c>
      <c r="W64" s="161">
        <f>VLOOKUP(U64,Worldprices!$B$49:$AN$92,$BW64,FALSE)</f>
        <v>14.060824499165978</v>
      </c>
      <c r="X64" s="161"/>
      <c r="Y64" s="108" t="str">
        <f t="shared" si="72"/>
        <v>COST</v>
      </c>
      <c r="Z64" s="126">
        <v>2033</v>
      </c>
      <c r="AA64" s="108" t="str">
        <f t="shared" ref="AA64:AB64" si="155">AA63</f>
        <v>EXPOILHFO*</v>
      </c>
      <c r="AB64" s="108" t="str">
        <f t="shared" si="155"/>
        <v>*OILHFO</v>
      </c>
      <c r="AC64" s="161">
        <f>VLOOKUP(AA64,Worldprices!$B$49:$AN$92,$BW64,FALSE)</f>
        <v>8.749921007718882</v>
      </c>
      <c r="AD64" s="161"/>
      <c r="AE64" s="108" t="str">
        <f t="shared" si="74"/>
        <v>COST</v>
      </c>
      <c r="AF64" s="126">
        <v>2033</v>
      </c>
      <c r="AG64" s="108" t="str">
        <f t="shared" ref="AG64:AH64" si="156">AG63</f>
        <v>EXPOILKER*</v>
      </c>
      <c r="AH64" s="108" t="str">
        <f t="shared" si="156"/>
        <v>*OILKER</v>
      </c>
      <c r="AI64" s="161">
        <f>VLOOKUP(AG64,Worldprices!$B$49:$AN$92,$BW64,FALSE)</f>
        <v>16.996775254816313</v>
      </c>
      <c r="AJ64" s="161"/>
      <c r="AK64" s="108" t="str">
        <f t="shared" si="76"/>
        <v>COST</v>
      </c>
      <c r="AL64" s="126">
        <v>2033</v>
      </c>
      <c r="AM64" s="108" t="str">
        <f t="shared" si="77"/>
        <v>EXPOILNG*</v>
      </c>
      <c r="AN64" s="108" t="str">
        <f t="shared" si="77"/>
        <v>*OILNGL</v>
      </c>
      <c r="AO64" s="161">
        <f>VLOOKUP(AM64,Worldprices!$B$49:$AN$92,$BW64,FALSE)</f>
        <v>8.7503667980797442</v>
      </c>
      <c r="AP64" s="161"/>
      <c r="AQ64" s="108" t="str">
        <f t="shared" si="78"/>
        <v>COST</v>
      </c>
      <c r="AR64" s="126">
        <v>2033</v>
      </c>
      <c r="AS64" s="108" t="str">
        <f t="shared" si="79"/>
        <v>EXPOILBIT*</v>
      </c>
      <c r="AT64" s="108" t="str">
        <f t="shared" si="79"/>
        <v>*OILBIT</v>
      </c>
      <c r="AU64" s="161">
        <f>VLOOKUP(AS64,Worldprices!$B$49:$AN$92,$BW64,FALSE)</f>
        <v>8.7503667980797442</v>
      </c>
      <c r="AV64" s="161"/>
      <c r="AW64" s="108" t="str">
        <f t="shared" si="80"/>
        <v>COST</v>
      </c>
      <c r="AX64" s="126">
        <v>2033</v>
      </c>
      <c r="AY64" s="108" t="str">
        <f t="shared" si="81"/>
        <v>EXPOILLUB*</v>
      </c>
      <c r="AZ64" s="108" t="str">
        <f t="shared" si="81"/>
        <v>*OILLUB</v>
      </c>
      <c r="BA64" s="161">
        <f>VLOOKUP(AY64,Worldprices!$B$49:$AN$92,$BW64,FALSE)</f>
        <v>8.7503667980797442</v>
      </c>
      <c r="BB64" s="161"/>
      <c r="BC64" s="108" t="str">
        <f t="shared" si="82"/>
        <v>COST</v>
      </c>
      <c r="BD64" s="126">
        <v>2033</v>
      </c>
      <c r="BE64" s="108" t="str">
        <f t="shared" si="83"/>
        <v>EXPGASNAT_**E01</v>
      </c>
      <c r="BF64" s="108" t="str">
        <f t="shared" si="83"/>
        <v>PITGASNA*</v>
      </c>
      <c r="BG64" s="161">
        <f>VLOOKUP(BE64,Worldprices!$B$49:$AN$92,$BW64,FALSE)</f>
        <v>7.5260619037500005</v>
      </c>
      <c r="BH64" s="161"/>
      <c r="BI64" s="108" t="str">
        <f t="shared" si="84"/>
        <v>COST</v>
      </c>
      <c r="BJ64" s="126">
        <v>2033</v>
      </c>
      <c r="BK64" s="108" t="str">
        <f t="shared" ref="BK64" si="157">BK63</f>
        <v>EXPGASNAT_**E02</v>
      </c>
      <c r="BL64" s="108" t="str">
        <f t="shared" si="59"/>
        <v>PITGASNA*</v>
      </c>
      <c r="BM64" s="161">
        <f>VLOOKUP(BK64,Worldprices!$B$49:$AN$92,$BW64,FALSE)</f>
        <v>6.6070131174878073</v>
      </c>
      <c r="BN64" s="161"/>
      <c r="BO64" s="108" t="str">
        <f t="shared" si="86"/>
        <v>COST</v>
      </c>
      <c r="BP64" s="126">
        <v>2033</v>
      </c>
      <c r="BQ64" s="108" t="str">
        <f t="shared" ref="BQ64:BR64" si="158">BQ63</f>
        <v>EXPELC*</v>
      </c>
      <c r="BR64" s="108" t="str">
        <f t="shared" si="158"/>
        <v>ELCHIGG</v>
      </c>
      <c r="BS64" s="161">
        <f t="shared" si="60"/>
        <v>20.591785576359189</v>
      </c>
      <c r="BT64" s="161"/>
      <c r="BU64" s="161"/>
      <c r="BV64" s="161"/>
      <c r="BW64" s="108">
        <f t="shared" si="88"/>
        <v>21</v>
      </c>
    </row>
    <row r="65" spans="1:75" hidden="1" x14ac:dyDescent="0.25">
      <c r="A65" s="108" t="str">
        <f t="shared" si="61"/>
        <v>COST</v>
      </c>
      <c r="B65" s="126">
        <v>2034</v>
      </c>
      <c r="C65" s="108" t="str">
        <f t="shared" si="62"/>
        <v>EXPOILCRD*</v>
      </c>
      <c r="D65" s="108" t="str">
        <f t="shared" si="63"/>
        <v>*OILCRD</v>
      </c>
      <c r="E65" s="161">
        <f>VLOOKUP(C65,Worldprices!$B$49:$AN$92,$BW65,FALSE)</f>
        <v>11.768972047760069</v>
      </c>
      <c r="F65" s="161"/>
      <c r="G65" s="108" t="str">
        <f t="shared" si="64"/>
        <v>COST</v>
      </c>
      <c r="H65" s="126">
        <v>2034</v>
      </c>
      <c r="I65" s="108" t="str">
        <f t="shared" si="65"/>
        <v>EXPOILDSL*</v>
      </c>
      <c r="J65" s="108" t="str">
        <f t="shared" si="66"/>
        <v>*OILDSL</v>
      </c>
      <c r="K65" s="161">
        <f>VLOOKUP(I65,Worldprices!$B$49:$AN$92,$BW65,FALSE)</f>
        <v>14.930931120200738</v>
      </c>
      <c r="L65" s="161"/>
      <c r="M65" s="108" t="str">
        <f t="shared" si="67"/>
        <v>COST</v>
      </c>
      <c r="N65" s="126">
        <v>2034</v>
      </c>
      <c r="O65" s="108" t="str">
        <f t="shared" si="68"/>
        <v>EXPOILGSL*</v>
      </c>
      <c r="P65" s="108" t="str">
        <f t="shared" si="69"/>
        <v>*OILGSL</v>
      </c>
      <c r="Q65" s="161">
        <f>VLOOKUP(O65,Worldprices!$B$49:$AN$92,$BW65,FALSE)</f>
        <v>16.601424709935024</v>
      </c>
      <c r="R65" s="161"/>
      <c r="S65" s="108" t="str">
        <f t="shared" si="70"/>
        <v>COST</v>
      </c>
      <c r="T65" s="126">
        <v>2034</v>
      </c>
      <c r="U65" s="108" t="str">
        <f t="shared" ref="U65:V65" si="159">U64</f>
        <v>EXPOILLPG*</v>
      </c>
      <c r="V65" s="108" t="str">
        <f t="shared" si="159"/>
        <v>*OILLPG</v>
      </c>
      <c r="W65" s="161">
        <f>VLOOKUP(U65,Worldprices!$B$49:$AN$92,$BW65,FALSE)</f>
        <v>13.35778327420768</v>
      </c>
      <c r="X65" s="161"/>
      <c r="Y65" s="108" t="str">
        <f t="shared" si="72"/>
        <v>COST</v>
      </c>
      <c r="Z65" s="126">
        <v>2034</v>
      </c>
      <c r="AA65" s="108" t="str">
        <f t="shared" ref="AA65:AB65" si="160">AA64</f>
        <v>EXPOILHFO*</v>
      </c>
      <c r="AB65" s="108" t="str">
        <f t="shared" si="160"/>
        <v>*OILHFO</v>
      </c>
      <c r="AC65" s="161">
        <f>VLOOKUP(AA65,Worldprices!$B$49:$AN$92,$BW65,FALSE)</f>
        <v>8.3124249573329383</v>
      </c>
      <c r="AD65" s="161"/>
      <c r="AE65" s="108" t="str">
        <f t="shared" si="74"/>
        <v>COST</v>
      </c>
      <c r="AF65" s="126">
        <v>2034</v>
      </c>
      <c r="AG65" s="108" t="str">
        <f t="shared" ref="AG65:AH65" si="161">AG64</f>
        <v>EXPOILKER*</v>
      </c>
      <c r="AH65" s="108" t="str">
        <f t="shared" si="161"/>
        <v>*OILKER</v>
      </c>
      <c r="AI65" s="161">
        <f>VLOOKUP(AG65,Worldprices!$B$49:$AN$92,$BW65,FALSE)</f>
        <v>16.146936492075501</v>
      </c>
      <c r="AJ65" s="161"/>
      <c r="AK65" s="108" t="str">
        <f t="shared" si="76"/>
        <v>COST</v>
      </c>
      <c r="AL65" s="126">
        <v>2034</v>
      </c>
      <c r="AM65" s="108" t="str">
        <f t="shared" si="77"/>
        <v>EXPOILNG*</v>
      </c>
      <c r="AN65" s="108" t="str">
        <f t="shared" si="77"/>
        <v>*OILNGL</v>
      </c>
      <c r="AO65" s="161">
        <f>VLOOKUP(AM65,Worldprices!$B$49:$AN$92,$BW65,FALSE)</f>
        <v>8.3128484581757558</v>
      </c>
      <c r="AP65" s="161"/>
      <c r="AQ65" s="108" t="str">
        <f t="shared" si="78"/>
        <v>COST</v>
      </c>
      <c r="AR65" s="126">
        <v>2034</v>
      </c>
      <c r="AS65" s="108" t="str">
        <f t="shared" si="79"/>
        <v>EXPOILBIT*</v>
      </c>
      <c r="AT65" s="108" t="str">
        <f t="shared" si="79"/>
        <v>*OILBIT</v>
      </c>
      <c r="AU65" s="161">
        <f>VLOOKUP(AS65,Worldprices!$B$49:$AN$92,$BW65,FALSE)</f>
        <v>8.3128484581757558</v>
      </c>
      <c r="AV65" s="161"/>
      <c r="AW65" s="108" t="str">
        <f t="shared" si="80"/>
        <v>COST</v>
      </c>
      <c r="AX65" s="126">
        <v>2034</v>
      </c>
      <c r="AY65" s="108" t="str">
        <f t="shared" si="81"/>
        <v>EXPOILLUB*</v>
      </c>
      <c r="AZ65" s="108" t="str">
        <f t="shared" si="81"/>
        <v>*OILLUB</v>
      </c>
      <c r="BA65" s="161">
        <f>VLOOKUP(AY65,Worldprices!$B$49:$AN$92,$BW65,FALSE)</f>
        <v>8.3128484581757558</v>
      </c>
      <c r="BB65" s="161"/>
      <c r="BC65" s="108" t="str">
        <f t="shared" si="82"/>
        <v>COST</v>
      </c>
      <c r="BD65" s="126">
        <v>2034</v>
      </c>
      <c r="BE65" s="108" t="str">
        <f t="shared" si="83"/>
        <v>EXPGASNAT_**E01</v>
      </c>
      <c r="BF65" s="108" t="str">
        <f t="shared" si="83"/>
        <v>PITGASNA*</v>
      </c>
      <c r="BG65" s="161">
        <f>VLOOKUP(BE65,Worldprices!$B$49:$AN$92,$BW65,FALSE)</f>
        <v>7.5260619037500005</v>
      </c>
      <c r="BH65" s="161"/>
      <c r="BI65" s="108" t="str">
        <f t="shared" si="84"/>
        <v>COST</v>
      </c>
      <c r="BJ65" s="126">
        <v>2034</v>
      </c>
      <c r="BK65" s="108" t="str">
        <f t="shared" ref="BK65" si="162">BK64</f>
        <v>EXPGASNAT_**E02</v>
      </c>
      <c r="BL65" s="108" t="str">
        <f t="shared" si="59"/>
        <v>PITGASNA*</v>
      </c>
      <c r="BM65" s="161">
        <f>VLOOKUP(BK65,Worldprices!$B$49:$AN$92,$BW65,FALSE)</f>
        <v>6.6565657158689664</v>
      </c>
      <c r="BN65" s="161"/>
      <c r="BO65" s="108" t="str">
        <f t="shared" si="86"/>
        <v>COST</v>
      </c>
      <c r="BP65" s="126">
        <v>2034</v>
      </c>
      <c r="BQ65" s="108" t="str">
        <f t="shared" ref="BQ65:BR65" si="163">BQ64</f>
        <v>EXPELC*</v>
      </c>
      <c r="BR65" s="108" t="str">
        <f t="shared" si="163"/>
        <v>ELCHIGG</v>
      </c>
      <c r="BS65" s="161">
        <f t="shared" si="60"/>
        <v>21.003621287886375</v>
      </c>
      <c r="BT65" s="161"/>
      <c r="BU65" s="161"/>
      <c r="BV65" s="161"/>
      <c r="BW65" s="108">
        <f t="shared" si="88"/>
        <v>22</v>
      </c>
    </row>
    <row r="66" spans="1:75" x14ac:dyDescent="0.25">
      <c r="A66" s="108" t="str">
        <f t="shared" si="61"/>
        <v>COST</v>
      </c>
      <c r="B66" s="126">
        <v>2035</v>
      </c>
      <c r="C66" s="108" t="str">
        <f t="shared" si="62"/>
        <v>EXPOILCRD*</v>
      </c>
      <c r="D66" s="108" t="str">
        <f t="shared" si="63"/>
        <v>*OILCRD</v>
      </c>
      <c r="E66" s="161">
        <f>VLOOKUP(C66,Worldprices!$B$49:$AN$92,$BW66,FALSE)</f>
        <v>11.180523445372065</v>
      </c>
      <c r="F66" s="161"/>
      <c r="G66" s="108" t="str">
        <f t="shared" si="64"/>
        <v>COST</v>
      </c>
      <c r="H66" s="126">
        <v>2035</v>
      </c>
      <c r="I66" s="108" t="str">
        <f t="shared" si="65"/>
        <v>EXPOILDSL*</v>
      </c>
      <c r="J66" s="108" t="str">
        <f t="shared" si="66"/>
        <v>*OILDSL</v>
      </c>
      <c r="K66" s="161">
        <f>VLOOKUP(I66,Worldprices!$B$49:$AN$92,$BW66,FALSE)</f>
        <v>14.184384564190699</v>
      </c>
      <c r="L66" s="161"/>
      <c r="M66" s="108" t="str">
        <f t="shared" si="67"/>
        <v>COST</v>
      </c>
      <c r="N66" s="126">
        <v>2035</v>
      </c>
      <c r="O66" s="108" t="str">
        <f t="shared" si="68"/>
        <v>EXPOILGSL*</v>
      </c>
      <c r="P66" s="108" t="str">
        <f t="shared" si="69"/>
        <v>*OILGSL</v>
      </c>
      <c r="Q66" s="161">
        <f>VLOOKUP(O66,Worldprices!$B$49:$AN$92,$BW66,FALSE)</f>
        <v>15.771353474438273</v>
      </c>
      <c r="R66" s="161"/>
      <c r="S66" s="108" t="str">
        <f t="shared" si="70"/>
        <v>COST</v>
      </c>
      <c r="T66" s="126">
        <v>2035</v>
      </c>
      <c r="U66" s="108" t="str">
        <f t="shared" ref="U66:V66" si="164">U65</f>
        <v>EXPOILLPG*</v>
      </c>
      <c r="V66" s="108" t="str">
        <f t="shared" si="164"/>
        <v>*OILLPG</v>
      </c>
      <c r="W66" s="161">
        <f>VLOOKUP(U66,Worldprices!$B$49:$AN$92,$BW66,FALSE)</f>
        <v>12.689894110497294</v>
      </c>
      <c r="X66" s="161"/>
      <c r="Y66" s="108" t="str">
        <f t="shared" si="72"/>
        <v>COST</v>
      </c>
      <c r="Z66" s="126">
        <v>2035</v>
      </c>
      <c r="AA66" s="108" t="str">
        <f t="shared" ref="AA66:AB66" si="165">AA65</f>
        <v>EXPOILHFO*</v>
      </c>
      <c r="AB66" s="108" t="str">
        <f t="shared" si="165"/>
        <v>*OILHFO</v>
      </c>
      <c r="AC66" s="161">
        <f>VLOOKUP(AA66,Worldprices!$B$49:$AN$92,$BW66,FALSE)</f>
        <v>7.8968037094662913</v>
      </c>
      <c r="AD66" s="161"/>
      <c r="AE66" s="108" t="str">
        <f t="shared" si="74"/>
        <v>COST</v>
      </c>
      <c r="AF66" s="126">
        <v>2035</v>
      </c>
      <c r="AG66" s="108" t="str">
        <f t="shared" ref="AG66:AH66" si="166">AG65</f>
        <v>EXPOILKER*</v>
      </c>
      <c r="AH66" s="108" t="str">
        <f t="shared" si="166"/>
        <v>*OILKER</v>
      </c>
      <c r="AI66" s="161">
        <f>VLOOKUP(AG66,Worldprices!$B$49:$AN$92,$BW66,FALSE)</f>
        <v>15.339589667471721</v>
      </c>
      <c r="AJ66" s="161"/>
      <c r="AK66" s="108" t="str">
        <f t="shared" si="76"/>
        <v>COST</v>
      </c>
      <c r="AL66" s="126">
        <v>2035</v>
      </c>
      <c r="AM66" s="108" t="str">
        <f t="shared" ref="AM66:AN81" si="167">AM65</f>
        <v>EXPOILNG*</v>
      </c>
      <c r="AN66" s="108" t="str">
        <f t="shared" si="167"/>
        <v>*OILNGL</v>
      </c>
      <c r="AO66" s="161">
        <f>VLOOKUP(AM66,Worldprices!$B$49:$AN$92,$BW66,FALSE)</f>
        <v>7.8972060352669677</v>
      </c>
      <c r="AP66" s="161"/>
      <c r="AQ66" s="108" t="str">
        <f t="shared" si="78"/>
        <v>COST</v>
      </c>
      <c r="AR66" s="126">
        <v>2035</v>
      </c>
      <c r="AS66" s="108" t="str">
        <f t="shared" ref="AS66:AT81" si="168">AS65</f>
        <v>EXPOILBIT*</v>
      </c>
      <c r="AT66" s="108" t="str">
        <f t="shared" si="168"/>
        <v>*OILBIT</v>
      </c>
      <c r="AU66" s="161">
        <f>VLOOKUP(AS66,Worldprices!$B$49:$AN$92,$BW66,FALSE)</f>
        <v>7.8972060352669677</v>
      </c>
      <c r="AV66" s="161"/>
      <c r="AW66" s="108" t="str">
        <f t="shared" si="80"/>
        <v>COST</v>
      </c>
      <c r="AX66" s="126">
        <v>2035</v>
      </c>
      <c r="AY66" s="108" t="str">
        <f t="shared" ref="AY66:AZ81" si="169">AY65</f>
        <v>EXPOILLUB*</v>
      </c>
      <c r="AZ66" s="108" t="str">
        <f t="shared" si="169"/>
        <v>*OILLUB</v>
      </c>
      <c r="BA66" s="161">
        <f>VLOOKUP(AY66,Worldprices!$B$49:$AN$92,$BW66,FALSE)</f>
        <v>7.8972060352669677</v>
      </c>
      <c r="BB66" s="161"/>
      <c r="BC66" s="108" t="str">
        <f t="shared" si="82"/>
        <v>COST</v>
      </c>
      <c r="BD66" s="126">
        <v>2035</v>
      </c>
      <c r="BE66" s="108" t="str">
        <f t="shared" ref="BE66:BF81" si="170">BE65</f>
        <v>EXPGASNAT_**E01</v>
      </c>
      <c r="BF66" s="108" t="str">
        <f t="shared" si="170"/>
        <v>PITGASNA*</v>
      </c>
      <c r="BG66" s="161">
        <f>VLOOKUP(BE66,Worldprices!$B$49:$AN$92,$BW66,FALSE)</f>
        <v>7.5260619037500005</v>
      </c>
      <c r="BH66" s="161"/>
      <c r="BI66" s="108" t="str">
        <f t="shared" si="84"/>
        <v>COST</v>
      </c>
      <c r="BJ66" s="126">
        <v>2035</v>
      </c>
      <c r="BK66" s="108" t="str">
        <f t="shared" ref="BK66" si="171">BK65</f>
        <v>EXPGASNAT_**E02</v>
      </c>
      <c r="BL66" s="108" t="str">
        <f t="shared" si="59"/>
        <v>PITGASNA*</v>
      </c>
      <c r="BM66" s="161">
        <f>VLOOKUP(BK66,Worldprices!$B$49:$AN$92,$BW66,FALSE)</f>
        <v>6.7064899587379845</v>
      </c>
      <c r="BN66" s="161"/>
      <c r="BO66" s="108" t="str">
        <f t="shared" si="86"/>
        <v>COST</v>
      </c>
      <c r="BP66" s="126">
        <v>2035</v>
      </c>
      <c r="BQ66" s="108" t="str">
        <f t="shared" ref="BQ66:BR66" si="172">BQ65</f>
        <v>EXPELC*</v>
      </c>
      <c r="BR66" s="108" t="str">
        <f t="shared" si="172"/>
        <v>ELCHIGG</v>
      </c>
      <c r="BS66" s="161">
        <f t="shared" si="60"/>
        <v>21.423693713644102</v>
      </c>
      <c r="BT66" s="161"/>
      <c r="BU66" s="161"/>
      <c r="BV66" s="161"/>
      <c r="BW66" s="108">
        <f t="shared" si="88"/>
        <v>23</v>
      </c>
    </row>
    <row r="67" spans="1:75" hidden="1" x14ac:dyDescent="0.25">
      <c r="A67" s="108" t="str">
        <f t="shared" si="61"/>
        <v>COST</v>
      </c>
      <c r="B67" s="126">
        <v>2036</v>
      </c>
      <c r="C67" s="108" t="str">
        <f t="shared" si="62"/>
        <v>EXPOILCRD*</v>
      </c>
      <c r="D67" s="108" t="str">
        <f t="shared" si="63"/>
        <v>*OILCRD</v>
      </c>
      <c r="E67" s="161">
        <f>VLOOKUP(C67,Worldprices!$B$49:$AN$92,$BW67,FALSE)</f>
        <v>10.621497273103461</v>
      </c>
      <c r="F67" s="161"/>
      <c r="G67" s="108" t="str">
        <f t="shared" si="64"/>
        <v>COST</v>
      </c>
      <c r="H67" s="126">
        <v>2036</v>
      </c>
      <c r="I67" s="108" t="str">
        <f t="shared" si="65"/>
        <v>EXPOILDSL*</v>
      </c>
      <c r="J67" s="108" t="str">
        <f t="shared" si="66"/>
        <v>*OILDSL</v>
      </c>
      <c r="K67" s="161">
        <f>VLOOKUP(I67,Worldprices!$B$49:$AN$92,$BW67,FALSE)</f>
        <v>13.475165335981165</v>
      </c>
      <c r="L67" s="161"/>
      <c r="M67" s="108" t="str">
        <f t="shared" si="67"/>
        <v>COST</v>
      </c>
      <c r="N67" s="126">
        <v>2036</v>
      </c>
      <c r="O67" s="108" t="str">
        <f t="shared" si="68"/>
        <v>EXPOILGSL*</v>
      </c>
      <c r="P67" s="108" t="str">
        <f t="shared" si="69"/>
        <v>*OILGSL</v>
      </c>
      <c r="Q67" s="161">
        <f>VLOOKUP(O67,Worldprices!$B$49:$AN$92,$BW67,FALSE)</f>
        <v>14.982785800716359</v>
      </c>
      <c r="R67" s="161"/>
      <c r="S67" s="108" t="str">
        <f t="shared" si="70"/>
        <v>COST</v>
      </c>
      <c r="T67" s="126">
        <v>2036</v>
      </c>
      <c r="U67" s="108" t="str">
        <f t="shared" ref="U67:V67" si="173">U66</f>
        <v>EXPOILLPG*</v>
      </c>
      <c r="V67" s="108" t="str">
        <f t="shared" si="173"/>
        <v>*OILLPG</v>
      </c>
      <c r="W67" s="161">
        <f>VLOOKUP(U67,Worldprices!$B$49:$AN$92,$BW67,FALSE)</f>
        <v>12.055399404972428</v>
      </c>
      <c r="X67" s="161"/>
      <c r="Y67" s="108" t="str">
        <f t="shared" si="72"/>
        <v>COST</v>
      </c>
      <c r="Z67" s="126">
        <v>2036</v>
      </c>
      <c r="AA67" s="108" t="str">
        <f t="shared" ref="AA67:AB67" si="174">AA66</f>
        <v>EXPOILHFO*</v>
      </c>
      <c r="AB67" s="108" t="str">
        <f t="shared" si="174"/>
        <v>*OILHFO</v>
      </c>
      <c r="AC67" s="161">
        <f>VLOOKUP(AA67,Worldprices!$B$49:$AN$92,$BW67,FALSE)</f>
        <v>7.5019635239929752</v>
      </c>
      <c r="AD67" s="161"/>
      <c r="AE67" s="108" t="str">
        <f t="shared" si="74"/>
        <v>COST</v>
      </c>
      <c r="AF67" s="126">
        <v>2036</v>
      </c>
      <c r="AG67" s="108" t="str">
        <f t="shared" ref="AG67:AH67" si="175">AG66</f>
        <v>EXPOILKER*</v>
      </c>
      <c r="AH67" s="108" t="str">
        <f t="shared" si="175"/>
        <v>*OILKER</v>
      </c>
      <c r="AI67" s="161">
        <f>VLOOKUP(AG67,Worldprices!$B$49:$AN$92,$BW67,FALSE)</f>
        <v>14.572610184098135</v>
      </c>
      <c r="AJ67" s="161"/>
      <c r="AK67" s="108" t="str">
        <f t="shared" si="76"/>
        <v>COST</v>
      </c>
      <c r="AL67" s="126">
        <v>2036</v>
      </c>
      <c r="AM67" s="108" t="str">
        <f t="shared" si="167"/>
        <v>EXPOILNG*</v>
      </c>
      <c r="AN67" s="108" t="str">
        <f t="shared" si="167"/>
        <v>*OILNGL</v>
      </c>
      <c r="AO67" s="161">
        <f>VLOOKUP(AM67,Worldprices!$B$49:$AN$92,$BW67,FALSE)</f>
        <v>7.5023457335036188</v>
      </c>
      <c r="AP67" s="161"/>
      <c r="AQ67" s="108" t="str">
        <f t="shared" si="78"/>
        <v>COST</v>
      </c>
      <c r="AR67" s="126">
        <v>2036</v>
      </c>
      <c r="AS67" s="108" t="str">
        <f t="shared" si="168"/>
        <v>EXPOILBIT*</v>
      </c>
      <c r="AT67" s="108" t="str">
        <f t="shared" si="168"/>
        <v>*OILBIT</v>
      </c>
      <c r="AU67" s="161">
        <f>VLOOKUP(AS67,Worldprices!$B$49:$AN$92,$BW67,FALSE)</f>
        <v>7.5023457335036188</v>
      </c>
      <c r="AV67" s="161"/>
      <c r="AW67" s="108" t="str">
        <f t="shared" si="80"/>
        <v>COST</v>
      </c>
      <c r="AX67" s="126">
        <v>2036</v>
      </c>
      <c r="AY67" s="108" t="str">
        <f t="shared" si="169"/>
        <v>EXPOILLUB*</v>
      </c>
      <c r="AZ67" s="108" t="str">
        <f t="shared" si="169"/>
        <v>*OILLUB</v>
      </c>
      <c r="BA67" s="161">
        <f>VLOOKUP(AY67,Worldprices!$B$49:$AN$92,$BW67,FALSE)</f>
        <v>7.5023457335036188</v>
      </c>
      <c r="BB67" s="161"/>
      <c r="BC67" s="108" t="str">
        <f t="shared" si="82"/>
        <v>COST</v>
      </c>
      <c r="BD67" s="126">
        <v>2036</v>
      </c>
      <c r="BE67" s="108" t="str">
        <f t="shared" si="170"/>
        <v>EXPGASNAT_**E01</v>
      </c>
      <c r="BF67" s="108" t="str">
        <f t="shared" si="170"/>
        <v>PITGASNA*</v>
      </c>
      <c r="BG67" s="161">
        <f>VLOOKUP(BE67,Worldprices!$B$49:$AN$92,$BW67,FALSE)</f>
        <v>7.5260619037500005</v>
      </c>
      <c r="BH67" s="161"/>
      <c r="BI67" s="108" t="str">
        <f t="shared" si="84"/>
        <v>COST</v>
      </c>
      <c r="BJ67" s="126">
        <v>2036</v>
      </c>
      <c r="BK67" s="108" t="str">
        <f t="shared" ref="BK67" si="176">BK66</f>
        <v>EXPGASNAT_**E02</v>
      </c>
      <c r="BL67" s="108" t="str">
        <f t="shared" si="59"/>
        <v>PITGASNA*</v>
      </c>
      <c r="BM67" s="161">
        <f>VLOOKUP(BK67,Worldprices!$B$49:$AN$92,$BW67,FALSE)</f>
        <v>6.7567886334285197</v>
      </c>
      <c r="BN67" s="161"/>
      <c r="BO67" s="108" t="str">
        <f t="shared" si="86"/>
        <v>COST</v>
      </c>
      <c r="BP67" s="126">
        <v>2036</v>
      </c>
      <c r="BQ67" s="108" t="str">
        <f t="shared" ref="BQ67:BR67" si="177">BQ66</f>
        <v>EXPELC*</v>
      </c>
      <c r="BR67" s="108" t="str">
        <f t="shared" si="177"/>
        <v>ELCHIGG</v>
      </c>
      <c r="BS67" s="161">
        <f t="shared" si="60"/>
        <v>21.852167587916984</v>
      </c>
      <c r="BT67" s="161"/>
      <c r="BU67" s="161"/>
      <c r="BV67" s="161"/>
      <c r="BW67" s="108">
        <f t="shared" si="88"/>
        <v>24</v>
      </c>
    </row>
    <row r="68" spans="1:75" hidden="1" x14ac:dyDescent="0.25">
      <c r="A68" s="108" t="str">
        <f t="shared" si="61"/>
        <v>COST</v>
      </c>
      <c r="B68" s="126">
        <v>2037</v>
      </c>
      <c r="C68" s="108" t="str">
        <f t="shared" si="62"/>
        <v>EXPOILCRD*</v>
      </c>
      <c r="D68" s="108" t="str">
        <f t="shared" si="63"/>
        <v>*OILCRD</v>
      </c>
      <c r="E68" s="161">
        <f>VLOOKUP(C68,Worldprices!$B$49:$AN$92,$BW68,FALSE)</f>
        <v>10.090422409448287</v>
      </c>
      <c r="F68" s="161"/>
      <c r="G68" s="108" t="str">
        <f t="shared" si="64"/>
        <v>COST</v>
      </c>
      <c r="H68" s="126">
        <v>2037</v>
      </c>
      <c r="I68" s="108" t="str">
        <f t="shared" si="65"/>
        <v>EXPOILDSL*</v>
      </c>
      <c r="J68" s="108" t="str">
        <f t="shared" si="66"/>
        <v>*OILDSL</v>
      </c>
      <c r="K68" s="161">
        <f>VLOOKUP(I68,Worldprices!$B$49:$AN$92,$BW68,FALSE)</f>
        <v>12.801407069182106</v>
      </c>
      <c r="L68" s="161"/>
      <c r="M68" s="108" t="str">
        <f t="shared" si="67"/>
        <v>COST</v>
      </c>
      <c r="N68" s="126">
        <v>2037</v>
      </c>
      <c r="O68" s="108" t="str">
        <f t="shared" si="68"/>
        <v>EXPOILGSL*</v>
      </c>
      <c r="P68" s="108" t="str">
        <f t="shared" si="69"/>
        <v>*OILGSL</v>
      </c>
      <c r="Q68" s="161">
        <f>VLOOKUP(O68,Worldprices!$B$49:$AN$92,$BW68,FALSE)</f>
        <v>14.23364651068054</v>
      </c>
      <c r="R68" s="161"/>
      <c r="S68" s="108" t="str">
        <f t="shared" si="70"/>
        <v>COST</v>
      </c>
      <c r="T68" s="126">
        <v>2037</v>
      </c>
      <c r="U68" s="108" t="str">
        <f t="shared" ref="U68:V68" si="178">U67</f>
        <v>EXPOILLPG*</v>
      </c>
      <c r="V68" s="108" t="str">
        <f t="shared" si="178"/>
        <v>*OILLPG</v>
      </c>
      <c r="W68" s="161">
        <f>VLOOKUP(U68,Worldprices!$B$49:$AN$92,$BW68,FALSE)</f>
        <v>11.452629434723807</v>
      </c>
      <c r="X68" s="161"/>
      <c r="Y68" s="108" t="str">
        <f t="shared" si="72"/>
        <v>COST</v>
      </c>
      <c r="Z68" s="126">
        <v>2037</v>
      </c>
      <c r="AA68" s="108" t="str">
        <f t="shared" ref="AA68:AB68" si="179">AA67</f>
        <v>EXPOILHFO*</v>
      </c>
      <c r="AB68" s="108" t="str">
        <f t="shared" si="179"/>
        <v>*OILHFO</v>
      </c>
      <c r="AC68" s="161">
        <f>VLOOKUP(AA68,Worldprices!$B$49:$AN$92,$BW68,FALSE)</f>
        <v>7.1268653477933261</v>
      </c>
      <c r="AD68" s="161"/>
      <c r="AE68" s="108" t="str">
        <f t="shared" si="74"/>
        <v>COST</v>
      </c>
      <c r="AF68" s="126">
        <v>2037</v>
      </c>
      <c r="AG68" s="108" t="str">
        <f t="shared" ref="AG68:AH68" si="180">AG67</f>
        <v>EXPOILKER*</v>
      </c>
      <c r="AH68" s="108" t="str">
        <f t="shared" si="180"/>
        <v>*OILKER</v>
      </c>
      <c r="AI68" s="161">
        <f>VLOOKUP(AG68,Worldprices!$B$49:$AN$92,$BW68,FALSE)</f>
        <v>13.843979674893228</v>
      </c>
      <c r="AJ68" s="161"/>
      <c r="AK68" s="108" t="str">
        <f t="shared" si="76"/>
        <v>COST</v>
      </c>
      <c r="AL68" s="126">
        <v>2037</v>
      </c>
      <c r="AM68" s="108" t="str">
        <f t="shared" si="167"/>
        <v>EXPOILNG*</v>
      </c>
      <c r="AN68" s="108" t="str">
        <f t="shared" si="167"/>
        <v>*OILNGL</v>
      </c>
      <c r="AO68" s="161">
        <f>VLOOKUP(AM68,Worldprices!$B$49:$AN$92,$BW68,FALSE)</f>
        <v>7.1272284468284379</v>
      </c>
      <c r="AP68" s="161"/>
      <c r="AQ68" s="108" t="str">
        <f t="shared" si="78"/>
        <v>COST</v>
      </c>
      <c r="AR68" s="126">
        <v>2037</v>
      </c>
      <c r="AS68" s="108" t="str">
        <f t="shared" si="168"/>
        <v>EXPOILBIT*</v>
      </c>
      <c r="AT68" s="108" t="str">
        <f t="shared" si="168"/>
        <v>*OILBIT</v>
      </c>
      <c r="AU68" s="161">
        <f>VLOOKUP(AS68,Worldprices!$B$49:$AN$92,$BW68,FALSE)</f>
        <v>7.1272284468284379</v>
      </c>
      <c r="AV68" s="161"/>
      <c r="AW68" s="108" t="str">
        <f t="shared" si="80"/>
        <v>COST</v>
      </c>
      <c r="AX68" s="126">
        <v>2037</v>
      </c>
      <c r="AY68" s="108" t="str">
        <f t="shared" si="169"/>
        <v>EXPOILLUB*</v>
      </c>
      <c r="AZ68" s="108" t="str">
        <f t="shared" si="169"/>
        <v>*OILLUB</v>
      </c>
      <c r="BA68" s="161">
        <f>VLOOKUP(AY68,Worldprices!$B$49:$AN$92,$BW68,FALSE)</f>
        <v>7.1272284468284379</v>
      </c>
      <c r="BB68" s="161"/>
      <c r="BC68" s="108" t="str">
        <f t="shared" si="82"/>
        <v>COST</v>
      </c>
      <c r="BD68" s="126">
        <v>2037</v>
      </c>
      <c r="BE68" s="108" t="str">
        <f t="shared" si="170"/>
        <v>EXPGASNAT_**E01</v>
      </c>
      <c r="BF68" s="108" t="str">
        <f t="shared" si="170"/>
        <v>PITGASNA*</v>
      </c>
      <c r="BG68" s="161">
        <f>VLOOKUP(BE68,Worldprices!$B$49:$AN$92,$BW68,FALSE)</f>
        <v>7.5260619037500005</v>
      </c>
      <c r="BH68" s="161"/>
      <c r="BI68" s="108" t="str">
        <f t="shared" si="84"/>
        <v>COST</v>
      </c>
      <c r="BJ68" s="126">
        <v>2037</v>
      </c>
      <c r="BK68" s="108" t="str">
        <f t="shared" ref="BK68" si="181">BK67</f>
        <v>EXPGASNAT_**E02</v>
      </c>
      <c r="BL68" s="108" t="str">
        <f t="shared" si="59"/>
        <v>PITGASNA*</v>
      </c>
      <c r="BM68" s="161">
        <f>VLOOKUP(BK68,Worldprices!$B$49:$AN$92,$BW68,FALSE)</f>
        <v>6.807464548179234</v>
      </c>
      <c r="BN68" s="161"/>
      <c r="BO68" s="108" t="str">
        <f t="shared" si="86"/>
        <v>COST</v>
      </c>
      <c r="BP68" s="126">
        <v>2037</v>
      </c>
      <c r="BQ68" s="108" t="str">
        <f t="shared" ref="BQ68:BR68" si="182">BQ67</f>
        <v>EXPELC*</v>
      </c>
      <c r="BR68" s="108" t="str">
        <f t="shared" si="182"/>
        <v>ELCHIGG</v>
      </c>
      <c r="BS68" s="161">
        <f t="shared" si="60"/>
        <v>22.289210939675325</v>
      </c>
      <c r="BT68" s="161"/>
      <c r="BU68" s="161"/>
      <c r="BV68" s="161"/>
      <c r="BW68" s="108">
        <f t="shared" si="88"/>
        <v>25</v>
      </c>
    </row>
    <row r="69" spans="1:75" hidden="1" x14ac:dyDescent="0.25">
      <c r="A69" s="108" t="str">
        <f t="shared" si="61"/>
        <v>COST</v>
      </c>
      <c r="B69" s="126">
        <v>2038</v>
      </c>
      <c r="C69" s="108" t="str">
        <f t="shared" si="62"/>
        <v>EXPOILCRD*</v>
      </c>
      <c r="D69" s="108" t="str">
        <f t="shared" si="63"/>
        <v>*OILCRD</v>
      </c>
      <c r="E69" s="161">
        <f>VLOOKUP(C69,Worldprices!$B$49:$AN$92,$BW69,FALSE)</f>
        <v>9.5859012889758723</v>
      </c>
      <c r="F69" s="161"/>
      <c r="G69" s="108" t="str">
        <f t="shared" si="64"/>
        <v>COST</v>
      </c>
      <c r="H69" s="126">
        <v>2038</v>
      </c>
      <c r="I69" s="108" t="str">
        <f t="shared" si="65"/>
        <v>EXPOILDSL*</v>
      </c>
      <c r="J69" s="108" t="str">
        <f t="shared" si="66"/>
        <v>*OILDSL</v>
      </c>
      <c r="K69" s="161">
        <f>VLOOKUP(I69,Worldprices!$B$49:$AN$92,$BW69,FALSE)</f>
        <v>12.161336715722999</v>
      </c>
      <c r="L69" s="161"/>
      <c r="M69" s="108" t="str">
        <f t="shared" si="67"/>
        <v>COST</v>
      </c>
      <c r="N69" s="126">
        <v>2038</v>
      </c>
      <c r="O69" s="108" t="str">
        <f t="shared" si="68"/>
        <v>EXPOILGSL*</v>
      </c>
      <c r="P69" s="108" t="str">
        <f t="shared" si="69"/>
        <v>*OILGSL</v>
      </c>
      <c r="Q69" s="161">
        <f>VLOOKUP(O69,Worldprices!$B$49:$AN$92,$BW69,FALSE)</f>
        <v>13.52196418514651</v>
      </c>
      <c r="R69" s="161"/>
      <c r="S69" s="108" t="str">
        <f t="shared" si="70"/>
        <v>COST</v>
      </c>
      <c r="T69" s="126">
        <v>2038</v>
      </c>
      <c r="U69" s="108" t="str">
        <f t="shared" ref="U69:V69" si="183">U68</f>
        <v>EXPOILLPG*</v>
      </c>
      <c r="V69" s="108" t="str">
        <f t="shared" si="183"/>
        <v>*OILLPG</v>
      </c>
      <c r="W69" s="161">
        <f>VLOOKUP(U69,Worldprices!$B$49:$AN$92,$BW69,FALSE)</f>
        <v>10.879997962987614</v>
      </c>
      <c r="X69" s="161"/>
      <c r="Y69" s="108" t="str">
        <f t="shared" si="72"/>
        <v>COST</v>
      </c>
      <c r="Z69" s="126">
        <v>2038</v>
      </c>
      <c r="AA69" s="108" t="str">
        <f t="shared" ref="AA69:AB69" si="184">AA68</f>
        <v>EXPOILHFO*</v>
      </c>
      <c r="AB69" s="108" t="str">
        <f t="shared" si="184"/>
        <v>*OILHFO</v>
      </c>
      <c r="AC69" s="161">
        <f>VLOOKUP(AA69,Worldprices!$B$49:$AN$92,$BW69,FALSE)</f>
        <v>6.7705220804036585</v>
      </c>
      <c r="AD69" s="161"/>
      <c r="AE69" s="108" t="str">
        <f t="shared" si="74"/>
        <v>COST</v>
      </c>
      <c r="AF69" s="126">
        <v>2038</v>
      </c>
      <c r="AG69" s="108" t="str">
        <f t="shared" ref="AG69:AH69" si="185">AG68</f>
        <v>EXPOILKER*</v>
      </c>
      <c r="AH69" s="108" t="str">
        <f t="shared" si="185"/>
        <v>*OILKER</v>
      </c>
      <c r="AI69" s="161">
        <f>VLOOKUP(AG69,Worldprices!$B$49:$AN$92,$BW69,FALSE)</f>
        <v>13.151780691148565</v>
      </c>
      <c r="AJ69" s="161"/>
      <c r="AK69" s="108" t="str">
        <f t="shared" si="76"/>
        <v>COST</v>
      </c>
      <c r="AL69" s="126">
        <v>2038</v>
      </c>
      <c r="AM69" s="108" t="str">
        <f t="shared" si="167"/>
        <v>EXPOILNG*</v>
      </c>
      <c r="AN69" s="108" t="str">
        <f t="shared" si="167"/>
        <v>*OILNGL</v>
      </c>
      <c r="AO69" s="161">
        <f>VLOOKUP(AM69,Worldprices!$B$49:$AN$92,$BW69,FALSE)</f>
        <v>6.7708670244870151</v>
      </c>
      <c r="AP69" s="161"/>
      <c r="AQ69" s="108" t="str">
        <f t="shared" si="78"/>
        <v>COST</v>
      </c>
      <c r="AR69" s="126">
        <v>2038</v>
      </c>
      <c r="AS69" s="108" t="str">
        <f t="shared" si="168"/>
        <v>EXPOILBIT*</v>
      </c>
      <c r="AT69" s="108" t="str">
        <f t="shared" si="168"/>
        <v>*OILBIT</v>
      </c>
      <c r="AU69" s="161">
        <f>VLOOKUP(AS69,Worldprices!$B$49:$AN$92,$BW69,FALSE)</f>
        <v>6.7708670244870151</v>
      </c>
      <c r="AV69" s="161"/>
      <c r="AW69" s="108" t="str">
        <f t="shared" si="80"/>
        <v>COST</v>
      </c>
      <c r="AX69" s="126">
        <v>2038</v>
      </c>
      <c r="AY69" s="108" t="str">
        <f t="shared" si="169"/>
        <v>EXPOILLUB*</v>
      </c>
      <c r="AZ69" s="108" t="str">
        <f t="shared" si="169"/>
        <v>*OILLUB</v>
      </c>
      <c r="BA69" s="161">
        <f>VLOOKUP(AY69,Worldprices!$B$49:$AN$92,$BW69,FALSE)</f>
        <v>6.7708670244870151</v>
      </c>
      <c r="BB69" s="161"/>
      <c r="BC69" s="108" t="str">
        <f t="shared" si="82"/>
        <v>COST</v>
      </c>
      <c r="BD69" s="126">
        <v>2038</v>
      </c>
      <c r="BE69" s="108" t="str">
        <f t="shared" si="170"/>
        <v>EXPGASNAT_**E01</v>
      </c>
      <c r="BF69" s="108" t="str">
        <f t="shared" si="170"/>
        <v>PITGASNA*</v>
      </c>
      <c r="BG69" s="161">
        <f>VLOOKUP(BE69,Worldprices!$B$49:$AN$92,$BW69,FALSE)</f>
        <v>7.5260619037500005</v>
      </c>
      <c r="BH69" s="161"/>
      <c r="BI69" s="108" t="str">
        <f t="shared" si="84"/>
        <v>COST</v>
      </c>
      <c r="BJ69" s="126">
        <v>2038</v>
      </c>
      <c r="BK69" s="108" t="str">
        <f t="shared" ref="BK69" si="186">BK68</f>
        <v>EXPGASNAT_**E02</v>
      </c>
      <c r="BL69" s="108" t="str">
        <f t="shared" si="59"/>
        <v>PITGASNA*</v>
      </c>
      <c r="BM69" s="161">
        <f>VLOOKUP(BK69,Worldprices!$B$49:$AN$92,$BW69,FALSE)</f>
        <v>6.8585205322905782</v>
      </c>
      <c r="BN69" s="161"/>
      <c r="BO69" s="108" t="str">
        <f t="shared" si="86"/>
        <v>COST</v>
      </c>
      <c r="BP69" s="126">
        <v>2038</v>
      </c>
      <c r="BQ69" s="108" t="str">
        <f t="shared" ref="BQ69:BR69" si="187">BQ68</f>
        <v>EXPELC*</v>
      </c>
      <c r="BR69" s="108" t="str">
        <f t="shared" si="187"/>
        <v>ELCHIGG</v>
      </c>
      <c r="BS69" s="161">
        <f t="shared" si="60"/>
        <v>22.734995158468831</v>
      </c>
      <c r="BT69" s="161"/>
      <c r="BU69" s="161"/>
      <c r="BV69" s="161"/>
      <c r="BW69" s="108">
        <f t="shared" si="88"/>
        <v>26</v>
      </c>
    </row>
    <row r="70" spans="1:75" hidden="1" x14ac:dyDescent="0.25">
      <c r="A70" s="108" t="str">
        <f t="shared" si="61"/>
        <v>COST</v>
      </c>
      <c r="B70" s="126">
        <v>2039</v>
      </c>
      <c r="C70" s="108" t="str">
        <f t="shared" si="62"/>
        <v>EXPOILCRD*</v>
      </c>
      <c r="D70" s="108" t="str">
        <f t="shared" si="63"/>
        <v>*OILCRD</v>
      </c>
      <c r="E70" s="161">
        <f>VLOOKUP(C70,Worldprices!$B$49:$AN$92,$BW70,FALSE)</f>
        <v>9.1066062245270789</v>
      </c>
      <c r="F70" s="161"/>
      <c r="G70" s="108" t="str">
        <f t="shared" si="64"/>
        <v>COST</v>
      </c>
      <c r="H70" s="126">
        <v>2039</v>
      </c>
      <c r="I70" s="108" t="str">
        <f t="shared" si="65"/>
        <v>EXPOILDSL*</v>
      </c>
      <c r="J70" s="108" t="str">
        <f t="shared" si="66"/>
        <v>*OILDSL</v>
      </c>
      <c r="K70" s="161">
        <f>VLOOKUP(I70,Worldprices!$B$49:$AN$92,$BW70,FALSE)</f>
        <v>11.553269879936849</v>
      </c>
      <c r="L70" s="161"/>
      <c r="M70" s="108" t="str">
        <f t="shared" si="67"/>
        <v>COST</v>
      </c>
      <c r="N70" s="126">
        <v>2039</v>
      </c>
      <c r="O70" s="108" t="str">
        <f t="shared" si="68"/>
        <v>EXPOILGSL*</v>
      </c>
      <c r="P70" s="108" t="str">
        <f t="shared" si="69"/>
        <v>*OILGSL</v>
      </c>
      <c r="Q70" s="161">
        <f>VLOOKUP(O70,Worldprices!$B$49:$AN$92,$BW70,FALSE)</f>
        <v>12.845865975889184</v>
      </c>
      <c r="R70" s="161"/>
      <c r="S70" s="108" t="str">
        <f t="shared" si="70"/>
        <v>COST</v>
      </c>
      <c r="T70" s="126">
        <v>2039</v>
      </c>
      <c r="U70" s="108" t="str">
        <f t="shared" ref="U70:V70" si="188">U69</f>
        <v>EXPOILLPG*</v>
      </c>
      <c r="V70" s="108" t="str">
        <f t="shared" si="188"/>
        <v>*OILLPG</v>
      </c>
      <c r="W70" s="161">
        <f>VLOOKUP(U70,Worldprices!$B$49:$AN$92,$BW70,FALSE)</f>
        <v>10.335998064838233</v>
      </c>
      <c r="X70" s="161"/>
      <c r="Y70" s="108" t="str">
        <f t="shared" si="72"/>
        <v>COST</v>
      </c>
      <c r="Z70" s="126">
        <v>2039</v>
      </c>
      <c r="AA70" s="108" t="str">
        <f t="shared" ref="AA70:AB70" si="189">AA69</f>
        <v>EXPOILHFO*</v>
      </c>
      <c r="AB70" s="108" t="str">
        <f t="shared" si="189"/>
        <v>*OILHFO</v>
      </c>
      <c r="AC70" s="161">
        <f>VLOOKUP(AA70,Worldprices!$B$49:$AN$92,$BW70,FALSE)</f>
        <v>6.431995976383476</v>
      </c>
      <c r="AD70" s="161"/>
      <c r="AE70" s="108" t="str">
        <f t="shared" si="74"/>
        <v>COST</v>
      </c>
      <c r="AF70" s="126">
        <v>2039</v>
      </c>
      <c r="AG70" s="108" t="str">
        <f t="shared" ref="AG70:AH70" si="190">AG69</f>
        <v>EXPOILKER*</v>
      </c>
      <c r="AH70" s="108" t="str">
        <f t="shared" si="190"/>
        <v>*OILKER</v>
      </c>
      <c r="AI70" s="161">
        <f>VLOOKUP(AG70,Worldprices!$B$49:$AN$92,$BW70,FALSE)</f>
        <v>12.494191656591136</v>
      </c>
      <c r="AJ70" s="161"/>
      <c r="AK70" s="108" t="str">
        <f t="shared" si="76"/>
        <v>COST</v>
      </c>
      <c r="AL70" s="126">
        <v>2039</v>
      </c>
      <c r="AM70" s="108" t="str">
        <f t="shared" si="167"/>
        <v>EXPOILNG*</v>
      </c>
      <c r="AN70" s="108" t="str">
        <f t="shared" si="167"/>
        <v>*OILNGL</v>
      </c>
      <c r="AO70" s="161">
        <f>VLOOKUP(AM70,Worldprices!$B$49:$AN$92,$BW70,FALSE)</f>
        <v>6.4323236732626636</v>
      </c>
      <c r="AP70" s="161"/>
      <c r="AQ70" s="108" t="str">
        <f t="shared" si="78"/>
        <v>COST</v>
      </c>
      <c r="AR70" s="126">
        <v>2039</v>
      </c>
      <c r="AS70" s="108" t="str">
        <f t="shared" si="168"/>
        <v>EXPOILBIT*</v>
      </c>
      <c r="AT70" s="108" t="str">
        <f t="shared" si="168"/>
        <v>*OILBIT</v>
      </c>
      <c r="AU70" s="161">
        <f>VLOOKUP(AS70,Worldprices!$B$49:$AN$92,$BW70,FALSE)</f>
        <v>6.4323236732626636</v>
      </c>
      <c r="AV70" s="161"/>
      <c r="AW70" s="108" t="str">
        <f t="shared" si="80"/>
        <v>COST</v>
      </c>
      <c r="AX70" s="126">
        <v>2039</v>
      </c>
      <c r="AY70" s="108" t="str">
        <f t="shared" si="169"/>
        <v>EXPOILLUB*</v>
      </c>
      <c r="AZ70" s="108" t="str">
        <f t="shared" si="169"/>
        <v>*OILLUB</v>
      </c>
      <c r="BA70" s="161">
        <f>VLOOKUP(AY70,Worldprices!$B$49:$AN$92,$BW70,FALSE)</f>
        <v>6.4323236732626636</v>
      </c>
      <c r="BB70" s="161"/>
      <c r="BC70" s="108" t="str">
        <f t="shared" si="82"/>
        <v>COST</v>
      </c>
      <c r="BD70" s="126">
        <v>2039</v>
      </c>
      <c r="BE70" s="108" t="str">
        <f t="shared" si="170"/>
        <v>EXPGASNAT_**E01</v>
      </c>
      <c r="BF70" s="108" t="str">
        <f t="shared" si="170"/>
        <v>PITGASNA*</v>
      </c>
      <c r="BG70" s="161">
        <f>VLOOKUP(BE70,Worldprices!$B$49:$AN$92,$BW70,FALSE)</f>
        <v>7.5260619037500005</v>
      </c>
      <c r="BH70" s="161"/>
      <c r="BI70" s="108" t="str">
        <f t="shared" si="84"/>
        <v>COST</v>
      </c>
      <c r="BJ70" s="126">
        <v>2039</v>
      </c>
      <c r="BK70" s="108" t="str">
        <f t="shared" ref="BK70" si="191">BK69</f>
        <v>EXPGASNAT_**E02</v>
      </c>
      <c r="BL70" s="108" t="str">
        <f t="shared" si="59"/>
        <v>PITGASNA*</v>
      </c>
      <c r="BM70" s="161">
        <f>VLOOKUP(BK70,Worldprices!$B$49:$AN$92,$BW70,FALSE)</f>
        <v>6.9099594362827581</v>
      </c>
      <c r="BN70" s="161"/>
      <c r="BO70" s="108" t="str">
        <f t="shared" si="86"/>
        <v>COST</v>
      </c>
      <c r="BP70" s="126">
        <v>2039</v>
      </c>
      <c r="BQ70" s="108" t="str">
        <f t="shared" ref="BQ70:BR70" si="192">BQ69</f>
        <v>EXPELC*</v>
      </c>
      <c r="BR70" s="108" t="str">
        <f t="shared" si="192"/>
        <v>ELCHIGG</v>
      </c>
      <c r="BS70" s="161">
        <f t="shared" si="60"/>
        <v>23.189695061638208</v>
      </c>
      <c r="BT70" s="161"/>
      <c r="BU70" s="161"/>
      <c r="BV70" s="161"/>
      <c r="BW70" s="108">
        <f t="shared" si="88"/>
        <v>27</v>
      </c>
    </row>
    <row r="71" spans="1:75" x14ac:dyDescent="0.25">
      <c r="A71" s="108" t="str">
        <f t="shared" si="61"/>
        <v>COST</v>
      </c>
      <c r="B71" s="126">
        <v>2040</v>
      </c>
      <c r="C71" s="108" t="str">
        <f t="shared" si="62"/>
        <v>EXPOILCRD*</v>
      </c>
      <c r="D71" s="108" t="str">
        <f t="shared" si="63"/>
        <v>*OILCRD</v>
      </c>
      <c r="E71" s="161">
        <f>VLOOKUP(C71,Worldprices!$B$49:$AN$92,$BW71,FALSE)</f>
        <v>8.651275913300724</v>
      </c>
      <c r="F71" s="161"/>
      <c r="G71" s="108" t="str">
        <f t="shared" si="64"/>
        <v>COST</v>
      </c>
      <c r="H71" s="126">
        <v>2040</v>
      </c>
      <c r="I71" s="108" t="str">
        <f t="shared" si="65"/>
        <v>EXPOILDSL*</v>
      </c>
      <c r="J71" s="108" t="str">
        <f t="shared" si="66"/>
        <v>*OILDSL</v>
      </c>
      <c r="K71" s="161">
        <f>VLOOKUP(I71,Worldprices!$B$49:$AN$92,$BW71,FALSE)</f>
        <v>10.975606385940006</v>
      </c>
      <c r="L71" s="161"/>
      <c r="M71" s="108" t="str">
        <f t="shared" si="67"/>
        <v>COST</v>
      </c>
      <c r="N71" s="126">
        <v>2040</v>
      </c>
      <c r="O71" s="108" t="str">
        <f t="shared" si="68"/>
        <v>EXPOILGSL*</v>
      </c>
      <c r="P71" s="108" t="str">
        <f t="shared" si="69"/>
        <v>*OILGSL</v>
      </c>
      <c r="Q71" s="161">
        <f>VLOOKUP(O71,Worldprices!$B$49:$AN$92,$BW71,FALSE)</f>
        <v>12.203572677094726</v>
      </c>
      <c r="R71" s="161"/>
      <c r="S71" s="108" t="str">
        <f t="shared" si="70"/>
        <v>COST</v>
      </c>
      <c r="T71" s="126">
        <v>2040</v>
      </c>
      <c r="U71" s="108" t="str">
        <f t="shared" ref="U71:V71" si="193">U70</f>
        <v>EXPOILLPG*</v>
      </c>
      <c r="V71" s="108" t="str">
        <f t="shared" si="193"/>
        <v>*OILLPG</v>
      </c>
      <c r="W71" s="161">
        <f>VLOOKUP(U71,Worldprices!$B$49:$AN$92,$BW71,FALSE)</f>
        <v>9.8191981615963222</v>
      </c>
      <c r="X71" s="161"/>
      <c r="Y71" s="108" t="str">
        <f t="shared" si="72"/>
        <v>COST</v>
      </c>
      <c r="Z71" s="126">
        <v>2040</v>
      </c>
      <c r="AA71" s="108" t="str">
        <f t="shared" ref="AA71:AB71" si="194">AA70</f>
        <v>EXPOILHFO*</v>
      </c>
      <c r="AB71" s="108" t="str">
        <f t="shared" si="194"/>
        <v>*OILHFO</v>
      </c>
      <c r="AC71" s="161">
        <f>VLOOKUP(AA71,Worldprices!$B$49:$AN$92,$BW71,FALSE)</f>
        <v>6.1103961775643016</v>
      </c>
      <c r="AD71" s="161"/>
      <c r="AE71" s="108" t="str">
        <f t="shared" si="74"/>
        <v>COST</v>
      </c>
      <c r="AF71" s="126">
        <v>2040</v>
      </c>
      <c r="AG71" s="108" t="str">
        <f t="shared" ref="AG71:AH71" si="195">AG70</f>
        <v>EXPOILKER*</v>
      </c>
      <c r="AH71" s="108" t="str">
        <f t="shared" si="195"/>
        <v>*OILKER</v>
      </c>
      <c r="AI71" s="161">
        <f>VLOOKUP(AG71,Worldprices!$B$49:$AN$92,$BW71,FALSE)</f>
        <v>11.86948207376158</v>
      </c>
      <c r="AJ71" s="161"/>
      <c r="AK71" s="108" t="str">
        <f t="shared" si="76"/>
        <v>COST</v>
      </c>
      <c r="AL71" s="126">
        <v>2040</v>
      </c>
      <c r="AM71" s="108" t="str">
        <f t="shared" si="167"/>
        <v>EXPOILNG*</v>
      </c>
      <c r="AN71" s="108" t="str">
        <f t="shared" si="167"/>
        <v>*OILNGL</v>
      </c>
      <c r="AO71" s="161">
        <f>VLOOKUP(AM71,Worldprices!$B$49:$AN$92,$BW71,FALSE)</f>
        <v>6.1107074895995313</v>
      </c>
      <c r="AP71" s="161"/>
      <c r="AQ71" s="108" t="str">
        <f t="shared" si="78"/>
        <v>COST</v>
      </c>
      <c r="AR71" s="126">
        <v>2040</v>
      </c>
      <c r="AS71" s="108" t="str">
        <f t="shared" si="168"/>
        <v>EXPOILBIT*</v>
      </c>
      <c r="AT71" s="108" t="str">
        <f t="shared" si="168"/>
        <v>*OILBIT</v>
      </c>
      <c r="AU71" s="161">
        <f>VLOOKUP(AS71,Worldprices!$B$49:$AN$92,$BW71,FALSE)</f>
        <v>6.1107074895995313</v>
      </c>
      <c r="AV71" s="161"/>
      <c r="AW71" s="108" t="str">
        <f t="shared" si="80"/>
        <v>COST</v>
      </c>
      <c r="AX71" s="126">
        <v>2040</v>
      </c>
      <c r="AY71" s="108" t="str">
        <f t="shared" si="169"/>
        <v>EXPOILLUB*</v>
      </c>
      <c r="AZ71" s="108" t="str">
        <f t="shared" si="169"/>
        <v>*OILLUB</v>
      </c>
      <c r="BA71" s="161">
        <f>VLOOKUP(AY71,Worldprices!$B$49:$AN$92,$BW71,FALSE)</f>
        <v>6.1107074895995313</v>
      </c>
      <c r="BB71" s="161"/>
      <c r="BC71" s="108" t="str">
        <f t="shared" si="82"/>
        <v>COST</v>
      </c>
      <c r="BD71" s="126">
        <v>2040</v>
      </c>
      <c r="BE71" s="108" t="str">
        <f t="shared" si="170"/>
        <v>EXPGASNAT_**E01</v>
      </c>
      <c r="BF71" s="108" t="str">
        <f t="shared" si="170"/>
        <v>PITGASNA*</v>
      </c>
      <c r="BG71" s="161">
        <f>VLOOKUP(BE71,Worldprices!$B$49:$AN$92,$BW71,FALSE)</f>
        <v>7.5260619037500005</v>
      </c>
      <c r="BH71" s="161"/>
      <c r="BI71" s="108" t="str">
        <f t="shared" si="84"/>
        <v>COST</v>
      </c>
      <c r="BJ71" s="126">
        <v>2040</v>
      </c>
      <c r="BK71" s="108" t="str">
        <f t="shared" ref="BK71" si="196">BK70</f>
        <v>EXPGASNAT_**E02</v>
      </c>
      <c r="BL71" s="108" t="str">
        <f t="shared" si="59"/>
        <v>PITGASNA*</v>
      </c>
      <c r="BM71" s="161">
        <f>VLOOKUP(BK71,Worldprices!$B$49:$AN$92,$BW71,FALSE)</f>
        <v>6.9617841320548788</v>
      </c>
      <c r="BN71" s="161"/>
      <c r="BO71" s="108" t="str">
        <f t="shared" si="86"/>
        <v>COST</v>
      </c>
      <c r="BP71" s="126">
        <v>2040</v>
      </c>
      <c r="BQ71" s="108" t="str">
        <f t="shared" ref="BQ71:BR71" si="197">BQ70</f>
        <v>EXPELC*</v>
      </c>
      <c r="BR71" s="108" t="str">
        <f t="shared" si="197"/>
        <v>ELCHIGG</v>
      </c>
      <c r="BS71" s="161">
        <f t="shared" si="60"/>
        <v>23.653488962870973</v>
      </c>
      <c r="BT71" s="161"/>
      <c r="BU71" s="161"/>
      <c r="BV71" s="161"/>
      <c r="BW71" s="108">
        <f t="shared" si="88"/>
        <v>28</v>
      </c>
    </row>
    <row r="72" spans="1:75" hidden="1" x14ac:dyDescent="0.25">
      <c r="A72" s="108" t="str">
        <f t="shared" si="61"/>
        <v>COST</v>
      </c>
      <c r="B72" s="126">
        <v>2041</v>
      </c>
      <c r="C72" s="108" t="str">
        <f t="shared" si="62"/>
        <v>EXPOILCRD*</v>
      </c>
      <c r="D72" s="108" t="str">
        <f t="shared" si="63"/>
        <v>*OILCRD</v>
      </c>
      <c r="E72" s="161">
        <f>VLOOKUP(C72,Worldprices!$B$49:$AN$92,$BW72,FALSE)</f>
        <v>8.2187121176356879</v>
      </c>
      <c r="F72" s="161"/>
      <c r="G72" s="108" t="str">
        <f t="shared" si="64"/>
        <v>COST</v>
      </c>
      <c r="H72" s="126">
        <v>2041</v>
      </c>
      <c r="I72" s="108" t="str">
        <f t="shared" si="65"/>
        <v>EXPOILDSL*</v>
      </c>
      <c r="J72" s="108" t="str">
        <f t="shared" si="66"/>
        <v>*OILDSL</v>
      </c>
      <c r="K72" s="161">
        <f>VLOOKUP(I72,Worldprices!$B$49:$AN$92,$BW72,FALSE)</f>
        <v>10.426826066643006</v>
      </c>
      <c r="L72" s="161"/>
      <c r="M72" s="108" t="str">
        <f t="shared" si="67"/>
        <v>COST</v>
      </c>
      <c r="N72" s="126">
        <v>2041</v>
      </c>
      <c r="O72" s="108" t="str">
        <f t="shared" si="68"/>
        <v>EXPOILGSL*</v>
      </c>
      <c r="P72" s="108" t="str">
        <f t="shared" si="69"/>
        <v>*OILGSL</v>
      </c>
      <c r="Q72" s="161">
        <f>VLOOKUP(O72,Worldprices!$B$49:$AN$92,$BW72,FALSE)</f>
        <v>11.593394043239988</v>
      </c>
      <c r="R72" s="161"/>
      <c r="S72" s="108" t="str">
        <f t="shared" si="70"/>
        <v>COST</v>
      </c>
      <c r="T72" s="126">
        <v>2041</v>
      </c>
      <c r="U72" s="108" t="str">
        <f t="shared" ref="U72:V72" si="198">U71</f>
        <v>EXPOILLPG*</v>
      </c>
      <c r="V72" s="108" t="str">
        <f t="shared" si="198"/>
        <v>*OILLPG</v>
      </c>
      <c r="W72" s="161">
        <f>VLOOKUP(U72,Worldprices!$B$49:$AN$92,$BW72,FALSE)</f>
        <v>9.3282382535165063</v>
      </c>
      <c r="X72" s="161"/>
      <c r="Y72" s="108" t="str">
        <f t="shared" si="72"/>
        <v>COST</v>
      </c>
      <c r="Z72" s="126">
        <v>2041</v>
      </c>
      <c r="AA72" s="108" t="str">
        <f t="shared" ref="AA72:AB72" si="199">AA71</f>
        <v>EXPOILHFO*</v>
      </c>
      <c r="AB72" s="108" t="str">
        <f t="shared" si="199"/>
        <v>*OILHFO</v>
      </c>
      <c r="AC72" s="161">
        <f>VLOOKUP(AA72,Worldprices!$B$49:$AN$92,$BW72,FALSE)</f>
        <v>5.8048763686860863</v>
      </c>
      <c r="AD72" s="161"/>
      <c r="AE72" s="108" t="str">
        <f t="shared" si="74"/>
        <v>COST</v>
      </c>
      <c r="AF72" s="126">
        <v>2041</v>
      </c>
      <c r="AG72" s="108" t="str">
        <f t="shared" ref="AG72:AH72" si="200">AG71</f>
        <v>EXPOILKER*</v>
      </c>
      <c r="AH72" s="108" t="str">
        <f t="shared" si="200"/>
        <v>*OILKER</v>
      </c>
      <c r="AI72" s="161">
        <f>VLOOKUP(AG72,Worldprices!$B$49:$AN$92,$BW72,FALSE)</f>
        <v>11.276007970073501</v>
      </c>
      <c r="AJ72" s="161"/>
      <c r="AK72" s="108" t="str">
        <f t="shared" si="76"/>
        <v>COST</v>
      </c>
      <c r="AL72" s="126">
        <v>2041</v>
      </c>
      <c r="AM72" s="108" t="str">
        <f t="shared" si="167"/>
        <v>EXPOILNG*</v>
      </c>
      <c r="AN72" s="108" t="str">
        <f t="shared" si="167"/>
        <v>*OILNGL</v>
      </c>
      <c r="AO72" s="161">
        <f>VLOOKUP(AM72,Worldprices!$B$49:$AN$92,$BW72,FALSE)</f>
        <v>5.8051721151195537</v>
      </c>
      <c r="AP72" s="161"/>
      <c r="AQ72" s="108" t="str">
        <f t="shared" si="78"/>
        <v>COST</v>
      </c>
      <c r="AR72" s="126">
        <v>2041</v>
      </c>
      <c r="AS72" s="108" t="str">
        <f t="shared" si="168"/>
        <v>EXPOILBIT*</v>
      </c>
      <c r="AT72" s="108" t="str">
        <f t="shared" si="168"/>
        <v>*OILBIT</v>
      </c>
      <c r="AU72" s="161">
        <f>VLOOKUP(AS72,Worldprices!$B$49:$AN$92,$BW72,FALSE)</f>
        <v>5.8051721151195537</v>
      </c>
      <c r="AV72" s="161"/>
      <c r="AW72" s="108" t="str">
        <f t="shared" si="80"/>
        <v>COST</v>
      </c>
      <c r="AX72" s="126">
        <v>2041</v>
      </c>
      <c r="AY72" s="108" t="str">
        <f t="shared" si="169"/>
        <v>EXPOILLUB*</v>
      </c>
      <c r="AZ72" s="108" t="str">
        <f t="shared" si="169"/>
        <v>*OILLUB</v>
      </c>
      <c r="BA72" s="161">
        <f>VLOOKUP(AY72,Worldprices!$B$49:$AN$92,$BW72,FALSE)</f>
        <v>5.8051721151195537</v>
      </c>
      <c r="BB72" s="161"/>
      <c r="BC72" s="108" t="str">
        <f t="shared" si="82"/>
        <v>COST</v>
      </c>
      <c r="BD72" s="126">
        <v>2041</v>
      </c>
      <c r="BE72" s="108" t="str">
        <f t="shared" si="170"/>
        <v>EXPGASNAT_**E01</v>
      </c>
      <c r="BF72" s="108" t="str">
        <f t="shared" si="170"/>
        <v>PITGASNA*</v>
      </c>
      <c r="BG72" s="161">
        <f>VLOOKUP(BE72,Worldprices!$B$49:$AN$92,$BW72,FALSE)</f>
        <v>7.3002800466375</v>
      </c>
      <c r="BH72" s="161"/>
      <c r="BI72" s="108" t="str">
        <f t="shared" si="84"/>
        <v>COST</v>
      </c>
      <c r="BJ72" s="126">
        <v>2041</v>
      </c>
      <c r="BK72" s="108" t="str">
        <f t="shared" ref="BK72" si="201">BK71</f>
        <v>EXPGASNAT_**E02</v>
      </c>
      <c r="BL72" s="108" t="str">
        <f t="shared" si="59"/>
        <v>PITGASNA*</v>
      </c>
      <c r="BM72" s="161">
        <f>VLOOKUP(BK72,Worldprices!$B$49:$AN$92,$BW72,FALSE)</f>
        <v>7.0139975130452914</v>
      </c>
      <c r="BN72" s="161"/>
      <c r="BO72" s="108" t="str">
        <f t="shared" si="86"/>
        <v>COST</v>
      </c>
      <c r="BP72" s="126">
        <v>2041</v>
      </c>
      <c r="BQ72" s="108" t="str">
        <f t="shared" ref="BQ72:BR72" si="202">BQ71</f>
        <v>EXPELC*</v>
      </c>
      <c r="BR72" s="108" t="str">
        <f t="shared" si="202"/>
        <v>ELCHIGG</v>
      </c>
      <c r="BS72" s="161">
        <f t="shared" si="60"/>
        <v>24.126558742128392</v>
      </c>
      <c r="BT72" s="161"/>
      <c r="BU72" s="161"/>
      <c r="BV72" s="161"/>
      <c r="BW72" s="108">
        <f t="shared" si="88"/>
        <v>29</v>
      </c>
    </row>
    <row r="73" spans="1:75" hidden="1" x14ac:dyDescent="0.25">
      <c r="A73" s="108" t="str">
        <f t="shared" si="61"/>
        <v>COST</v>
      </c>
      <c r="B73" s="126">
        <v>2042</v>
      </c>
      <c r="C73" s="108" t="str">
        <f t="shared" si="62"/>
        <v>EXPOILCRD*</v>
      </c>
      <c r="D73" s="108" t="str">
        <f t="shared" si="63"/>
        <v>*OILCRD</v>
      </c>
      <c r="E73" s="161">
        <f>VLOOKUP(C73,Worldprices!$B$49:$AN$92,$BW73,FALSE)</f>
        <v>7.8077765117539029</v>
      </c>
      <c r="F73" s="161"/>
      <c r="G73" s="108" t="str">
        <f t="shared" si="64"/>
        <v>COST</v>
      </c>
      <c r="H73" s="126">
        <v>2042</v>
      </c>
      <c r="I73" s="108" t="str">
        <f t="shared" si="65"/>
        <v>EXPOILDSL*</v>
      </c>
      <c r="J73" s="108" t="str">
        <f t="shared" si="66"/>
        <v>*OILDSL</v>
      </c>
      <c r="K73" s="161">
        <f>VLOOKUP(I73,Worldprices!$B$49:$AN$92,$BW73,FALSE)</f>
        <v>9.9054847633108558</v>
      </c>
      <c r="L73" s="161"/>
      <c r="M73" s="108" t="str">
        <f t="shared" si="67"/>
        <v>COST</v>
      </c>
      <c r="N73" s="126">
        <v>2042</v>
      </c>
      <c r="O73" s="108" t="str">
        <f t="shared" si="68"/>
        <v>EXPOILGSL*</v>
      </c>
      <c r="P73" s="108" t="str">
        <f t="shared" si="69"/>
        <v>*OILGSL</v>
      </c>
      <c r="Q73" s="161">
        <f>VLOOKUP(O73,Worldprices!$B$49:$AN$92,$BW73,FALSE)</f>
        <v>11.013724341077989</v>
      </c>
      <c r="R73" s="161"/>
      <c r="S73" s="108" t="str">
        <f t="shared" si="70"/>
        <v>COST</v>
      </c>
      <c r="T73" s="126">
        <v>2042</v>
      </c>
      <c r="U73" s="108" t="str">
        <f t="shared" ref="U73:V73" si="203">U72</f>
        <v>EXPOILLPG*</v>
      </c>
      <c r="V73" s="108" t="str">
        <f t="shared" si="203"/>
        <v>*OILLPG</v>
      </c>
      <c r="W73" s="161">
        <f>VLOOKUP(U73,Worldprices!$B$49:$AN$92,$BW73,FALSE)</f>
        <v>8.8618263408406808</v>
      </c>
      <c r="X73" s="161"/>
      <c r="Y73" s="108" t="str">
        <f t="shared" si="72"/>
        <v>COST</v>
      </c>
      <c r="Z73" s="126">
        <v>2042</v>
      </c>
      <c r="AA73" s="108" t="str">
        <f t="shared" ref="AA73:AB73" si="204">AA72</f>
        <v>EXPOILHFO*</v>
      </c>
      <c r="AB73" s="108" t="str">
        <f t="shared" si="204"/>
        <v>*OILHFO</v>
      </c>
      <c r="AC73" s="161">
        <f>VLOOKUP(AA73,Worldprices!$B$49:$AN$92,$BW73,FALSE)</f>
        <v>5.5146325502517817</v>
      </c>
      <c r="AD73" s="161"/>
      <c r="AE73" s="108" t="str">
        <f t="shared" si="74"/>
        <v>COST</v>
      </c>
      <c r="AF73" s="126">
        <v>2042</v>
      </c>
      <c r="AG73" s="108" t="str">
        <f t="shared" ref="AG73:AH73" si="205">AG72</f>
        <v>EXPOILKER*</v>
      </c>
      <c r="AH73" s="108" t="str">
        <f t="shared" si="205"/>
        <v>*OILKER</v>
      </c>
      <c r="AI73" s="161">
        <f>VLOOKUP(AG73,Worldprices!$B$49:$AN$92,$BW73,FALSE)</f>
        <v>10.712207571569826</v>
      </c>
      <c r="AJ73" s="161"/>
      <c r="AK73" s="108" t="str">
        <f t="shared" si="76"/>
        <v>COST</v>
      </c>
      <c r="AL73" s="126">
        <v>2042</v>
      </c>
      <c r="AM73" s="108" t="str">
        <f t="shared" si="167"/>
        <v>EXPOILNG*</v>
      </c>
      <c r="AN73" s="108" t="str">
        <f t="shared" si="167"/>
        <v>*OILNGL</v>
      </c>
      <c r="AO73" s="161">
        <f>VLOOKUP(AM73,Worldprices!$B$49:$AN$92,$BW73,FALSE)</f>
        <v>5.5149135093635762</v>
      </c>
      <c r="AP73" s="161"/>
      <c r="AQ73" s="108" t="str">
        <f t="shared" si="78"/>
        <v>COST</v>
      </c>
      <c r="AR73" s="126">
        <v>2042</v>
      </c>
      <c r="AS73" s="108" t="str">
        <f t="shared" si="168"/>
        <v>EXPOILBIT*</v>
      </c>
      <c r="AT73" s="108" t="str">
        <f t="shared" si="168"/>
        <v>*OILBIT</v>
      </c>
      <c r="AU73" s="161">
        <f>VLOOKUP(AS73,Worldprices!$B$49:$AN$92,$BW73,FALSE)</f>
        <v>5.5149135093635762</v>
      </c>
      <c r="AV73" s="161"/>
      <c r="AW73" s="108" t="str">
        <f t="shared" si="80"/>
        <v>COST</v>
      </c>
      <c r="AX73" s="126">
        <v>2042</v>
      </c>
      <c r="AY73" s="108" t="str">
        <f t="shared" si="169"/>
        <v>EXPOILLUB*</v>
      </c>
      <c r="AZ73" s="108" t="str">
        <f t="shared" si="169"/>
        <v>*OILLUB</v>
      </c>
      <c r="BA73" s="161">
        <f>VLOOKUP(AY73,Worldprices!$B$49:$AN$92,$BW73,FALSE)</f>
        <v>5.5149135093635762</v>
      </c>
      <c r="BB73" s="161"/>
      <c r="BC73" s="108" t="str">
        <f t="shared" si="82"/>
        <v>COST</v>
      </c>
      <c r="BD73" s="126">
        <v>2042</v>
      </c>
      <c r="BE73" s="108" t="str">
        <f t="shared" si="170"/>
        <v>EXPGASNAT_**E01</v>
      </c>
      <c r="BF73" s="108" t="str">
        <f t="shared" si="170"/>
        <v>PITGASNA*</v>
      </c>
      <c r="BG73" s="161">
        <f>VLOOKUP(BE73,Worldprices!$B$49:$AN$92,$BW73,FALSE)</f>
        <v>7.0812716452383748</v>
      </c>
      <c r="BH73" s="161"/>
      <c r="BI73" s="108" t="str">
        <f t="shared" si="84"/>
        <v>COST</v>
      </c>
      <c r="BJ73" s="126">
        <v>2042</v>
      </c>
      <c r="BK73" s="108" t="str">
        <f t="shared" ref="BK73" si="206">BK72</f>
        <v>EXPGASNAT_**E02</v>
      </c>
      <c r="BL73" s="108" t="str">
        <f t="shared" si="59"/>
        <v>PITGASNA*</v>
      </c>
      <c r="BM73" s="161">
        <f>VLOOKUP(BK73,Worldprices!$B$49:$AN$92,$BW73,FALSE)</f>
        <v>7.0666024943931314</v>
      </c>
      <c r="BN73" s="161"/>
      <c r="BO73" s="108" t="str">
        <f t="shared" si="86"/>
        <v>COST</v>
      </c>
      <c r="BP73" s="126">
        <v>2042</v>
      </c>
      <c r="BQ73" s="108" t="str">
        <f t="shared" ref="BQ73:BR73" si="207">BQ72</f>
        <v>EXPELC*</v>
      </c>
      <c r="BR73" s="108" t="str">
        <f t="shared" si="207"/>
        <v>ELCHIGG</v>
      </c>
      <c r="BS73" s="161">
        <f t="shared" si="60"/>
        <v>24.609089916970959</v>
      </c>
      <c r="BT73" s="161"/>
      <c r="BU73" s="161"/>
      <c r="BV73" s="161"/>
      <c r="BW73" s="108">
        <f t="shared" si="88"/>
        <v>30</v>
      </c>
    </row>
    <row r="74" spans="1:75" hidden="1" x14ac:dyDescent="0.25">
      <c r="A74" s="108" t="str">
        <f t="shared" si="61"/>
        <v>COST</v>
      </c>
      <c r="B74" s="126">
        <v>2043</v>
      </c>
      <c r="C74" s="108" t="str">
        <f t="shared" si="62"/>
        <v>EXPOILCRD*</v>
      </c>
      <c r="D74" s="108" t="str">
        <f t="shared" si="63"/>
        <v>*OILCRD</v>
      </c>
      <c r="E74" s="161">
        <f>VLOOKUP(C74,Worldprices!$B$49:$AN$92,$BW74,FALSE)</f>
        <v>7.4173876861662071</v>
      </c>
      <c r="F74" s="161"/>
      <c r="G74" s="108" t="str">
        <f t="shared" si="64"/>
        <v>COST</v>
      </c>
      <c r="H74" s="126">
        <v>2043</v>
      </c>
      <c r="I74" s="108" t="str">
        <f t="shared" si="65"/>
        <v>EXPOILDSL*</v>
      </c>
      <c r="J74" s="108" t="str">
        <f t="shared" si="66"/>
        <v>*OILDSL</v>
      </c>
      <c r="K74" s="161">
        <f>VLOOKUP(I74,Worldprices!$B$49:$AN$92,$BW74,FALSE)</f>
        <v>9.4102105251453114</v>
      </c>
      <c r="L74" s="161"/>
      <c r="M74" s="108" t="str">
        <f t="shared" si="67"/>
        <v>COST</v>
      </c>
      <c r="N74" s="126">
        <v>2043</v>
      </c>
      <c r="O74" s="108" t="str">
        <f t="shared" si="68"/>
        <v>EXPOILGSL*</v>
      </c>
      <c r="P74" s="108" t="str">
        <f t="shared" si="69"/>
        <v>*OILGSL</v>
      </c>
      <c r="Q74" s="161">
        <f>VLOOKUP(O74,Worldprices!$B$49:$AN$92,$BW74,FALSE)</f>
        <v>10.46303812402409</v>
      </c>
      <c r="R74" s="161"/>
      <c r="S74" s="108" t="str">
        <f t="shared" si="70"/>
        <v>COST</v>
      </c>
      <c r="T74" s="126">
        <v>2043</v>
      </c>
      <c r="U74" s="108" t="str">
        <f t="shared" ref="U74:V74" si="208">U73</f>
        <v>EXPOILLPG*</v>
      </c>
      <c r="V74" s="108" t="str">
        <f t="shared" si="208"/>
        <v>*OILLPG</v>
      </c>
      <c r="W74" s="161">
        <f>VLOOKUP(U74,Worldprices!$B$49:$AN$92,$BW74,FALSE)</f>
        <v>8.4187350237986447</v>
      </c>
      <c r="X74" s="161"/>
      <c r="Y74" s="108" t="str">
        <f t="shared" si="72"/>
        <v>COST</v>
      </c>
      <c r="Z74" s="126">
        <v>2043</v>
      </c>
      <c r="AA74" s="108" t="str">
        <f t="shared" ref="AA74:AB74" si="209">AA73</f>
        <v>EXPOILHFO*</v>
      </c>
      <c r="AB74" s="108" t="str">
        <f t="shared" si="209"/>
        <v>*OILHFO</v>
      </c>
      <c r="AC74" s="161">
        <f>VLOOKUP(AA74,Worldprices!$B$49:$AN$92,$BW74,FALSE)</f>
        <v>5.2389009227391927</v>
      </c>
      <c r="AD74" s="161"/>
      <c r="AE74" s="108" t="str">
        <f t="shared" si="74"/>
        <v>COST</v>
      </c>
      <c r="AF74" s="126">
        <v>2043</v>
      </c>
      <c r="AG74" s="108" t="str">
        <f t="shared" ref="AG74:AH74" si="210">AG73</f>
        <v>EXPOILKER*</v>
      </c>
      <c r="AH74" s="108" t="str">
        <f t="shared" si="210"/>
        <v>*OILKER</v>
      </c>
      <c r="AI74" s="161">
        <f>VLOOKUP(AG74,Worldprices!$B$49:$AN$92,$BW74,FALSE)</f>
        <v>10.176597192991332</v>
      </c>
      <c r="AJ74" s="161"/>
      <c r="AK74" s="108" t="str">
        <f t="shared" si="76"/>
        <v>COST</v>
      </c>
      <c r="AL74" s="126">
        <v>2043</v>
      </c>
      <c r="AM74" s="108" t="str">
        <f t="shared" si="167"/>
        <v>EXPOILNG*</v>
      </c>
      <c r="AN74" s="108" t="str">
        <f t="shared" si="167"/>
        <v>*OILNGL</v>
      </c>
      <c r="AO74" s="161">
        <f>VLOOKUP(AM74,Worldprices!$B$49:$AN$92,$BW74,FALSE)</f>
        <v>5.2391678338953973</v>
      </c>
      <c r="AP74" s="161"/>
      <c r="AQ74" s="108" t="str">
        <f t="shared" si="78"/>
        <v>COST</v>
      </c>
      <c r="AR74" s="126">
        <v>2043</v>
      </c>
      <c r="AS74" s="108" t="str">
        <f t="shared" si="168"/>
        <v>EXPOILBIT*</v>
      </c>
      <c r="AT74" s="108" t="str">
        <f t="shared" si="168"/>
        <v>*OILBIT</v>
      </c>
      <c r="AU74" s="161">
        <f>VLOOKUP(AS74,Worldprices!$B$49:$AN$92,$BW74,FALSE)</f>
        <v>5.2391678338953973</v>
      </c>
      <c r="AV74" s="161"/>
      <c r="AW74" s="108" t="str">
        <f t="shared" si="80"/>
        <v>COST</v>
      </c>
      <c r="AX74" s="126">
        <v>2043</v>
      </c>
      <c r="AY74" s="108" t="str">
        <f t="shared" si="169"/>
        <v>EXPOILLUB*</v>
      </c>
      <c r="AZ74" s="108" t="str">
        <f t="shared" si="169"/>
        <v>*OILLUB</v>
      </c>
      <c r="BA74" s="161">
        <f>VLOOKUP(AY74,Worldprices!$B$49:$AN$92,$BW74,FALSE)</f>
        <v>5.2391678338953973</v>
      </c>
      <c r="BB74" s="161"/>
      <c r="BC74" s="108" t="str">
        <f t="shared" si="82"/>
        <v>COST</v>
      </c>
      <c r="BD74" s="126">
        <v>2043</v>
      </c>
      <c r="BE74" s="108" t="str">
        <f t="shared" si="170"/>
        <v>EXPGASNAT_**E01</v>
      </c>
      <c r="BF74" s="108" t="str">
        <f t="shared" si="170"/>
        <v>PITGASNA*</v>
      </c>
      <c r="BG74" s="161">
        <f>VLOOKUP(BE74,Worldprices!$B$49:$AN$92,$BW74,FALSE)</f>
        <v>6.8688334958812236</v>
      </c>
      <c r="BH74" s="161"/>
      <c r="BI74" s="108" t="str">
        <f t="shared" si="84"/>
        <v>COST</v>
      </c>
      <c r="BJ74" s="126">
        <v>2043</v>
      </c>
      <c r="BK74" s="108" t="str">
        <f t="shared" ref="BK74" si="211">BK73</f>
        <v>EXPGASNAT_**E02</v>
      </c>
      <c r="BL74" s="108" t="str">
        <f t="shared" si="59"/>
        <v>PITGASNA*</v>
      </c>
      <c r="BM74" s="161">
        <f>VLOOKUP(BK74,Worldprices!$B$49:$AN$92,$BW74,FALSE)</f>
        <v>7.1196020131010807</v>
      </c>
      <c r="BN74" s="161"/>
      <c r="BO74" s="108" t="str">
        <f t="shared" si="86"/>
        <v>COST</v>
      </c>
      <c r="BP74" s="126">
        <v>2043</v>
      </c>
      <c r="BQ74" s="108" t="str">
        <f t="shared" ref="BQ74:BR74" si="212">BQ73</f>
        <v>EXPELC*</v>
      </c>
      <c r="BR74" s="108" t="str">
        <f t="shared" si="212"/>
        <v>ELCHIGG</v>
      </c>
      <c r="BS74" s="161">
        <f t="shared" si="60"/>
        <v>25.101271715310379</v>
      </c>
      <c r="BT74" s="161"/>
      <c r="BU74" s="161"/>
      <c r="BV74" s="161"/>
      <c r="BW74" s="108">
        <f t="shared" si="88"/>
        <v>31</v>
      </c>
    </row>
    <row r="75" spans="1:75" hidden="1" x14ac:dyDescent="0.25">
      <c r="A75" s="108" t="str">
        <f t="shared" si="61"/>
        <v>COST</v>
      </c>
      <c r="B75" s="126">
        <v>2044</v>
      </c>
      <c r="C75" s="108" t="str">
        <f t="shared" si="62"/>
        <v>EXPOILCRD*</v>
      </c>
      <c r="D75" s="108" t="str">
        <f t="shared" si="63"/>
        <v>*OILCRD</v>
      </c>
      <c r="E75" s="161">
        <f>VLOOKUP(C75,Worldprices!$B$49:$AN$92,$BW75,FALSE)</f>
        <v>7.0465183018578967</v>
      </c>
      <c r="F75" s="161"/>
      <c r="G75" s="108" t="str">
        <f t="shared" si="64"/>
        <v>COST</v>
      </c>
      <c r="H75" s="126">
        <v>2044</v>
      </c>
      <c r="I75" s="108" t="str">
        <f t="shared" si="65"/>
        <v>EXPOILDSL*</v>
      </c>
      <c r="J75" s="108" t="str">
        <f t="shared" si="66"/>
        <v>*OILDSL</v>
      </c>
      <c r="K75" s="161">
        <f>VLOOKUP(I75,Worldprices!$B$49:$AN$92,$BW75,FALSE)</f>
        <v>8.9396999988880452</v>
      </c>
      <c r="L75" s="161"/>
      <c r="M75" s="108" t="str">
        <f t="shared" si="67"/>
        <v>COST</v>
      </c>
      <c r="N75" s="126">
        <v>2044</v>
      </c>
      <c r="O75" s="108" t="str">
        <f t="shared" si="68"/>
        <v>EXPOILGSL*</v>
      </c>
      <c r="P75" s="108" t="str">
        <f t="shared" si="69"/>
        <v>*OILGSL</v>
      </c>
      <c r="Q75" s="161">
        <f>VLOOKUP(O75,Worldprices!$B$49:$AN$92,$BW75,FALSE)</f>
        <v>9.9398862178228828</v>
      </c>
      <c r="R75" s="161"/>
      <c r="S75" s="108" t="str">
        <f t="shared" si="70"/>
        <v>COST</v>
      </c>
      <c r="T75" s="126">
        <v>2044</v>
      </c>
      <c r="U75" s="108" t="str">
        <f t="shared" ref="U75:V75" si="213">U74</f>
        <v>EXPOILLPG*</v>
      </c>
      <c r="V75" s="108" t="str">
        <f t="shared" si="213"/>
        <v>*OILLPG</v>
      </c>
      <c r="W75" s="161">
        <f>VLOOKUP(U75,Worldprices!$B$49:$AN$92,$BW75,FALSE)</f>
        <v>7.997798272608712</v>
      </c>
      <c r="X75" s="161"/>
      <c r="Y75" s="108" t="str">
        <f t="shared" si="72"/>
        <v>COST</v>
      </c>
      <c r="Z75" s="126">
        <v>2044</v>
      </c>
      <c r="AA75" s="108" t="str">
        <f t="shared" ref="AA75:AB75" si="214">AA74</f>
        <v>EXPOILHFO*</v>
      </c>
      <c r="AB75" s="108" t="str">
        <f t="shared" si="214"/>
        <v>*OILHFO</v>
      </c>
      <c r="AC75" s="161">
        <f>VLOOKUP(AA75,Worldprices!$B$49:$AN$92,$BW75,FALSE)</f>
        <v>4.9769558766022328</v>
      </c>
      <c r="AD75" s="161"/>
      <c r="AE75" s="108" t="str">
        <f t="shared" si="74"/>
        <v>COST</v>
      </c>
      <c r="AF75" s="126">
        <v>2044</v>
      </c>
      <c r="AG75" s="108" t="str">
        <f t="shared" ref="AG75:AH75" si="215">AG74</f>
        <v>EXPOILKER*</v>
      </c>
      <c r="AH75" s="108" t="str">
        <f t="shared" si="215"/>
        <v>*OILKER</v>
      </c>
      <c r="AI75" s="161">
        <f>VLOOKUP(AG75,Worldprices!$B$49:$AN$92,$BW75,FALSE)</f>
        <v>9.6677673333417644</v>
      </c>
      <c r="AJ75" s="161"/>
      <c r="AK75" s="108" t="str">
        <f t="shared" si="76"/>
        <v>COST</v>
      </c>
      <c r="AL75" s="126">
        <v>2044</v>
      </c>
      <c r="AM75" s="108" t="str">
        <f t="shared" si="167"/>
        <v>EXPOILNG*</v>
      </c>
      <c r="AN75" s="108" t="str">
        <f t="shared" si="167"/>
        <v>*OILNGL</v>
      </c>
      <c r="AO75" s="161">
        <f>VLOOKUP(AM75,Worldprices!$B$49:$AN$92,$BW75,FALSE)</f>
        <v>4.9772094422006266</v>
      </c>
      <c r="AP75" s="161"/>
      <c r="AQ75" s="108" t="str">
        <f t="shared" si="78"/>
        <v>COST</v>
      </c>
      <c r="AR75" s="126">
        <v>2044</v>
      </c>
      <c r="AS75" s="108" t="str">
        <f t="shared" si="168"/>
        <v>EXPOILBIT*</v>
      </c>
      <c r="AT75" s="108" t="str">
        <f t="shared" si="168"/>
        <v>*OILBIT</v>
      </c>
      <c r="AU75" s="161">
        <f>VLOOKUP(AS75,Worldprices!$B$49:$AN$92,$BW75,FALSE)</f>
        <v>4.9772094422006266</v>
      </c>
      <c r="AV75" s="161"/>
      <c r="AW75" s="108" t="str">
        <f t="shared" si="80"/>
        <v>COST</v>
      </c>
      <c r="AX75" s="126">
        <v>2044</v>
      </c>
      <c r="AY75" s="108" t="str">
        <f t="shared" si="169"/>
        <v>EXPOILLUB*</v>
      </c>
      <c r="AZ75" s="108" t="str">
        <f t="shared" si="169"/>
        <v>*OILLUB</v>
      </c>
      <c r="BA75" s="161">
        <f>VLOOKUP(AY75,Worldprices!$B$49:$AN$92,$BW75,FALSE)</f>
        <v>4.9772094422006266</v>
      </c>
      <c r="BB75" s="161"/>
      <c r="BC75" s="108" t="str">
        <f t="shared" si="82"/>
        <v>COST</v>
      </c>
      <c r="BD75" s="126">
        <v>2044</v>
      </c>
      <c r="BE75" s="108" t="str">
        <f t="shared" si="170"/>
        <v>EXPGASNAT_**E01</v>
      </c>
      <c r="BF75" s="108" t="str">
        <f t="shared" si="170"/>
        <v>PITGASNA*</v>
      </c>
      <c r="BG75" s="161">
        <f>VLOOKUP(BE75,Worldprices!$B$49:$AN$92,$BW75,FALSE)</f>
        <v>6.6627684910047869</v>
      </c>
      <c r="BH75" s="161"/>
      <c r="BI75" s="108" t="str">
        <f t="shared" si="84"/>
        <v>COST</v>
      </c>
      <c r="BJ75" s="126">
        <v>2044</v>
      </c>
      <c r="BK75" s="108" t="str">
        <f t="shared" ref="BK75" si="216">BK74</f>
        <v>EXPGASNAT_**E02</v>
      </c>
      <c r="BL75" s="108" t="str">
        <f t="shared" si="59"/>
        <v>PITGASNA*</v>
      </c>
      <c r="BM75" s="161">
        <f>VLOOKUP(BK75,Worldprices!$B$49:$AN$92,$BW75,FALSE)</f>
        <v>7.1729990281993397</v>
      </c>
      <c r="BN75" s="161"/>
      <c r="BO75" s="108" t="str">
        <f t="shared" si="86"/>
        <v>COST</v>
      </c>
      <c r="BP75" s="126">
        <v>2044</v>
      </c>
      <c r="BQ75" s="108" t="str">
        <f t="shared" ref="BQ75:BR75" si="217">BQ74</f>
        <v>EXPELC*</v>
      </c>
      <c r="BR75" s="108" t="str">
        <f t="shared" si="217"/>
        <v>ELCHIGG</v>
      </c>
      <c r="BS75" s="161">
        <f t="shared" si="60"/>
        <v>25.603297149616587</v>
      </c>
      <c r="BT75" s="161"/>
      <c r="BU75" s="161"/>
      <c r="BV75" s="161"/>
      <c r="BW75" s="108">
        <f t="shared" si="88"/>
        <v>32</v>
      </c>
    </row>
    <row r="76" spans="1:75" x14ac:dyDescent="0.25">
      <c r="A76" s="108" t="str">
        <f t="shared" si="61"/>
        <v>COST</v>
      </c>
      <c r="B76" s="126">
        <v>2045</v>
      </c>
      <c r="C76" s="108" t="str">
        <f t="shared" si="62"/>
        <v>EXPOILCRD*</v>
      </c>
      <c r="D76" s="108" t="str">
        <f t="shared" si="63"/>
        <v>*OILCRD</v>
      </c>
      <c r="E76" s="161">
        <f>VLOOKUP(C76,Worldprices!$B$49:$AN$92,$BW76,FALSE)</f>
        <v>6.6941923867650015</v>
      </c>
      <c r="F76" s="161"/>
      <c r="G76" s="108" t="str">
        <f t="shared" si="64"/>
        <v>COST</v>
      </c>
      <c r="H76" s="126">
        <v>2045</v>
      </c>
      <c r="I76" s="108" t="str">
        <f t="shared" si="65"/>
        <v>EXPOILDSL*</v>
      </c>
      <c r="J76" s="108" t="str">
        <f t="shared" si="66"/>
        <v>*OILDSL</v>
      </c>
      <c r="K76" s="161">
        <f>VLOOKUP(I76,Worldprices!$B$49:$AN$92,$BW76,FALSE)</f>
        <v>8.4927149989436419</v>
      </c>
      <c r="L76" s="161"/>
      <c r="M76" s="108" t="str">
        <f t="shared" si="67"/>
        <v>COST</v>
      </c>
      <c r="N76" s="126">
        <v>2045</v>
      </c>
      <c r="O76" s="108" t="str">
        <f t="shared" si="68"/>
        <v>EXPOILGSL*</v>
      </c>
      <c r="P76" s="108" t="str">
        <f t="shared" si="69"/>
        <v>*OILGSL</v>
      </c>
      <c r="Q76" s="161">
        <f>VLOOKUP(O76,Worldprices!$B$49:$AN$92,$BW76,FALSE)</f>
        <v>9.4428919069317399</v>
      </c>
      <c r="R76" s="161"/>
      <c r="S76" s="108" t="str">
        <f t="shared" si="70"/>
        <v>COST</v>
      </c>
      <c r="T76" s="126">
        <v>2045</v>
      </c>
      <c r="U76" s="108" t="str">
        <f t="shared" ref="U76:V76" si="218">U75</f>
        <v>EXPOILLPG*</v>
      </c>
      <c r="V76" s="108" t="str">
        <f t="shared" si="218"/>
        <v>*OILLPG</v>
      </c>
      <c r="W76" s="161">
        <f>VLOOKUP(U76,Worldprices!$B$49:$AN$92,$BW76,FALSE)</f>
        <v>7.5979083589782768</v>
      </c>
      <c r="X76" s="161"/>
      <c r="Y76" s="108" t="str">
        <f t="shared" si="72"/>
        <v>COST</v>
      </c>
      <c r="Z76" s="126">
        <v>2045</v>
      </c>
      <c r="AA76" s="108" t="str">
        <f t="shared" ref="AA76:AB76" si="219">AA75</f>
        <v>EXPOILHFO*</v>
      </c>
      <c r="AB76" s="108" t="str">
        <f t="shared" si="219"/>
        <v>*OILHFO</v>
      </c>
      <c r="AC76" s="161">
        <f>VLOOKUP(AA76,Worldprices!$B$49:$AN$92,$BW76,FALSE)</f>
        <v>4.7281080827721214</v>
      </c>
      <c r="AD76" s="161"/>
      <c r="AE76" s="108" t="str">
        <f t="shared" si="74"/>
        <v>COST</v>
      </c>
      <c r="AF76" s="126">
        <v>2045</v>
      </c>
      <c r="AG76" s="108" t="str">
        <f t="shared" ref="AG76:AH76" si="220">AG75</f>
        <v>EXPOILKER*</v>
      </c>
      <c r="AH76" s="108" t="str">
        <f t="shared" si="220"/>
        <v>*OILKER</v>
      </c>
      <c r="AI76" s="161">
        <f>VLOOKUP(AG76,Worldprices!$B$49:$AN$92,$BW76,FALSE)</f>
        <v>9.1843789666746769</v>
      </c>
      <c r="AJ76" s="161"/>
      <c r="AK76" s="108" t="str">
        <f t="shared" si="76"/>
        <v>COST</v>
      </c>
      <c r="AL76" s="126">
        <v>2045</v>
      </c>
      <c r="AM76" s="108" t="str">
        <f t="shared" si="167"/>
        <v>EXPOILNG*</v>
      </c>
      <c r="AN76" s="108" t="str">
        <f t="shared" si="167"/>
        <v>*OILNGL</v>
      </c>
      <c r="AO76" s="161">
        <f>VLOOKUP(AM76,Worldprices!$B$49:$AN$92,$BW76,FALSE)</f>
        <v>4.728348970090595</v>
      </c>
      <c r="AP76" s="161"/>
      <c r="AQ76" s="108" t="str">
        <f t="shared" si="78"/>
        <v>COST</v>
      </c>
      <c r="AR76" s="126">
        <v>2045</v>
      </c>
      <c r="AS76" s="108" t="str">
        <f t="shared" si="168"/>
        <v>EXPOILBIT*</v>
      </c>
      <c r="AT76" s="108" t="str">
        <f t="shared" si="168"/>
        <v>*OILBIT</v>
      </c>
      <c r="AU76" s="161">
        <f>VLOOKUP(AS76,Worldprices!$B$49:$AN$92,$BW76,FALSE)</f>
        <v>4.728348970090595</v>
      </c>
      <c r="AV76" s="161"/>
      <c r="AW76" s="108" t="str">
        <f t="shared" si="80"/>
        <v>COST</v>
      </c>
      <c r="AX76" s="126">
        <v>2045</v>
      </c>
      <c r="AY76" s="108" t="str">
        <f t="shared" si="169"/>
        <v>EXPOILLUB*</v>
      </c>
      <c r="AZ76" s="108" t="str">
        <f t="shared" si="169"/>
        <v>*OILLUB</v>
      </c>
      <c r="BA76" s="161">
        <f>VLOOKUP(AY76,Worldprices!$B$49:$AN$92,$BW76,FALSE)</f>
        <v>4.728348970090595</v>
      </c>
      <c r="BB76" s="161"/>
      <c r="BC76" s="108" t="str">
        <f t="shared" si="82"/>
        <v>COST</v>
      </c>
      <c r="BD76" s="126">
        <v>2045</v>
      </c>
      <c r="BE76" s="108" t="str">
        <f t="shared" si="170"/>
        <v>EXPGASNAT_**E01</v>
      </c>
      <c r="BF76" s="108" t="str">
        <f t="shared" si="170"/>
        <v>PITGASNA*</v>
      </c>
      <c r="BG76" s="161">
        <f>VLOOKUP(BE76,Worldprices!$B$49:$AN$92,$BW76,FALSE)</f>
        <v>6.4628854362746431</v>
      </c>
      <c r="BH76" s="161"/>
      <c r="BI76" s="108" t="str">
        <f t="shared" si="84"/>
        <v>COST</v>
      </c>
      <c r="BJ76" s="126">
        <v>2045</v>
      </c>
      <c r="BK76" s="108" t="str">
        <f t="shared" ref="BK76" si="221">BK75</f>
        <v>EXPGASNAT_**E02</v>
      </c>
      <c r="BL76" s="108" t="str">
        <f t="shared" si="59"/>
        <v>PITGASNA*</v>
      </c>
      <c r="BM76" s="161">
        <f>MIN(VLOOKUP(BK76,Worldprices!$B$49:$AN$92,$BW76,FALSE),BG34*0.98)</f>
        <v>6.6669765553148954</v>
      </c>
      <c r="BN76" s="161"/>
      <c r="BO76" s="108" t="str">
        <f t="shared" si="86"/>
        <v>COST</v>
      </c>
      <c r="BP76" s="126">
        <v>2045</v>
      </c>
      <c r="BQ76" s="108" t="str">
        <f t="shared" ref="BQ76:BR76" si="222">BQ75</f>
        <v>EXPELC*</v>
      </c>
      <c r="BR76" s="108" t="str">
        <f t="shared" si="222"/>
        <v>ELCHIGG</v>
      </c>
      <c r="BS76" s="161">
        <f t="shared" si="60"/>
        <v>26.11536309260892</v>
      </c>
      <c r="BT76" s="161"/>
      <c r="BU76" s="161"/>
      <c r="BV76" s="161"/>
      <c r="BW76" s="108">
        <f t="shared" si="88"/>
        <v>33</v>
      </c>
    </row>
    <row r="77" spans="1:75" hidden="1" x14ac:dyDescent="0.25">
      <c r="A77" s="108" t="str">
        <f t="shared" si="61"/>
        <v>COST</v>
      </c>
      <c r="B77" s="126">
        <v>2046</v>
      </c>
      <c r="C77" s="108" t="str">
        <f t="shared" si="62"/>
        <v>EXPOILCRD*</v>
      </c>
      <c r="D77" s="108" t="str">
        <f t="shared" si="63"/>
        <v>*OILCRD</v>
      </c>
      <c r="E77" s="161">
        <f>VLOOKUP(C77,Worldprices!$B$49:$AN$92,$BW77,FALSE)</f>
        <v>6.3594827674267513</v>
      </c>
      <c r="F77" s="161"/>
      <c r="G77" s="108" t="str">
        <f t="shared" si="64"/>
        <v>COST</v>
      </c>
      <c r="H77" s="126">
        <v>2046</v>
      </c>
      <c r="I77" s="108" t="str">
        <f t="shared" si="65"/>
        <v>EXPOILDSL*</v>
      </c>
      <c r="J77" s="108" t="str">
        <f t="shared" si="66"/>
        <v>*OILDSL</v>
      </c>
      <c r="K77" s="161">
        <f>VLOOKUP(I77,Worldprices!$B$49:$AN$92,$BW77,FALSE)</f>
        <v>8.0680792489964599</v>
      </c>
      <c r="L77" s="161"/>
      <c r="M77" s="108" t="str">
        <f t="shared" si="67"/>
        <v>COST</v>
      </c>
      <c r="N77" s="126">
        <v>2046</v>
      </c>
      <c r="O77" s="108" t="str">
        <f t="shared" si="68"/>
        <v>EXPOILGSL*</v>
      </c>
      <c r="P77" s="108" t="str">
        <f t="shared" si="69"/>
        <v>*OILGSL</v>
      </c>
      <c r="Q77" s="161">
        <f>VLOOKUP(O77,Worldprices!$B$49:$AN$92,$BW77,FALSE)</f>
        <v>8.9707473115851517</v>
      </c>
      <c r="R77" s="161"/>
      <c r="S77" s="108" t="str">
        <f t="shared" si="70"/>
        <v>COST</v>
      </c>
      <c r="T77" s="126">
        <v>2046</v>
      </c>
      <c r="U77" s="108" t="str">
        <f t="shared" ref="U77:V77" si="223">U76</f>
        <v>EXPOILLPG*</v>
      </c>
      <c r="V77" s="108" t="str">
        <f t="shared" si="223"/>
        <v>*OILLPG</v>
      </c>
      <c r="W77" s="161">
        <f>VLOOKUP(U77,Worldprices!$B$49:$AN$92,$BW77,FALSE)</f>
        <v>7.2180129410293628</v>
      </c>
      <c r="X77" s="161"/>
      <c r="Y77" s="108" t="str">
        <f t="shared" si="72"/>
        <v>COST</v>
      </c>
      <c r="Z77" s="126">
        <v>2046</v>
      </c>
      <c r="AA77" s="108" t="str">
        <f t="shared" ref="AA77:AB77" si="224">AA76</f>
        <v>EXPOILHFO*</v>
      </c>
      <c r="AB77" s="108" t="str">
        <f t="shared" si="224"/>
        <v>*OILHFO</v>
      </c>
      <c r="AC77" s="161">
        <f>VLOOKUP(AA77,Worldprices!$B$49:$AN$92,$BW77,FALSE)</f>
        <v>4.4917026786335139</v>
      </c>
      <c r="AD77" s="161"/>
      <c r="AE77" s="108" t="str">
        <f t="shared" si="74"/>
        <v>COST</v>
      </c>
      <c r="AF77" s="126">
        <v>2046</v>
      </c>
      <c r="AG77" s="108" t="str">
        <f t="shared" ref="AG77:AH77" si="225">AG76</f>
        <v>EXPOILKER*</v>
      </c>
      <c r="AH77" s="108" t="str">
        <f t="shared" si="225"/>
        <v>*OILKER</v>
      </c>
      <c r="AI77" s="161">
        <f>VLOOKUP(AG77,Worldprices!$B$49:$AN$92,$BW77,FALSE)</f>
        <v>8.7251600183409419</v>
      </c>
      <c r="AJ77" s="161"/>
      <c r="AK77" s="108" t="str">
        <f t="shared" si="76"/>
        <v>COST</v>
      </c>
      <c r="AL77" s="126">
        <v>2046</v>
      </c>
      <c r="AM77" s="108" t="str">
        <f t="shared" si="167"/>
        <v>EXPOILNG*</v>
      </c>
      <c r="AN77" s="108" t="str">
        <f t="shared" si="167"/>
        <v>*OILNGL</v>
      </c>
      <c r="AO77" s="161">
        <f>VLOOKUP(AM77,Worldprices!$B$49:$AN$92,$BW77,FALSE)</f>
        <v>4.4919315215860651</v>
      </c>
      <c r="AP77" s="161"/>
      <c r="AQ77" s="108" t="str">
        <f t="shared" si="78"/>
        <v>COST</v>
      </c>
      <c r="AR77" s="126">
        <v>2046</v>
      </c>
      <c r="AS77" s="108" t="str">
        <f t="shared" si="168"/>
        <v>EXPOILBIT*</v>
      </c>
      <c r="AT77" s="108" t="str">
        <f t="shared" si="168"/>
        <v>*OILBIT</v>
      </c>
      <c r="AU77" s="161">
        <f>VLOOKUP(AS77,Worldprices!$B$49:$AN$92,$BW77,FALSE)</f>
        <v>4.4919315215860651</v>
      </c>
      <c r="AV77" s="161"/>
      <c r="AW77" s="108" t="str">
        <f t="shared" si="80"/>
        <v>COST</v>
      </c>
      <c r="AX77" s="126">
        <v>2046</v>
      </c>
      <c r="AY77" s="108" t="str">
        <f t="shared" si="169"/>
        <v>EXPOILLUB*</v>
      </c>
      <c r="AZ77" s="108" t="str">
        <f t="shared" si="169"/>
        <v>*OILLUB</v>
      </c>
      <c r="BA77" s="161">
        <f>VLOOKUP(AY77,Worldprices!$B$49:$AN$92,$BW77,FALSE)</f>
        <v>4.4919315215860651</v>
      </c>
      <c r="BB77" s="161"/>
      <c r="BC77" s="108" t="str">
        <f t="shared" si="82"/>
        <v>COST</v>
      </c>
      <c r="BD77" s="126">
        <v>2046</v>
      </c>
      <c r="BE77" s="108" t="str">
        <f t="shared" si="170"/>
        <v>EXPGASNAT_**E01</v>
      </c>
      <c r="BF77" s="108" t="str">
        <f t="shared" si="170"/>
        <v>PITGASNA*</v>
      </c>
      <c r="BG77" s="161">
        <f>VLOOKUP(BE77,Worldprices!$B$49:$AN$92,$BW77,FALSE)</f>
        <v>6.2689988731864039</v>
      </c>
      <c r="BH77" s="161"/>
      <c r="BI77" s="108" t="str">
        <f t="shared" si="84"/>
        <v>COST</v>
      </c>
      <c r="BJ77" s="126">
        <v>2046</v>
      </c>
      <c r="BK77" s="108" t="str">
        <f t="shared" ref="BK77" si="226">BK76</f>
        <v>EXPGASNAT_**E02</v>
      </c>
      <c r="BL77" s="108" t="str">
        <f t="shared" si="59"/>
        <v>PITGASNA*</v>
      </c>
      <c r="BM77" s="161">
        <f>VLOOKUP(BK77,Worldprices!$B$49:$AN$92,$BW77,FALSE)</f>
        <v>7.2809974948176661</v>
      </c>
      <c r="BN77" s="161"/>
      <c r="BO77" s="108" t="str">
        <f t="shared" si="86"/>
        <v>COST</v>
      </c>
      <c r="BP77" s="126">
        <v>2046</v>
      </c>
      <c r="BQ77" s="108" t="str">
        <f t="shared" ref="BQ77:BR77" si="227">BQ76</f>
        <v>EXPELC*</v>
      </c>
      <c r="BR77" s="108" t="str">
        <f t="shared" si="227"/>
        <v>ELCHIGG</v>
      </c>
      <c r="BS77" s="161">
        <f t="shared" si="60"/>
        <v>26.6376703544611</v>
      </c>
      <c r="BT77" s="161"/>
      <c r="BU77" s="161"/>
      <c r="BV77" s="161"/>
      <c r="BW77" s="108">
        <f t="shared" si="88"/>
        <v>34</v>
      </c>
    </row>
    <row r="78" spans="1:75" hidden="1" x14ac:dyDescent="0.25">
      <c r="A78" s="108" t="str">
        <f t="shared" si="61"/>
        <v>COST</v>
      </c>
      <c r="B78" s="126">
        <v>2047</v>
      </c>
      <c r="C78" s="108" t="str">
        <f t="shared" si="62"/>
        <v>EXPOILCRD*</v>
      </c>
      <c r="D78" s="108" t="str">
        <f t="shared" si="63"/>
        <v>*OILCRD</v>
      </c>
      <c r="E78" s="161">
        <f>VLOOKUP(C78,Worldprices!$B$49:$AN$92,$BW78,FALSE)</f>
        <v>6.0415086290554134</v>
      </c>
      <c r="F78" s="161"/>
      <c r="G78" s="108" t="str">
        <f t="shared" si="64"/>
        <v>COST</v>
      </c>
      <c r="H78" s="126">
        <v>2047</v>
      </c>
      <c r="I78" s="108" t="str">
        <f t="shared" si="65"/>
        <v>EXPOILDSL*</v>
      </c>
      <c r="J78" s="108" t="str">
        <f t="shared" si="66"/>
        <v>*OILDSL</v>
      </c>
      <c r="K78" s="161">
        <f>VLOOKUP(I78,Worldprices!$B$49:$AN$92,$BW78,FALSE)</f>
        <v>7.6646752865466361</v>
      </c>
      <c r="L78" s="161"/>
      <c r="M78" s="108" t="str">
        <f t="shared" si="67"/>
        <v>COST</v>
      </c>
      <c r="N78" s="126">
        <v>2047</v>
      </c>
      <c r="O78" s="108" t="str">
        <f t="shared" si="68"/>
        <v>EXPOILGSL*</v>
      </c>
      <c r="P78" s="108" t="str">
        <f t="shared" si="69"/>
        <v>*OILGSL</v>
      </c>
      <c r="Q78" s="161">
        <f>VLOOKUP(O78,Worldprices!$B$49:$AN$92,$BW78,FALSE)</f>
        <v>8.5222099460058942</v>
      </c>
      <c r="R78" s="161"/>
      <c r="S78" s="108" t="str">
        <f t="shared" si="70"/>
        <v>COST</v>
      </c>
      <c r="T78" s="126">
        <v>2047</v>
      </c>
      <c r="U78" s="108" t="str">
        <f t="shared" ref="U78:V78" si="228">U77</f>
        <v>EXPOILLPG*</v>
      </c>
      <c r="V78" s="108" t="str">
        <f t="shared" si="228"/>
        <v>*OILLPG</v>
      </c>
      <c r="W78" s="161">
        <f>VLOOKUP(U78,Worldprices!$B$49:$AN$92,$BW78,FALSE)</f>
        <v>6.8571122939778943</v>
      </c>
      <c r="X78" s="161"/>
      <c r="Y78" s="108" t="str">
        <f t="shared" si="72"/>
        <v>COST</v>
      </c>
      <c r="Z78" s="126">
        <v>2047</v>
      </c>
      <c r="AA78" s="108" t="str">
        <f t="shared" ref="AA78:AB78" si="229">AA77</f>
        <v>EXPOILHFO*</v>
      </c>
      <c r="AB78" s="108" t="str">
        <f t="shared" si="229"/>
        <v>*OILHFO</v>
      </c>
      <c r="AC78" s="161">
        <f>VLOOKUP(AA78,Worldprices!$B$49:$AN$92,$BW78,FALSE)</f>
        <v>4.267117544701839</v>
      </c>
      <c r="AD78" s="161"/>
      <c r="AE78" s="108" t="str">
        <f t="shared" si="74"/>
        <v>COST</v>
      </c>
      <c r="AF78" s="126">
        <v>2047</v>
      </c>
      <c r="AG78" s="108" t="str">
        <f t="shared" ref="AG78:AH78" si="230">AG77</f>
        <v>EXPOILKER*</v>
      </c>
      <c r="AH78" s="108" t="str">
        <f t="shared" si="230"/>
        <v>*OILKER</v>
      </c>
      <c r="AI78" s="161">
        <f>VLOOKUP(AG78,Worldprices!$B$49:$AN$92,$BW78,FALSE)</f>
        <v>8.2889020174238937</v>
      </c>
      <c r="AJ78" s="161"/>
      <c r="AK78" s="108" t="str">
        <f t="shared" si="76"/>
        <v>COST</v>
      </c>
      <c r="AL78" s="126">
        <v>2047</v>
      </c>
      <c r="AM78" s="108" t="str">
        <f t="shared" si="167"/>
        <v>EXPOILNG*</v>
      </c>
      <c r="AN78" s="108" t="str">
        <f t="shared" si="167"/>
        <v>*OILNGL</v>
      </c>
      <c r="AO78" s="161">
        <f>VLOOKUP(AM78,Worldprices!$B$49:$AN$92,$BW78,FALSE)</f>
        <v>4.2673349455067617</v>
      </c>
      <c r="AP78" s="161"/>
      <c r="AQ78" s="108" t="str">
        <f t="shared" si="78"/>
        <v>COST</v>
      </c>
      <c r="AR78" s="126">
        <v>2047</v>
      </c>
      <c r="AS78" s="108" t="str">
        <f t="shared" si="168"/>
        <v>EXPOILBIT*</v>
      </c>
      <c r="AT78" s="108" t="str">
        <f t="shared" si="168"/>
        <v>*OILBIT</v>
      </c>
      <c r="AU78" s="161">
        <f>VLOOKUP(AS78,Worldprices!$B$49:$AN$92,$BW78,FALSE)</f>
        <v>4.2673349455067617</v>
      </c>
      <c r="AV78" s="161"/>
      <c r="AW78" s="108" t="str">
        <f t="shared" si="80"/>
        <v>COST</v>
      </c>
      <c r="AX78" s="126">
        <v>2047</v>
      </c>
      <c r="AY78" s="108" t="str">
        <f t="shared" si="169"/>
        <v>EXPOILLUB*</v>
      </c>
      <c r="AZ78" s="108" t="str">
        <f t="shared" si="169"/>
        <v>*OILLUB</v>
      </c>
      <c r="BA78" s="161">
        <f>VLOOKUP(AY78,Worldprices!$B$49:$AN$92,$BW78,FALSE)</f>
        <v>4.2673349455067617</v>
      </c>
      <c r="BB78" s="161"/>
      <c r="BC78" s="108" t="str">
        <f t="shared" si="82"/>
        <v>COST</v>
      </c>
      <c r="BD78" s="126">
        <v>2047</v>
      </c>
      <c r="BE78" s="108" t="str">
        <f t="shared" si="170"/>
        <v>EXPGASNAT_**E01</v>
      </c>
      <c r="BF78" s="108" t="str">
        <f t="shared" si="170"/>
        <v>PITGASNA*</v>
      </c>
      <c r="BG78" s="161">
        <f>VLOOKUP(BE78,Worldprices!$B$49:$AN$92,$BW78,FALSE)</f>
        <v>6.0809289069908115</v>
      </c>
      <c r="BH78" s="161"/>
      <c r="BI78" s="108" t="str">
        <f t="shared" si="84"/>
        <v>COST</v>
      </c>
      <c r="BJ78" s="126">
        <v>2047</v>
      </c>
      <c r="BK78" s="108" t="str">
        <f t="shared" ref="BK78" si="231">BK77</f>
        <v>EXPGASNAT_**E02</v>
      </c>
      <c r="BL78" s="108" t="str">
        <f t="shared" si="59"/>
        <v>PITGASNA*</v>
      </c>
      <c r="BM78" s="161">
        <f>VLOOKUP(BK78,Worldprices!$B$49:$AN$92,$BW78,FALSE)</f>
        <v>7.3356049760287991</v>
      </c>
      <c r="BN78" s="161"/>
      <c r="BO78" s="108" t="str">
        <f t="shared" si="86"/>
        <v>COST</v>
      </c>
      <c r="BP78" s="126">
        <v>2047</v>
      </c>
      <c r="BQ78" s="108" t="str">
        <f t="shared" ref="BQ78:BR78" si="232">BQ77</f>
        <v>EXPELC*</v>
      </c>
      <c r="BR78" s="108" t="str">
        <f t="shared" si="232"/>
        <v>ELCHIGG</v>
      </c>
      <c r="BS78" s="161">
        <f t="shared" si="60"/>
        <v>27.170423761550325</v>
      </c>
      <c r="BT78" s="161"/>
      <c r="BU78" s="161"/>
      <c r="BV78" s="161"/>
      <c r="BW78" s="108">
        <f t="shared" si="88"/>
        <v>35</v>
      </c>
    </row>
    <row r="79" spans="1:75" hidden="1" x14ac:dyDescent="0.25">
      <c r="A79" s="108" t="str">
        <f t="shared" si="61"/>
        <v>COST</v>
      </c>
      <c r="B79" s="126">
        <v>2048</v>
      </c>
      <c r="C79" s="108" t="str">
        <f t="shared" si="62"/>
        <v>EXPOILCRD*</v>
      </c>
      <c r="D79" s="108" t="str">
        <f t="shared" si="63"/>
        <v>*OILCRD</v>
      </c>
      <c r="E79" s="161">
        <f>VLOOKUP(C79,Worldprices!$B$49:$AN$92,$BW79,FALSE)</f>
        <v>5.7394331976026427</v>
      </c>
      <c r="F79" s="161"/>
      <c r="G79" s="108" t="str">
        <f t="shared" si="64"/>
        <v>COST</v>
      </c>
      <c r="H79" s="126">
        <v>2048</v>
      </c>
      <c r="I79" s="108" t="str">
        <f t="shared" si="65"/>
        <v>EXPOILDSL*</v>
      </c>
      <c r="J79" s="108" t="str">
        <f t="shared" si="66"/>
        <v>*OILDSL</v>
      </c>
      <c r="K79" s="161">
        <f>VLOOKUP(I79,Worldprices!$B$49:$AN$92,$BW79,FALSE)</f>
        <v>7.2814415222193052</v>
      </c>
      <c r="L79" s="161"/>
      <c r="M79" s="108" t="str">
        <f t="shared" si="67"/>
        <v>COST</v>
      </c>
      <c r="N79" s="126">
        <v>2048</v>
      </c>
      <c r="O79" s="108" t="str">
        <f t="shared" si="68"/>
        <v>EXPOILGSL*</v>
      </c>
      <c r="P79" s="108" t="str">
        <f t="shared" si="69"/>
        <v>*OILGSL</v>
      </c>
      <c r="Q79" s="161">
        <f>VLOOKUP(O79,Worldprices!$B$49:$AN$92,$BW79,FALSE)</f>
        <v>8.0960994487055995</v>
      </c>
      <c r="R79" s="161"/>
      <c r="S79" s="108" t="str">
        <f t="shared" si="70"/>
        <v>COST</v>
      </c>
      <c r="T79" s="126">
        <v>2048</v>
      </c>
      <c r="U79" s="108" t="str">
        <f t="shared" ref="U79:V79" si="233">U78</f>
        <v>EXPOILLPG*</v>
      </c>
      <c r="V79" s="108" t="str">
        <f t="shared" si="233"/>
        <v>*OILLPG</v>
      </c>
      <c r="W79" s="161">
        <f>VLOOKUP(U79,Worldprices!$B$49:$AN$92,$BW79,FALSE)</f>
        <v>6.5142566792789998</v>
      </c>
      <c r="X79" s="161"/>
      <c r="Y79" s="108" t="str">
        <f t="shared" si="72"/>
        <v>COST</v>
      </c>
      <c r="Z79" s="126">
        <v>2048</v>
      </c>
      <c r="AA79" s="108" t="str">
        <f t="shared" ref="AA79:AB79" si="234">AA78</f>
        <v>EXPOILHFO*</v>
      </c>
      <c r="AB79" s="108" t="str">
        <f t="shared" si="234"/>
        <v>*OILHFO</v>
      </c>
      <c r="AC79" s="161">
        <f>VLOOKUP(AA79,Worldprices!$B$49:$AN$92,$BW79,FALSE)</f>
        <v>4.0537616674667465</v>
      </c>
      <c r="AD79" s="161"/>
      <c r="AE79" s="108" t="str">
        <f t="shared" si="74"/>
        <v>COST</v>
      </c>
      <c r="AF79" s="126">
        <v>2048</v>
      </c>
      <c r="AG79" s="108" t="str">
        <f t="shared" ref="AG79:AH79" si="235">AG78</f>
        <v>EXPOILKER*</v>
      </c>
      <c r="AH79" s="108" t="str">
        <f t="shared" si="235"/>
        <v>*OILKER</v>
      </c>
      <c r="AI79" s="161">
        <f>VLOOKUP(AG79,Worldprices!$B$49:$AN$92,$BW79,FALSE)</f>
        <v>7.8744569165526999</v>
      </c>
      <c r="AJ79" s="161"/>
      <c r="AK79" s="108" t="str">
        <f t="shared" si="76"/>
        <v>COST</v>
      </c>
      <c r="AL79" s="126">
        <v>2048</v>
      </c>
      <c r="AM79" s="108" t="str">
        <f t="shared" si="167"/>
        <v>EXPOILNG*</v>
      </c>
      <c r="AN79" s="108" t="str">
        <f t="shared" si="167"/>
        <v>*OILNGL</v>
      </c>
      <c r="AO79" s="161">
        <f>VLOOKUP(AM79,Worldprices!$B$49:$AN$92,$BW79,FALSE)</f>
        <v>4.0539681982314235</v>
      </c>
      <c r="AP79" s="161"/>
      <c r="AQ79" s="108" t="str">
        <f t="shared" si="78"/>
        <v>COST</v>
      </c>
      <c r="AR79" s="126">
        <v>2048</v>
      </c>
      <c r="AS79" s="108" t="str">
        <f t="shared" si="168"/>
        <v>EXPOILBIT*</v>
      </c>
      <c r="AT79" s="108" t="str">
        <f t="shared" si="168"/>
        <v>*OILBIT</v>
      </c>
      <c r="AU79" s="161">
        <f>VLOOKUP(AS79,Worldprices!$B$49:$AN$92,$BW79,FALSE)</f>
        <v>4.0539681982314235</v>
      </c>
      <c r="AV79" s="161"/>
      <c r="AW79" s="108" t="str">
        <f t="shared" si="80"/>
        <v>COST</v>
      </c>
      <c r="AX79" s="126">
        <v>2048</v>
      </c>
      <c r="AY79" s="108" t="str">
        <f t="shared" si="169"/>
        <v>EXPOILLUB*</v>
      </c>
      <c r="AZ79" s="108" t="str">
        <f t="shared" si="169"/>
        <v>*OILLUB</v>
      </c>
      <c r="BA79" s="161">
        <f>VLOOKUP(AY79,Worldprices!$B$49:$AN$92,$BW79,FALSE)</f>
        <v>4.0539681982314235</v>
      </c>
      <c r="BB79" s="161"/>
      <c r="BC79" s="108" t="str">
        <f t="shared" si="82"/>
        <v>COST</v>
      </c>
      <c r="BD79" s="126">
        <v>2048</v>
      </c>
      <c r="BE79" s="108" t="str">
        <f t="shared" si="170"/>
        <v>EXPGASNAT_**E01</v>
      </c>
      <c r="BF79" s="108" t="str">
        <f t="shared" si="170"/>
        <v>PITGASNA*</v>
      </c>
      <c r="BG79" s="161">
        <f>VLOOKUP(BE79,Worldprices!$B$49:$AN$92,$BW79,FALSE)</f>
        <v>5.8985010397810873</v>
      </c>
      <c r="BH79" s="161"/>
      <c r="BI79" s="108" t="str">
        <f t="shared" si="84"/>
        <v>COST</v>
      </c>
      <c r="BJ79" s="126">
        <v>2048</v>
      </c>
      <c r="BK79" s="108" t="str">
        <f t="shared" ref="BK79" si="236">BK78</f>
        <v>EXPGASNAT_**E02</v>
      </c>
      <c r="BL79" s="108" t="str">
        <f t="shared" si="59"/>
        <v>PITGASNA*</v>
      </c>
      <c r="BM79" s="161">
        <f>VLOOKUP(BK79,Worldprices!$B$49:$AN$92,$BW79,FALSE)</f>
        <v>7.3906220133490166</v>
      </c>
      <c r="BN79" s="161"/>
      <c r="BO79" s="108" t="str">
        <f t="shared" si="86"/>
        <v>COST</v>
      </c>
      <c r="BP79" s="126">
        <v>2048</v>
      </c>
      <c r="BQ79" s="108" t="str">
        <f t="shared" ref="BQ79:BR79" si="237">BQ78</f>
        <v>EXPELC*</v>
      </c>
      <c r="BR79" s="108" t="str">
        <f t="shared" si="237"/>
        <v>ELCHIGG</v>
      </c>
      <c r="BS79" s="161">
        <f t="shared" si="60"/>
        <v>27.713832236781332</v>
      </c>
      <c r="BT79" s="161"/>
      <c r="BU79" s="161"/>
      <c r="BV79" s="161"/>
      <c r="BW79" s="108">
        <f t="shared" si="88"/>
        <v>36</v>
      </c>
    </row>
    <row r="80" spans="1:75" hidden="1" x14ac:dyDescent="0.25">
      <c r="A80" s="108" t="str">
        <f t="shared" si="61"/>
        <v>COST</v>
      </c>
      <c r="B80" s="126">
        <v>2049</v>
      </c>
      <c r="C80" s="108" t="str">
        <f t="shared" si="62"/>
        <v>EXPOILCRD*</v>
      </c>
      <c r="D80" s="108" t="str">
        <f t="shared" si="63"/>
        <v>*OILCRD</v>
      </c>
      <c r="E80" s="161">
        <f>VLOOKUP(C80,Worldprices!$B$49:$AN$92,$BW80,FALSE)</f>
        <v>5.4524615377225105</v>
      </c>
      <c r="F80" s="161"/>
      <c r="G80" s="108" t="str">
        <f t="shared" si="64"/>
        <v>COST</v>
      </c>
      <c r="H80" s="126">
        <v>2049</v>
      </c>
      <c r="I80" s="108" t="str">
        <f t="shared" si="65"/>
        <v>EXPOILDSL*</v>
      </c>
      <c r="J80" s="108" t="str">
        <f t="shared" si="66"/>
        <v>*OILDSL</v>
      </c>
      <c r="K80" s="161">
        <f>VLOOKUP(I80,Worldprices!$B$49:$AN$92,$BW80,FALSE)</f>
        <v>6.9173694461083395</v>
      </c>
      <c r="L80" s="161"/>
      <c r="M80" s="108" t="str">
        <f t="shared" si="67"/>
        <v>COST</v>
      </c>
      <c r="N80" s="126">
        <v>2049</v>
      </c>
      <c r="O80" s="108" t="str">
        <f t="shared" si="68"/>
        <v>EXPOILGSL*</v>
      </c>
      <c r="P80" s="108" t="str">
        <f t="shared" si="69"/>
        <v>*OILGSL</v>
      </c>
      <c r="Q80" s="161">
        <f>VLOOKUP(O80,Worldprices!$B$49:$AN$92,$BW80,FALSE)</f>
        <v>7.6912944762703193</v>
      </c>
      <c r="R80" s="161"/>
      <c r="S80" s="108" t="str">
        <f t="shared" si="70"/>
        <v>COST</v>
      </c>
      <c r="T80" s="126">
        <v>2049</v>
      </c>
      <c r="U80" s="108" t="str">
        <f t="shared" ref="U80:V80" si="238">U79</f>
        <v>EXPOILLPG*</v>
      </c>
      <c r="V80" s="108" t="str">
        <f t="shared" si="238"/>
        <v>*OILLPG</v>
      </c>
      <c r="W80" s="161">
        <f>VLOOKUP(U80,Worldprices!$B$49:$AN$92,$BW80,FALSE)</f>
        <v>6.1885438453150492</v>
      </c>
      <c r="X80" s="161"/>
      <c r="Y80" s="108" t="str">
        <f t="shared" si="72"/>
        <v>COST</v>
      </c>
      <c r="Z80" s="126">
        <v>2049</v>
      </c>
      <c r="AA80" s="108" t="str">
        <f t="shared" ref="AA80:AB80" si="239">AA79</f>
        <v>EXPOILHFO*</v>
      </c>
      <c r="AB80" s="108" t="str">
        <f t="shared" si="239"/>
        <v>*OILHFO</v>
      </c>
      <c r="AC80" s="161">
        <f>VLOOKUP(AA80,Worldprices!$B$49:$AN$92,$BW80,FALSE)</f>
        <v>3.8510735840934092</v>
      </c>
      <c r="AD80" s="161"/>
      <c r="AE80" s="108" t="str">
        <f t="shared" si="74"/>
        <v>COST</v>
      </c>
      <c r="AF80" s="126">
        <v>2049</v>
      </c>
      <c r="AG80" s="108" t="str">
        <f t="shared" ref="AG80:AH80" si="240">AG79</f>
        <v>EXPOILKER*</v>
      </c>
      <c r="AH80" s="108" t="str">
        <f t="shared" si="240"/>
        <v>*OILKER</v>
      </c>
      <c r="AI80" s="161">
        <f>VLOOKUP(AG80,Worldprices!$B$49:$AN$92,$BW80,FALSE)</f>
        <v>7.4807340707250649</v>
      </c>
      <c r="AJ80" s="161"/>
      <c r="AK80" s="108" t="str">
        <f t="shared" si="76"/>
        <v>COST</v>
      </c>
      <c r="AL80" s="126">
        <v>2049</v>
      </c>
      <c r="AM80" s="108" t="str">
        <f t="shared" si="167"/>
        <v>EXPOILNG*</v>
      </c>
      <c r="AN80" s="108" t="str">
        <f t="shared" si="167"/>
        <v>*OILNGL</v>
      </c>
      <c r="AO80" s="161">
        <f>VLOOKUP(AM80,Worldprices!$B$49:$AN$92,$BW80,FALSE)</f>
        <v>3.8512697883198523</v>
      </c>
      <c r="AP80" s="161"/>
      <c r="AQ80" s="108" t="str">
        <f t="shared" si="78"/>
        <v>COST</v>
      </c>
      <c r="AR80" s="126">
        <v>2049</v>
      </c>
      <c r="AS80" s="108" t="str">
        <f t="shared" si="168"/>
        <v>EXPOILBIT*</v>
      </c>
      <c r="AT80" s="108" t="str">
        <f t="shared" si="168"/>
        <v>*OILBIT</v>
      </c>
      <c r="AU80" s="161">
        <f>VLOOKUP(AS80,Worldprices!$B$49:$AN$92,$BW80,FALSE)</f>
        <v>3.8512697883198523</v>
      </c>
      <c r="AV80" s="161"/>
      <c r="AW80" s="108" t="str">
        <f t="shared" si="80"/>
        <v>COST</v>
      </c>
      <c r="AX80" s="126">
        <v>2049</v>
      </c>
      <c r="AY80" s="108" t="str">
        <f t="shared" si="169"/>
        <v>EXPOILLUB*</v>
      </c>
      <c r="AZ80" s="108" t="str">
        <f t="shared" si="169"/>
        <v>*OILLUB</v>
      </c>
      <c r="BA80" s="161">
        <f>VLOOKUP(AY80,Worldprices!$B$49:$AN$92,$BW80,FALSE)</f>
        <v>3.8512697883198523</v>
      </c>
      <c r="BB80" s="161"/>
      <c r="BC80" s="108" t="str">
        <f t="shared" si="82"/>
        <v>COST</v>
      </c>
      <c r="BD80" s="126">
        <v>2049</v>
      </c>
      <c r="BE80" s="108" t="str">
        <f t="shared" si="170"/>
        <v>EXPGASNAT_**E01</v>
      </c>
      <c r="BF80" s="108" t="str">
        <f t="shared" si="170"/>
        <v>PITGASNA*</v>
      </c>
      <c r="BG80" s="161">
        <f>VLOOKUP(BE80,Worldprices!$B$49:$AN$92,$BW80,FALSE)</f>
        <v>5.7215460085876542</v>
      </c>
      <c r="BH80" s="161"/>
      <c r="BI80" s="108" t="str">
        <f t="shared" si="84"/>
        <v>COST</v>
      </c>
      <c r="BJ80" s="126">
        <v>2049</v>
      </c>
      <c r="BK80" s="108" t="str">
        <f t="shared" ref="BK80" si="241">BK79</f>
        <v>EXPGASNAT_**E02</v>
      </c>
      <c r="BL80" s="108" t="str">
        <f t="shared" si="59"/>
        <v>PITGASNA*</v>
      </c>
      <c r="BM80" s="161">
        <f>VLOOKUP(BK80,Worldprices!$B$49:$AN$92,$BW80,FALSE)</f>
        <v>7.446051678449134</v>
      </c>
      <c r="BN80" s="161"/>
      <c r="BO80" s="108" t="str">
        <f t="shared" si="86"/>
        <v>COST</v>
      </c>
      <c r="BP80" s="126">
        <v>2049</v>
      </c>
      <c r="BQ80" s="108" t="str">
        <f t="shared" ref="BQ80:BR80" si="242">BQ79</f>
        <v>EXPELC*</v>
      </c>
      <c r="BR80" s="108" t="str">
        <f t="shared" si="242"/>
        <v>ELCHIGG</v>
      </c>
      <c r="BS80" s="161">
        <f t="shared" si="60"/>
        <v>28.268108881516959</v>
      </c>
      <c r="BT80" s="161"/>
      <c r="BU80" s="161"/>
      <c r="BV80" s="161"/>
      <c r="BW80" s="108">
        <f t="shared" si="88"/>
        <v>37</v>
      </c>
    </row>
    <row r="81" spans="1:75" x14ac:dyDescent="0.25">
      <c r="A81" s="108" t="str">
        <f t="shared" si="61"/>
        <v>COST</v>
      </c>
      <c r="B81" s="126">
        <v>2050</v>
      </c>
      <c r="C81" s="108" t="str">
        <f t="shared" si="62"/>
        <v>EXPOILCRD*</v>
      </c>
      <c r="D81" s="108" t="str">
        <f t="shared" si="63"/>
        <v>*OILCRD</v>
      </c>
      <c r="E81" s="161">
        <f>VLOOKUP(C81,Worldprices!$B$49:$AN$92,$BW81,FALSE)</f>
        <v>5.1798384608363843</v>
      </c>
      <c r="F81" s="161"/>
      <c r="G81" s="108" t="str">
        <f t="shared" si="64"/>
        <v>COST</v>
      </c>
      <c r="H81" s="126">
        <v>2050</v>
      </c>
      <c r="I81" s="108" t="str">
        <f t="shared" si="65"/>
        <v>EXPOILDSL*</v>
      </c>
      <c r="J81" s="108" t="str">
        <f t="shared" si="66"/>
        <v>*OILDSL</v>
      </c>
      <c r="K81" s="161">
        <f>VLOOKUP(I81,Worldprices!$B$49:$AN$92,$BW81,FALSE)</f>
        <v>6.5715009738029222</v>
      </c>
      <c r="L81" s="161"/>
      <c r="M81" s="108" t="str">
        <f t="shared" si="67"/>
        <v>COST</v>
      </c>
      <c r="N81" s="126">
        <v>2050</v>
      </c>
      <c r="O81" s="108" t="str">
        <f t="shared" si="68"/>
        <v>EXPOILGSL*</v>
      </c>
      <c r="P81" s="108" t="str">
        <f t="shared" si="69"/>
        <v>*OILGSL</v>
      </c>
      <c r="Q81" s="161">
        <f>VLOOKUP(O81,Worldprices!$B$49:$AN$92,$BW81,FALSE)</f>
        <v>7.3067297524568033</v>
      </c>
      <c r="R81" s="161"/>
      <c r="S81" s="108" t="str">
        <f t="shared" si="70"/>
        <v>COST</v>
      </c>
      <c r="T81" s="126">
        <v>2050</v>
      </c>
      <c r="U81" s="108" t="str">
        <f t="shared" ref="U81:V81" si="243">U80</f>
        <v>EXPOILLPG*</v>
      </c>
      <c r="V81" s="108" t="str">
        <f t="shared" si="243"/>
        <v>*OILLPG</v>
      </c>
      <c r="W81" s="161">
        <f>VLOOKUP(U81,Worldprices!$B$49:$AN$92,$BW81,FALSE)</f>
        <v>5.8791166530492962</v>
      </c>
      <c r="X81" s="161"/>
      <c r="Y81" s="108" t="str">
        <f t="shared" si="72"/>
        <v>COST</v>
      </c>
      <c r="Z81" s="126">
        <v>2050</v>
      </c>
      <c r="AA81" s="108" t="str">
        <f t="shared" ref="AA81:AB81" si="244">AA80</f>
        <v>EXPOILHFO*</v>
      </c>
      <c r="AB81" s="108" t="str">
        <f t="shared" si="244"/>
        <v>*OILHFO</v>
      </c>
      <c r="AC81" s="161">
        <f>VLOOKUP(AA81,Worldprices!$B$49:$AN$92,$BW81,FALSE)</f>
        <v>3.6585199048887391</v>
      </c>
      <c r="AD81" s="161"/>
      <c r="AE81" s="108" t="str">
        <f t="shared" si="74"/>
        <v>COST</v>
      </c>
      <c r="AF81" s="126">
        <v>2050</v>
      </c>
      <c r="AG81" s="108" t="str">
        <f t="shared" ref="AG81:AH81" si="245">AG80</f>
        <v>EXPOILKER*</v>
      </c>
      <c r="AH81" s="108" t="str">
        <f t="shared" si="245"/>
        <v>*OILKER</v>
      </c>
      <c r="AI81" s="161">
        <f>VLOOKUP(AG81,Worldprices!$B$49:$AN$92,$BW81,FALSE)</f>
        <v>7.1066973671888114</v>
      </c>
      <c r="AJ81" s="161"/>
      <c r="AK81" s="108" t="str">
        <f t="shared" si="76"/>
        <v>COST</v>
      </c>
      <c r="AL81" s="126">
        <v>2050</v>
      </c>
      <c r="AM81" s="108" t="str">
        <f t="shared" si="167"/>
        <v>EXPOILNG*</v>
      </c>
      <c r="AN81" s="108" t="str">
        <f t="shared" si="167"/>
        <v>*OILNGL</v>
      </c>
      <c r="AO81" s="161">
        <f>VLOOKUP(AM81,Worldprices!$B$49:$AN$92,$BW81,FALSE)</f>
        <v>3.6587062989038599</v>
      </c>
      <c r="AP81" s="161"/>
      <c r="AQ81" s="108" t="str">
        <f t="shared" si="78"/>
        <v>COST</v>
      </c>
      <c r="AR81" s="126">
        <v>2050</v>
      </c>
      <c r="AS81" s="108" t="str">
        <f t="shared" si="168"/>
        <v>EXPOILBIT*</v>
      </c>
      <c r="AT81" s="108" t="str">
        <f t="shared" si="168"/>
        <v>*OILBIT</v>
      </c>
      <c r="AU81" s="161">
        <f>VLOOKUP(AS81,Worldprices!$B$49:$AN$92,$BW81,FALSE)</f>
        <v>3.6587062989038599</v>
      </c>
      <c r="AV81" s="161"/>
      <c r="AW81" s="108" t="str">
        <f t="shared" si="80"/>
        <v>COST</v>
      </c>
      <c r="AX81" s="126">
        <v>2050</v>
      </c>
      <c r="AY81" s="108" t="str">
        <f t="shared" si="169"/>
        <v>EXPOILLUB*</v>
      </c>
      <c r="AZ81" s="108" t="str">
        <f t="shared" si="169"/>
        <v>*OILLUB</v>
      </c>
      <c r="BA81" s="161">
        <f>VLOOKUP(AY81,Worldprices!$B$49:$AN$92,$BW81,FALSE)</f>
        <v>3.6587062989038599</v>
      </c>
      <c r="BB81" s="161"/>
      <c r="BC81" s="108" t="str">
        <f t="shared" si="82"/>
        <v>COST</v>
      </c>
      <c r="BD81" s="126">
        <v>2050</v>
      </c>
      <c r="BE81" s="108" t="str">
        <f t="shared" si="170"/>
        <v>EXPGASNAT_**E01</v>
      </c>
      <c r="BF81" s="108" t="str">
        <f t="shared" si="170"/>
        <v>PITGASNA*</v>
      </c>
      <c r="BG81" s="161">
        <f>VLOOKUP(BE81,Worldprices!$B$49:$AN$92,$BW81,FALSE)</f>
        <v>5.5498996283300244</v>
      </c>
      <c r="BH81" s="161"/>
      <c r="BI81" s="108" t="str">
        <f t="shared" si="84"/>
        <v>COST</v>
      </c>
      <c r="BJ81" s="126">
        <v>2050</v>
      </c>
      <c r="BK81" s="108" t="str">
        <f t="shared" ref="BK81" si="246">BK80</f>
        <v>EXPGASNAT_**E02</v>
      </c>
      <c r="BL81" s="108" t="str">
        <f t="shared" si="59"/>
        <v>PITGASNA*</v>
      </c>
      <c r="BM81" s="161">
        <f>MIN(VLOOKUP(BK81,Worldprices!$B$49:$AN$92,$BW81,FALSE),BG39*0.99)</f>
        <v>5.7835796126807626</v>
      </c>
      <c r="BN81" s="161"/>
      <c r="BO81" s="108" t="str">
        <f t="shared" si="86"/>
        <v>COST</v>
      </c>
      <c r="BP81" s="126">
        <v>2050</v>
      </c>
      <c r="BQ81" s="108" t="str">
        <f t="shared" ref="BQ81:BR81" si="247">BQ80</f>
        <v>EXPELC*</v>
      </c>
      <c r="BR81" s="108" t="str">
        <f t="shared" si="247"/>
        <v>ELCHIGG</v>
      </c>
      <c r="BS81" s="161">
        <f t="shared" si="60"/>
        <v>28.8334710591473</v>
      </c>
      <c r="BT81" s="161"/>
      <c r="BU81" s="161"/>
      <c r="BV81" s="161"/>
      <c r="BW81" s="108">
        <f t="shared" si="88"/>
        <v>38</v>
      </c>
    </row>
    <row r="82" spans="1:75" x14ac:dyDescent="0.25">
      <c r="C82" s="109"/>
      <c r="D82" s="109"/>
      <c r="E82" s="109"/>
      <c r="S82" s="117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CF83"/>
  <sheetViews>
    <sheetView topLeftCell="L1" zoomScale="70" zoomScaleNormal="70" workbookViewId="0">
      <selection activeCell="L1" sqref="A1:XFD1048576"/>
    </sheetView>
  </sheetViews>
  <sheetFormatPr defaultRowHeight="13.2" x14ac:dyDescent="0.25"/>
  <cols>
    <col min="1" max="1" width="9.109375" style="108"/>
    <col min="2" max="2" width="20.33203125" style="108" customWidth="1"/>
    <col min="3" max="3" width="22.33203125" style="108" customWidth="1"/>
    <col min="4" max="4" width="15.5546875" style="108" customWidth="1"/>
    <col min="5" max="5" width="12.88671875" style="108" customWidth="1"/>
    <col min="6" max="6" width="14" style="108" bestFit="1" customWidth="1"/>
    <col min="7" max="8" width="12.88671875" style="108" customWidth="1"/>
    <col min="9" max="9" width="18.6640625" style="108" customWidth="1"/>
    <col min="10" max="10" width="14.44140625" style="108" bestFit="1" customWidth="1"/>
    <col min="11" max="11" width="12.88671875" style="108" customWidth="1"/>
    <col min="12" max="12" width="11.5546875" style="108" bestFit="1" customWidth="1"/>
    <col min="13" max="14" width="11.5546875" style="108" customWidth="1"/>
    <col min="15" max="15" width="14.33203125" style="108" bestFit="1" customWidth="1"/>
    <col min="16" max="18" width="11.5546875" style="108" customWidth="1"/>
    <col min="19" max="23" width="12.88671875" style="108" customWidth="1"/>
    <col min="24" max="24" width="5.109375" style="108" customWidth="1"/>
    <col min="25" max="29" width="12.88671875" style="108" customWidth="1"/>
    <col min="30" max="30" width="4.5546875" style="108" customWidth="1"/>
    <col min="31" max="32" width="12.88671875" style="108" customWidth="1"/>
    <col min="33" max="33" width="14.44140625" style="108" bestFit="1" customWidth="1"/>
    <col min="34" max="35" width="12.88671875" style="108" customWidth="1"/>
    <col min="36" max="36" width="4.5546875" style="108" customWidth="1"/>
    <col min="37" max="38" width="12.88671875" style="108" customWidth="1"/>
    <col min="39" max="39" width="14.44140625" style="108" bestFit="1" customWidth="1"/>
    <col min="40" max="41" width="12.88671875" style="108" customWidth="1"/>
    <col min="42" max="42" width="6.44140625" style="108" customWidth="1"/>
    <col min="43" max="44" width="12.88671875" style="108" customWidth="1"/>
    <col min="45" max="45" width="14.44140625" style="108" bestFit="1" customWidth="1"/>
    <col min="46" max="47" width="12.88671875" style="108" customWidth="1"/>
    <col min="48" max="48" width="6.44140625" style="108" customWidth="1"/>
    <col min="49" max="50" width="12.88671875" style="108" customWidth="1"/>
    <col min="51" max="51" width="14.44140625" style="108" bestFit="1" customWidth="1"/>
    <col min="52" max="53" width="12.88671875" style="108" customWidth="1"/>
    <col min="54" max="54" width="5" style="108" customWidth="1"/>
    <col min="55" max="56" width="12.88671875" style="108" customWidth="1"/>
    <col min="57" max="57" width="14.44140625" style="108" bestFit="1" customWidth="1"/>
    <col min="58" max="59" width="12.88671875" style="108" customWidth="1"/>
    <col min="60" max="60" width="5.88671875" style="108" customWidth="1"/>
    <col min="61" max="62" width="12.88671875" style="108" customWidth="1"/>
    <col min="63" max="63" width="14.44140625" style="108" bestFit="1" customWidth="1"/>
    <col min="64" max="65" width="12.88671875" style="108" customWidth="1"/>
    <col min="66" max="66" width="6.88671875" style="108" customWidth="1"/>
    <col min="67" max="68" width="12.88671875" style="108" customWidth="1"/>
    <col min="69" max="69" width="14.44140625" style="108" bestFit="1" customWidth="1"/>
    <col min="70" max="71" width="12.88671875" style="108" customWidth="1"/>
    <col min="72" max="72" width="6.88671875" style="108" customWidth="1"/>
    <col min="73" max="73" width="12.33203125" style="108" bestFit="1" customWidth="1"/>
    <col min="74" max="16384" width="8.88671875" style="109"/>
  </cols>
  <sheetData>
    <row r="1" spans="1:74" ht="17.399999999999999" x14ac:dyDescent="0.3">
      <c r="A1" s="111" t="s">
        <v>150</v>
      </c>
      <c r="B1" s="111"/>
      <c r="C1" s="162"/>
      <c r="D1" s="162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</row>
    <row r="2" spans="1:74" x14ac:dyDescent="0.25">
      <c r="A2" s="125"/>
      <c r="B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</row>
    <row r="3" spans="1:74" x14ac:dyDescent="0.25">
      <c r="B3" s="125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08"/>
    </row>
    <row r="4" spans="1:74" x14ac:dyDescent="0.25">
      <c r="A4" s="109" t="s">
        <v>47</v>
      </c>
      <c r="C4" s="125"/>
      <c r="G4" s="109" t="s">
        <v>47</v>
      </c>
      <c r="I4" s="125"/>
      <c r="M4" s="109" t="s">
        <v>47</v>
      </c>
      <c r="O4" s="125"/>
      <c r="S4" s="109" t="s">
        <v>47</v>
      </c>
      <c r="U4" s="125"/>
      <c r="Y4" s="109" t="s">
        <v>47</v>
      </c>
      <c r="AA4" s="125"/>
      <c r="AE4" s="109"/>
      <c r="AG4" s="125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</row>
    <row r="5" spans="1:74" ht="13.8" x14ac:dyDescent="0.25">
      <c r="A5" s="157" t="s">
        <v>40</v>
      </c>
      <c r="B5" s="157" t="s">
        <v>41</v>
      </c>
      <c r="C5" s="158" t="s">
        <v>42</v>
      </c>
      <c r="D5" s="157" t="s">
        <v>43</v>
      </c>
      <c r="E5" s="157" t="s">
        <v>149</v>
      </c>
      <c r="F5" s="159"/>
      <c r="G5" s="157" t="s">
        <v>40</v>
      </c>
      <c r="H5" s="157" t="s">
        <v>41</v>
      </c>
      <c r="I5" s="158" t="s">
        <v>42</v>
      </c>
      <c r="J5" s="157" t="s">
        <v>43</v>
      </c>
      <c r="K5" s="157" t="s">
        <v>149</v>
      </c>
      <c r="L5" s="159"/>
      <c r="M5" s="157" t="s">
        <v>40</v>
      </c>
      <c r="N5" s="157" t="s">
        <v>41</v>
      </c>
      <c r="O5" s="158" t="s">
        <v>42</v>
      </c>
      <c r="P5" s="157" t="s">
        <v>43</v>
      </c>
      <c r="Q5" s="157" t="s">
        <v>149</v>
      </c>
      <c r="R5" s="159"/>
      <c r="S5" s="157" t="s">
        <v>40</v>
      </c>
      <c r="T5" s="157" t="s">
        <v>41</v>
      </c>
      <c r="U5" s="158" t="s">
        <v>42</v>
      </c>
      <c r="V5" s="157" t="s">
        <v>43</v>
      </c>
      <c r="W5" s="157" t="s">
        <v>149</v>
      </c>
      <c r="X5" s="159"/>
      <c r="Y5" s="157" t="s">
        <v>40</v>
      </c>
      <c r="Z5" s="157" t="s">
        <v>41</v>
      </c>
      <c r="AA5" s="158" t="s">
        <v>42</v>
      </c>
      <c r="AB5" s="157" t="s">
        <v>43</v>
      </c>
      <c r="AC5" s="157" t="s">
        <v>149</v>
      </c>
      <c r="AD5" s="159"/>
      <c r="AE5" s="157" t="s">
        <v>40</v>
      </c>
      <c r="AF5" s="157" t="s">
        <v>41</v>
      </c>
      <c r="AG5" s="158" t="s">
        <v>42</v>
      </c>
      <c r="AH5" s="157" t="s">
        <v>43</v>
      </c>
      <c r="AI5" s="157" t="s">
        <v>149</v>
      </c>
      <c r="AJ5" s="159"/>
      <c r="AK5" s="160" t="s">
        <v>151</v>
      </c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</row>
    <row r="6" spans="1:74" x14ac:dyDescent="0.25">
      <c r="A6" s="108" t="s">
        <v>39</v>
      </c>
      <c r="B6" s="126">
        <v>2017</v>
      </c>
      <c r="C6" s="108" t="str">
        <f>Worldprices!B50</f>
        <v>IMPCOABIC0*</v>
      </c>
      <c r="D6" s="108" t="str">
        <f>Worldprices!AO50</f>
        <v>*COABIC</v>
      </c>
      <c r="E6" s="161">
        <f>VLOOKUP(C6,Worldprices!$B$49:$AN$92,INPUTtoVEDA_Coal!AK6,FALSE)</f>
        <v>1.9721846892956114</v>
      </c>
      <c r="F6" s="161"/>
      <c r="G6" s="108" t="s">
        <v>39</v>
      </c>
      <c r="H6" s="126">
        <v>2017</v>
      </c>
      <c r="I6" s="108" t="str">
        <f>Worldprices!B51</f>
        <v>IMPCOASUB0*</v>
      </c>
      <c r="J6" s="108" t="str">
        <f>Worldprices!AO51</f>
        <v>*COASUB</v>
      </c>
      <c r="K6" s="161">
        <f>VLOOKUP(I6,Worldprices!$B$49:$AN$92,INPUTtoVEDA_Coal!AK6,FALSE)</f>
        <v>1.9721846892956114</v>
      </c>
      <c r="L6" s="161"/>
      <c r="M6" s="108" t="s">
        <v>39</v>
      </c>
      <c r="N6" s="126">
        <v>2017</v>
      </c>
      <c r="O6" s="108" t="str">
        <f>Worldprices!B52</f>
        <v>IMPCOABCO0*</v>
      </c>
      <c r="P6" s="108" t="str">
        <f>Worldprices!AO52</f>
        <v>*COABCO</v>
      </c>
      <c r="Q6" s="161">
        <f>VLOOKUP(O6,Worldprices!$B$49:$AN$92,INPUTtoVEDA_Coal!AK6,FALSE)</f>
        <v>1.8735754548308308</v>
      </c>
      <c r="R6" s="161"/>
      <c r="S6" s="108" t="s">
        <v>39</v>
      </c>
      <c r="T6" s="126">
        <v>2017</v>
      </c>
      <c r="U6" s="108" t="str">
        <f>Worldprices!B53</f>
        <v>IMPCOABKB0*</v>
      </c>
      <c r="V6" s="108" t="str">
        <f>Worldprices!AO53</f>
        <v>*COABKB</v>
      </c>
      <c r="W6" s="161">
        <f>VLOOKUP(U6,Worldprices!$B$49:$AN$92,INPUTtoVEDA_Coal!AK6,FALSE)</f>
        <v>1.8735754548308308</v>
      </c>
      <c r="X6" s="161"/>
      <c r="Y6" s="108" t="s">
        <v>39</v>
      </c>
      <c r="Z6" s="126">
        <v>2017</v>
      </c>
      <c r="AA6" s="108" t="str">
        <f>Worldprices!B55</f>
        <v>IMPCOACOC0*</v>
      </c>
      <c r="AB6" s="108" t="str">
        <f>Worldprices!AO55</f>
        <v>*COACOC</v>
      </c>
      <c r="AC6" s="161">
        <f>VLOOKUP(AA6,Worldprices!$B$49:$AN$92,INPUTtoVEDA_Coal!AK6,FALSE)</f>
        <v>2.5046745554054266</v>
      </c>
      <c r="AD6" s="161"/>
      <c r="AE6" s="108" t="s">
        <v>39</v>
      </c>
      <c r="AF6" s="126">
        <v>2017</v>
      </c>
      <c r="AG6" s="108" t="e">
        <f>Worldprices!#REF!</f>
        <v>#REF!</v>
      </c>
      <c r="AH6" s="108" t="e">
        <f>Worldprices!#REF!</f>
        <v>#REF!</v>
      </c>
      <c r="AI6" s="161" t="e">
        <f>VLOOKUP(AG6,Worldprices!$B$49:$AN$92,INPUTtoVEDA_Coal!AK6,FALSE)</f>
        <v>#REF!</v>
      </c>
      <c r="AJ6" s="161"/>
      <c r="AK6" s="108">
        <v>6</v>
      </c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</row>
    <row r="7" spans="1:74" x14ac:dyDescent="0.25">
      <c r="A7" s="108" t="str">
        <f>A6</f>
        <v>COST</v>
      </c>
      <c r="B7" s="126">
        <v>2018</v>
      </c>
      <c r="C7" s="108" t="str">
        <f>C6</f>
        <v>IMPCOABIC0*</v>
      </c>
      <c r="D7" s="108" t="str">
        <f>D6</f>
        <v>*COABIC</v>
      </c>
      <c r="E7" s="161">
        <f>VLOOKUP(C7,Worldprices!$B$49:$AN$92,INPUTtoVEDA_Coal!AK7,FALSE)</f>
        <v>2.2815469934988446</v>
      </c>
      <c r="F7" s="161"/>
      <c r="G7" s="108" t="str">
        <f>G6</f>
        <v>COST</v>
      </c>
      <c r="H7" s="126">
        <v>2018</v>
      </c>
      <c r="I7" s="108" t="str">
        <f>I6</f>
        <v>IMPCOASUB0*</v>
      </c>
      <c r="J7" s="108" t="str">
        <f>J6</f>
        <v>*COASUB</v>
      </c>
      <c r="K7" s="161">
        <f>VLOOKUP(I7,Worldprices!$B$49:$AN$92,INPUTtoVEDA_Coal!AK7,FALSE)</f>
        <v>2.2815469934988446</v>
      </c>
      <c r="L7" s="161"/>
      <c r="M7" s="108" t="str">
        <f>M6</f>
        <v>COST</v>
      </c>
      <c r="N7" s="126">
        <v>2018</v>
      </c>
      <c r="O7" s="108" t="str">
        <f>O6</f>
        <v>IMPCOABCO0*</v>
      </c>
      <c r="P7" s="108" t="str">
        <f>P6</f>
        <v>*COABCO</v>
      </c>
      <c r="Q7" s="161">
        <f>VLOOKUP(O7,Worldprices!$B$49:$AN$92,INPUTtoVEDA_Coal!AK7,FALSE)</f>
        <v>2.1674696438239023</v>
      </c>
      <c r="R7" s="161"/>
      <c r="S7" s="108" t="str">
        <f>S6</f>
        <v>COST</v>
      </c>
      <c r="T7" s="126">
        <v>2018</v>
      </c>
      <c r="U7" s="108" t="str">
        <f>U6</f>
        <v>IMPCOABKB0*</v>
      </c>
      <c r="V7" s="108" t="str">
        <f>V6</f>
        <v>*COABKB</v>
      </c>
      <c r="W7" s="161">
        <f>VLOOKUP(U7,Worldprices!$B$49:$AN$92,INPUTtoVEDA_Coal!AK7,FALSE)</f>
        <v>2.1674696438239023</v>
      </c>
      <c r="X7" s="161"/>
      <c r="Y7" s="108" t="str">
        <f>Y6</f>
        <v>COST</v>
      </c>
      <c r="Z7" s="126">
        <v>2018</v>
      </c>
      <c r="AA7" s="108" t="str">
        <f>AA6</f>
        <v>IMPCOACOC0*</v>
      </c>
      <c r="AB7" s="108" t="str">
        <f>AB6</f>
        <v>*COACOC</v>
      </c>
      <c r="AC7" s="161">
        <f>VLOOKUP(AA7,Worldprices!$B$49:$AN$92,INPUTtoVEDA_Coal!AK7,FALSE)</f>
        <v>2.8975646817435328</v>
      </c>
      <c r="AD7" s="161"/>
      <c r="AE7" s="108" t="str">
        <f>AE6</f>
        <v>COST</v>
      </c>
      <c r="AF7" s="126">
        <v>2018</v>
      </c>
      <c r="AG7" s="108" t="e">
        <f>AG6</f>
        <v>#REF!</v>
      </c>
      <c r="AH7" s="108" t="e">
        <f>AH6</f>
        <v>#REF!</v>
      </c>
      <c r="AI7" s="161" t="e">
        <f>VLOOKUP(AG7,Worldprices!$B$49:$AN$92,INPUTtoVEDA_Coal!AK7,FALSE)</f>
        <v>#REF!</v>
      </c>
      <c r="AJ7" s="161"/>
      <c r="AK7" s="108">
        <f>AK6+1</f>
        <v>7</v>
      </c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</row>
    <row r="8" spans="1:74" hidden="1" x14ac:dyDescent="0.25">
      <c r="A8" s="108" t="str">
        <f t="shared" ref="A8:A39" si="0">A7</f>
        <v>COST</v>
      </c>
      <c r="B8" s="126">
        <v>2019</v>
      </c>
      <c r="C8" s="108" t="str">
        <f t="shared" ref="C8:C39" si="1">C7</f>
        <v>IMPCOABIC0*</v>
      </c>
      <c r="D8" s="108" t="str">
        <f t="shared" ref="D8:D39" si="2">D7</f>
        <v>*COABIC</v>
      </c>
      <c r="E8" s="161">
        <f>VLOOKUP(C8,Worldprices!$B$49:$AN$92,INPUTtoVEDA_Coal!AK8,FALSE)</f>
        <v>1.5210313289992297</v>
      </c>
      <c r="F8" s="161"/>
      <c r="G8" s="108" t="str">
        <f t="shared" ref="G8:G39" si="3">G7</f>
        <v>COST</v>
      </c>
      <c r="H8" s="126">
        <v>2019</v>
      </c>
      <c r="I8" s="108" t="str">
        <f t="shared" ref="I8:I39" si="4">I7</f>
        <v>IMPCOASUB0*</v>
      </c>
      <c r="J8" s="108" t="str">
        <f t="shared" ref="J8:J39" si="5">J7</f>
        <v>*COASUB</v>
      </c>
      <c r="K8" s="161">
        <f>VLOOKUP(I8,Worldprices!$B$49:$AN$92,INPUTtoVEDA_Coal!AK8,FALSE)</f>
        <v>1.5210313289992297</v>
      </c>
      <c r="L8" s="161"/>
      <c r="M8" s="108" t="str">
        <f t="shared" ref="M8:M39" si="6">M7</f>
        <v>COST</v>
      </c>
      <c r="N8" s="126">
        <v>2019</v>
      </c>
      <c r="O8" s="108" t="str">
        <f t="shared" ref="O8:P23" si="7">O7</f>
        <v>IMPCOABCO0*</v>
      </c>
      <c r="P8" s="108" t="str">
        <f t="shared" si="7"/>
        <v>*COABCO</v>
      </c>
      <c r="Q8" s="161">
        <f>VLOOKUP(O8,Worldprices!$B$49:$AN$92,INPUTtoVEDA_Coal!AK8,FALSE)</f>
        <v>1.4449797625492682</v>
      </c>
      <c r="R8" s="161"/>
      <c r="S8" s="108" t="str">
        <f t="shared" ref="S8:S39" si="8">S7</f>
        <v>COST</v>
      </c>
      <c r="T8" s="126">
        <v>2019</v>
      </c>
      <c r="U8" s="108" t="str">
        <f t="shared" ref="U8:U39" si="9">U7</f>
        <v>IMPCOABKB0*</v>
      </c>
      <c r="V8" s="108" t="str">
        <f t="shared" ref="V8:V39" si="10">V7</f>
        <v>*COABKB</v>
      </c>
      <c r="W8" s="161">
        <f>VLOOKUP(U8,Worldprices!$B$49:$AN$92,INPUTtoVEDA_Coal!AK8,FALSE)</f>
        <v>1.4449797625492682</v>
      </c>
      <c r="X8" s="161"/>
      <c r="Y8" s="108" t="str">
        <f t="shared" ref="Y8:Y39" si="11">Y7</f>
        <v>COST</v>
      </c>
      <c r="Z8" s="126">
        <v>2019</v>
      </c>
      <c r="AA8" s="108" t="str">
        <f t="shared" ref="AA8:AA39" si="12">AA7</f>
        <v>IMPCOACOC0*</v>
      </c>
      <c r="AB8" s="108" t="str">
        <f t="shared" ref="AB8:AB39" si="13">AB7</f>
        <v>*COACOC</v>
      </c>
      <c r="AC8" s="161">
        <f>VLOOKUP(AA8,Worldprices!$B$49:$AN$92,INPUTtoVEDA_Coal!AK8,FALSE)</f>
        <v>1.9317097878290217</v>
      </c>
      <c r="AD8" s="161"/>
      <c r="AE8" s="108" t="str">
        <f t="shared" ref="AE8:AE39" si="14">AE7</f>
        <v>COST</v>
      </c>
      <c r="AF8" s="126">
        <v>2019</v>
      </c>
      <c r="AG8" s="108" t="e">
        <f t="shared" ref="AG8:AG39" si="15">AG7</f>
        <v>#REF!</v>
      </c>
      <c r="AH8" s="108" t="e">
        <f t="shared" ref="AH8:AH39" si="16">AH7</f>
        <v>#REF!</v>
      </c>
      <c r="AI8" s="161" t="e">
        <f>VLOOKUP(AG8,Worldprices!$B$49:$AN$92,INPUTtoVEDA_Coal!AK8,FALSE)</f>
        <v>#REF!</v>
      </c>
      <c r="AJ8" s="161"/>
      <c r="AK8" s="108">
        <f t="shared" ref="AK8:AK39" si="17">AK7+1</f>
        <v>8</v>
      </c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</row>
    <row r="9" spans="1:74" x14ac:dyDescent="0.25">
      <c r="A9" s="108" t="str">
        <f t="shared" si="0"/>
        <v>COST</v>
      </c>
      <c r="B9" s="126">
        <v>2020</v>
      </c>
      <c r="C9" s="108" t="str">
        <f t="shared" si="1"/>
        <v>IMPCOABIC0*</v>
      </c>
      <c r="D9" s="108" t="str">
        <f t="shared" si="2"/>
        <v>*COABIC</v>
      </c>
      <c r="E9" s="161">
        <f>VLOOKUP(C9,Worldprices!$B$49:$AN$92,INPUTtoVEDA_Coal!AK9,FALSE)</f>
        <v>1.7760313289992296</v>
      </c>
      <c r="F9" s="161"/>
      <c r="G9" s="108" t="str">
        <f t="shared" si="3"/>
        <v>COST</v>
      </c>
      <c r="H9" s="126">
        <v>2020</v>
      </c>
      <c r="I9" s="108" t="str">
        <f t="shared" si="4"/>
        <v>IMPCOASUB0*</v>
      </c>
      <c r="J9" s="108" t="str">
        <f t="shared" si="5"/>
        <v>*COASUB</v>
      </c>
      <c r="K9" s="161">
        <f>VLOOKUP(I9,Worldprices!$B$49:$AN$92,INPUTtoVEDA_Coal!AK9,FALSE)</f>
        <v>1.7760313289992296</v>
      </c>
      <c r="L9" s="161"/>
      <c r="M9" s="108" t="str">
        <f t="shared" si="6"/>
        <v>COST</v>
      </c>
      <c r="N9" s="126">
        <v>2020</v>
      </c>
      <c r="O9" s="108" t="str">
        <f t="shared" si="7"/>
        <v>IMPCOABCO0*</v>
      </c>
      <c r="P9" s="108" t="str">
        <f t="shared" si="7"/>
        <v>*COABCO</v>
      </c>
      <c r="Q9" s="161">
        <f>VLOOKUP(O9,Worldprices!$B$49:$AN$92,INPUTtoVEDA_Coal!AK9,FALSE)</f>
        <v>1.687229762549268</v>
      </c>
      <c r="R9" s="161"/>
      <c r="S9" s="108" t="str">
        <f t="shared" si="8"/>
        <v>COST</v>
      </c>
      <c r="T9" s="126">
        <v>2020</v>
      </c>
      <c r="U9" s="108" t="str">
        <f t="shared" si="9"/>
        <v>IMPCOABKB0*</v>
      </c>
      <c r="V9" s="108" t="str">
        <f t="shared" si="10"/>
        <v>*COABKB</v>
      </c>
      <c r="W9" s="161">
        <f>VLOOKUP(U9,Worldprices!$B$49:$AN$92,INPUTtoVEDA_Coal!AK9,FALSE)</f>
        <v>1.687229762549268</v>
      </c>
      <c r="X9" s="161"/>
      <c r="Y9" s="108" t="str">
        <f t="shared" si="11"/>
        <v>COST</v>
      </c>
      <c r="Z9" s="126">
        <v>2020</v>
      </c>
      <c r="AA9" s="108" t="str">
        <f t="shared" si="12"/>
        <v>IMPCOACOC0*</v>
      </c>
      <c r="AB9" s="108" t="str">
        <f t="shared" si="13"/>
        <v>*COACOC</v>
      </c>
      <c r="AC9" s="161">
        <f>VLOOKUP(AA9,Worldprices!$B$49:$AN$92,INPUTtoVEDA_Coal!AK9,FALSE)</f>
        <v>2.2555597878290214</v>
      </c>
      <c r="AD9" s="161"/>
      <c r="AE9" s="108" t="str">
        <f t="shared" si="14"/>
        <v>COST</v>
      </c>
      <c r="AF9" s="126">
        <v>2020</v>
      </c>
      <c r="AG9" s="108" t="e">
        <f t="shared" si="15"/>
        <v>#REF!</v>
      </c>
      <c r="AH9" s="108" t="e">
        <f t="shared" si="16"/>
        <v>#REF!</v>
      </c>
      <c r="AI9" s="161" t="e">
        <f>VLOOKUP(AG9,Worldprices!$B$49:$AN$92,INPUTtoVEDA_Coal!AK9,FALSE)</f>
        <v>#REF!</v>
      </c>
      <c r="AJ9" s="161"/>
      <c r="AK9" s="108">
        <f t="shared" si="17"/>
        <v>9</v>
      </c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</row>
    <row r="10" spans="1:74" hidden="1" x14ac:dyDescent="0.25">
      <c r="A10" s="108" t="str">
        <f t="shared" si="0"/>
        <v>COST</v>
      </c>
      <c r="B10" s="126">
        <v>2021</v>
      </c>
      <c r="C10" s="108" t="str">
        <f t="shared" si="1"/>
        <v>IMPCOABIC0*</v>
      </c>
      <c r="D10" s="108" t="str">
        <f t="shared" si="2"/>
        <v>*COABIC</v>
      </c>
      <c r="E10" s="161">
        <f>VLOOKUP(C10,Worldprices!$B$49:$AN$92,INPUTtoVEDA_Coal!AK10,FALSE)</f>
        <v>2.0310313289992292</v>
      </c>
      <c r="F10" s="161"/>
      <c r="G10" s="108" t="str">
        <f t="shared" si="3"/>
        <v>COST</v>
      </c>
      <c r="H10" s="126">
        <v>2021</v>
      </c>
      <c r="I10" s="108" t="str">
        <f t="shared" si="4"/>
        <v>IMPCOASUB0*</v>
      </c>
      <c r="J10" s="108" t="str">
        <f t="shared" si="5"/>
        <v>*COASUB</v>
      </c>
      <c r="K10" s="161">
        <f>VLOOKUP(I10,Worldprices!$B$49:$AN$92,INPUTtoVEDA_Coal!AK10,FALSE)</f>
        <v>2.0310313289992292</v>
      </c>
      <c r="L10" s="161"/>
      <c r="M10" s="108" t="str">
        <f t="shared" si="6"/>
        <v>COST</v>
      </c>
      <c r="N10" s="126">
        <v>2021</v>
      </c>
      <c r="O10" s="108" t="str">
        <f t="shared" si="7"/>
        <v>IMPCOABCO0*</v>
      </c>
      <c r="P10" s="108" t="str">
        <f t="shared" si="7"/>
        <v>*COABCO</v>
      </c>
      <c r="Q10" s="161">
        <f>VLOOKUP(O10,Worldprices!$B$49:$AN$92,INPUTtoVEDA_Coal!AK10,FALSE)</f>
        <v>1.9294797625492677</v>
      </c>
      <c r="R10" s="161"/>
      <c r="S10" s="108" t="str">
        <f t="shared" si="8"/>
        <v>COST</v>
      </c>
      <c r="T10" s="126">
        <v>2021</v>
      </c>
      <c r="U10" s="108" t="str">
        <f t="shared" si="9"/>
        <v>IMPCOABKB0*</v>
      </c>
      <c r="V10" s="108" t="str">
        <f t="shared" si="10"/>
        <v>*COABKB</v>
      </c>
      <c r="W10" s="161">
        <f>VLOOKUP(U10,Worldprices!$B$49:$AN$92,INPUTtoVEDA_Coal!AK10,FALSE)</f>
        <v>1.9294797625492677</v>
      </c>
      <c r="X10" s="161"/>
      <c r="Y10" s="108" t="str">
        <f t="shared" si="11"/>
        <v>COST</v>
      </c>
      <c r="Z10" s="126">
        <v>2021</v>
      </c>
      <c r="AA10" s="108" t="str">
        <f t="shared" si="12"/>
        <v>IMPCOACOC0*</v>
      </c>
      <c r="AB10" s="108" t="str">
        <f t="shared" si="13"/>
        <v>*COACOC</v>
      </c>
      <c r="AC10" s="161">
        <f>VLOOKUP(AA10,Worldprices!$B$49:$AN$92,INPUTtoVEDA_Coal!AK10,FALSE)</f>
        <v>2.5794097878290212</v>
      </c>
      <c r="AD10" s="161"/>
      <c r="AE10" s="108" t="str">
        <f t="shared" si="14"/>
        <v>COST</v>
      </c>
      <c r="AF10" s="126">
        <v>2021</v>
      </c>
      <c r="AG10" s="108" t="e">
        <f t="shared" si="15"/>
        <v>#REF!</v>
      </c>
      <c r="AH10" s="108" t="e">
        <f t="shared" si="16"/>
        <v>#REF!</v>
      </c>
      <c r="AI10" s="161" t="e">
        <f>VLOOKUP(AG10,Worldprices!$B$49:$AN$92,INPUTtoVEDA_Coal!AK10,FALSE)</f>
        <v>#REF!</v>
      </c>
      <c r="AJ10" s="161"/>
      <c r="AK10" s="108">
        <f t="shared" si="17"/>
        <v>10</v>
      </c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</row>
    <row r="11" spans="1:74" hidden="1" x14ac:dyDescent="0.25">
      <c r="A11" s="108" t="str">
        <f t="shared" si="0"/>
        <v>COST</v>
      </c>
      <c r="B11" s="126">
        <v>2022</v>
      </c>
      <c r="C11" s="108" t="str">
        <f t="shared" si="1"/>
        <v>IMPCOABIC0*</v>
      </c>
      <c r="D11" s="108" t="str">
        <f t="shared" si="2"/>
        <v>*COABIC</v>
      </c>
      <c r="E11" s="161">
        <f>VLOOKUP(C11,Worldprices!$B$49:$AN$92,INPUTtoVEDA_Coal!AK11,FALSE)</f>
        <v>2.2860313289992291</v>
      </c>
      <c r="F11" s="161"/>
      <c r="G11" s="108" t="str">
        <f t="shared" si="3"/>
        <v>COST</v>
      </c>
      <c r="H11" s="126">
        <v>2022</v>
      </c>
      <c r="I11" s="108" t="str">
        <f t="shared" si="4"/>
        <v>IMPCOASUB0*</v>
      </c>
      <c r="J11" s="108" t="str">
        <f t="shared" si="5"/>
        <v>*COASUB</v>
      </c>
      <c r="K11" s="161">
        <f>VLOOKUP(I11,Worldprices!$B$49:$AN$92,INPUTtoVEDA_Coal!AK11,FALSE)</f>
        <v>2.2860313289992291</v>
      </c>
      <c r="L11" s="161"/>
      <c r="M11" s="108" t="str">
        <f t="shared" si="6"/>
        <v>COST</v>
      </c>
      <c r="N11" s="126">
        <v>2022</v>
      </c>
      <c r="O11" s="108" t="str">
        <f t="shared" si="7"/>
        <v>IMPCOABCO0*</v>
      </c>
      <c r="P11" s="108" t="str">
        <f t="shared" si="7"/>
        <v>*COABCO</v>
      </c>
      <c r="Q11" s="161">
        <f>VLOOKUP(O11,Worldprices!$B$49:$AN$92,INPUTtoVEDA_Coal!AK11,FALSE)</f>
        <v>2.1717297625492678</v>
      </c>
      <c r="R11" s="161"/>
      <c r="S11" s="108" t="str">
        <f t="shared" si="8"/>
        <v>COST</v>
      </c>
      <c r="T11" s="126">
        <v>2022</v>
      </c>
      <c r="U11" s="108" t="str">
        <f t="shared" si="9"/>
        <v>IMPCOABKB0*</v>
      </c>
      <c r="V11" s="108" t="str">
        <f t="shared" si="10"/>
        <v>*COABKB</v>
      </c>
      <c r="W11" s="161">
        <f>VLOOKUP(U11,Worldprices!$B$49:$AN$92,INPUTtoVEDA_Coal!AK11,FALSE)</f>
        <v>2.1717297625492678</v>
      </c>
      <c r="X11" s="161"/>
      <c r="Y11" s="108" t="str">
        <f t="shared" si="11"/>
        <v>COST</v>
      </c>
      <c r="Z11" s="126">
        <v>2022</v>
      </c>
      <c r="AA11" s="108" t="str">
        <f t="shared" si="12"/>
        <v>IMPCOACOC0*</v>
      </c>
      <c r="AB11" s="108" t="str">
        <f t="shared" si="13"/>
        <v>*COACOC</v>
      </c>
      <c r="AC11" s="161">
        <f>VLOOKUP(AA11,Worldprices!$B$49:$AN$92,INPUTtoVEDA_Coal!AK11,FALSE)</f>
        <v>2.9032597878290209</v>
      </c>
      <c r="AD11" s="161"/>
      <c r="AE11" s="108" t="str">
        <f t="shared" si="14"/>
        <v>COST</v>
      </c>
      <c r="AF11" s="126">
        <v>2022</v>
      </c>
      <c r="AG11" s="108" t="e">
        <f t="shared" si="15"/>
        <v>#REF!</v>
      </c>
      <c r="AH11" s="108" t="e">
        <f t="shared" si="16"/>
        <v>#REF!</v>
      </c>
      <c r="AI11" s="161" t="e">
        <f>VLOOKUP(AG11,Worldprices!$B$49:$AN$92,INPUTtoVEDA_Coal!AK11,FALSE)</f>
        <v>#REF!</v>
      </c>
      <c r="AJ11" s="161"/>
      <c r="AK11" s="108">
        <f t="shared" si="17"/>
        <v>11</v>
      </c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</row>
    <row r="12" spans="1:74" hidden="1" x14ac:dyDescent="0.25">
      <c r="A12" s="108" t="str">
        <f t="shared" si="0"/>
        <v>COST</v>
      </c>
      <c r="B12" s="126">
        <v>2023</v>
      </c>
      <c r="C12" s="108" t="str">
        <f t="shared" si="1"/>
        <v>IMPCOABIC0*</v>
      </c>
      <c r="D12" s="108" t="str">
        <f t="shared" si="2"/>
        <v>*COABIC</v>
      </c>
      <c r="E12" s="161">
        <f>VLOOKUP(C12,Worldprices!$B$49:$AN$92,INPUTtoVEDA_Coal!AK12,FALSE)</f>
        <v>2.541031328999229</v>
      </c>
      <c r="F12" s="161"/>
      <c r="G12" s="108" t="str">
        <f t="shared" si="3"/>
        <v>COST</v>
      </c>
      <c r="H12" s="126">
        <v>2023</v>
      </c>
      <c r="I12" s="108" t="str">
        <f t="shared" si="4"/>
        <v>IMPCOASUB0*</v>
      </c>
      <c r="J12" s="108" t="str">
        <f t="shared" si="5"/>
        <v>*COASUB</v>
      </c>
      <c r="K12" s="161">
        <f>VLOOKUP(I12,Worldprices!$B$49:$AN$92,INPUTtoVEDA_Coal!AK12,FALSE)</f>
        <v>2.541031328999229</v>
      </c>
      <c r="L12" s="161"/>
      <c r="M12" s="108" t="str">
        <f t="shared" si="6"/>
        <v>COST</v>
      </c>
      <c r="N12" s="126">
        <v>2023</v>
      </c>
      <c r="O12" s="108" t="str">
        <f t="shared" si="7"/>
        <v>IMPCOABCO0*</v>
      </c>
      <c r="P12" s="108" t="str">
        <f t="shared" si="7"/>
        <v>*COABCO</v>
      </c>
      <c r="Q12" s="161">
        <f>VLOOKUP(O12,Worldprices!$B$49:$AN$92,INPUTtoVEDA_Coal!AK12,FALSE)</f>
        <v>2.4139797625492676</v>
      </c>
      <c r="R12" s="161"/>
      <c r="S12" s="108" t="str">
        <f t="shared" si="8"/>
        <v>COST</v>
      </c>
      <c r="T12" s="126">
        <v>2023</v>
      </c>
      <c r="U12" s="108" t="str">
        <f t="shared" si="9"/>
        <v>IMPCOABKB0*</v>
      </c>
      <c r="V12" s="108" t="str">
        <f t="shared" si="10"/>
        <v>*COABKB</v>
      </c>
      <c r="W12" s="161">
        <f>VLOOKUP(U12,Worldprices!$B$49:$AN$92,INPUTtoVEDA_Coal!AK12,FALSE)</f>
        <v>2.4139797625492676</v>
      </c>
      <c r="X12" s="161"/>
      <c r="Y12" s="108" t="str">
        <f t="shared" si="11"/>
        <v>COST</v>
      </c>
      <c r="Z12" s="126">
        <v>2023</v>
      </c>
      <c r="AA12" s="108" t="str">
        <f t="shared" si="12"/>
        <v>IMPCOACOC0*</v>
      </c>
      <c r="AB12" s="108" t="str">
        <f t="shared" si="13"/>
        <v>*COACOC</v>
      </c>
      <c r="AC12" s="161">
        <f>VLOOKUP(AA12,Worldprices!$B$49:$AN$92,INPUTtoVEDA_Coal!AK12,FALSE)</f>
        <v>3.2271097878290207</v>
      </c>
      <c r="AD12" s="161"/>
      <c r="AE12" s="108" t="str">
        <f t="shared" si="14"/>
        <v>COST</v>
      </c>
      <c r="AF12" s="126">
        <v>2023</v>
      </c>
      <c r="AG12" s="108" t="e">
        <f t="shared" si="15"/>
        <v>#REF!</v>
      </c>
      <c r="AH12" s="108" t="e">
        <f t="shared" si="16"/>
        <v>#REF!</v>
      </c>
      <c r="AI12" s="161" t="e">
        <f>VLOOKUP(AG12,Worldprices!$B$49:$AN$92,INPUTtoVEDA_Coal!AK12,FALSE)</f>
        <v>#REF!</v>
      </c>
      <c r="AJ12" s="161"/>
      <c r="AK12" s="108">
        <f t="shared" si="17"/>
        <v>12</v>
      </c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</row>
    <row r="13" spans="1:74" hidden="1" x14ac:dyDescent="0.25">
      <c r="A13" s="108" t="str">
        <f t="shared" si="0"/>
        <v>COST</v>
      </c>
      <c r="B13" s="126">
        <v>2024</v>
      </c>
      <c r="C13" s="108" t="str">
        <f t="shared" si="1"/>
        <v>IMPCOABIC0*</v>
      </c>
      <c r="D13" s="108" t="str">
        <f t="shared" si="2"/>
        <v>*COABIC</v>
      </c>
      <c r="E13" s="161">
        <f>VLOOKUP(C13,Worldprices!$B$49:$AN$92,INPUTtoVEDA_Coal!AK13,FALSE)</f>
        <v>2.7960313289992289</v>
      </c>
      <c r="F13" s="161"/>
      <c r="G13" s="108" t="str">
        <f t="shared" si="3"/>
        <v>COST</v>
      </c>
      <c r="H13" s="126">
        <v>2024</v>
      </c>
      <c r="I13" s="108" t="str">
        <f t="shared" si="4"/>
        <v>IMPCOASUB0*</v>
      </c>
      <c r="J13" s="108" t="str">
        <f t="shared" si="5"/>
        <v>*COASUB</v>
      </c>
      <c r="K13" s="161">
        <f>VLOOKUP(I13,Worldprices!$B$49:$AN$92,INPUTtoVEDA_Coal!AK13,FALSE)</f>
        <v>2.7960313289992289</v>
      </c>
      <c r="L13" s="161"/>
      <c r="M13" s="108" t="str">
        <f t="shared" si="6"/>
        <v>COST</v>
      </c>
      <c r="N13" s="126">
        <v>2024</v>
      </c>
      <c r="O13" s="108" t="str">
        <f t="shared" si="7"/>
        <v>IMPCOABCO0*</v>
      </c>
      <c r="P13" s="108" t="str">
        <f t="shared" si="7"/>
        <v>*COABCO</v>
      </c>
      <c r="Q13" s="161">
        <f>VLOOKUP(O13,Worldprices!$B$49:$AN$92,INPUTtoVEDA_Coal!AK13,FALSE)</f>
        <v>2.6562297625492675</v>
      </c>
      <c r="R13" s="161"/>
      <c r="S13" s="108" t="str">
        <f t="shared" si="8"/>
        <v>COST</v>
      </c>
      <c r="T13" s="126">
        <v>2024</v>
      </c>
      <c r="U13" s="108" t="str">
        <f t="shared" si="9"/>
        <v>IMPCOABKB0*</v>
      </c>
      <c r="V13" s="108" t="str">
        <f t="shared" si="10"/>
        <v>*COABKB</v>
      </c>
      <c r="W13" s="161">
        <f>VLOOKUP(U13,Worldprices!$B$49:$AN$92,INPUTtoVEDA_Coal!AK13,FALSE)</f>
        <v>2.6562297625492675</v>
      </c>
      <c r="X13" s="161"/>
      <c r="Y13" s="108" t="str">
        <f t="shared" si="11"/>
        <v>COST</v>
      </c>
      <c r="Z13" s="126">
        <v>2024</v>
      </c>
      <c r="AA13" s="108" t="str">
        <f t="shared" si="12"/>
        <v>IMPCOACOC0*</v>
      </c>
      <c r="AB13" s="108" t="str">
        <f t="shared" si="13"/>
        <v>*COACOC</v>
      </c>
      <c r="AC13" s="161">
        <f>VLOOKUP(AA13,Worldprices!$B$49:$AN$92,INPUTtoVEDA_Coal!AK13,FALSE)</f>
        <v>3.5509597878290209</v>
      </c>
      <c r="AD13" s="161"/>
      <c r="AE13" s="108" t="str">
        <f t="shared" si="14"/>
        <v>COST</v>
      </c>
      <c r="AF13" s="126">
        <v>2024</v>
      </c>
      <c r="AG13" s="108" t="e">
        <f t="shared" si="15"/>
        <v>#REF!</v>
      </c>
      <c r="AH13" s="108" t="e">
        <f t="shared" si="16"/>
        <v>#REF!</v>
      </c>
      <c r="AI13" s="161" t="e">
        <f>VLOOKUP(AG13,Worldprices!$B$49:$AN$92,INPUTtoVEDA_Coal!AK13,FALSE)</f>
        <v>#REF!</v>
      </c>
      <c r="AJ13" s="161"/>
      <c r="AK13" s="108">
        <f t="shared" si="17"/>
        <v>13</v>
      </c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</row>
    <row r="14" spans="1:74" x14ac:dyDescent="0.25">
      <c r="A14" s="108" t="str">
        <f t="shared" si="0"/>
        <v>COST</v>
      </c>
      <c r="B14" s="126">
        <v>2025</v>
      </c>
      <c r="C14" s="108" t="str">
        <f t="shared" si="1"/>
        <v>IMPCOABIC0*</v>
      </c>
      <c r="D14" s="108" t="str">
        <f t="shared" si="2"/>
        <v>*COABIC</v>
      </c>
      <c r="E14" s="161">
        <f>VLOOKUP(C14,Worldprices!$B$49:$AN$92,INPUTtoVEDA_Coal!AK14,FALSE)</f>
        <v>2.04</v>
      </c>
      <c r="F14" s="161"/>
      <c r="G14" s="108" t="str">
        <f t="shared" si="3"/>
        <v>COST</v>
      </c>
      <c r="H14" s="126">
        <v>2025</v>
      </c>
      <c r="I14" s="108" t="str">
        <f t="shared" si="4"/>
        <v>IMPCOASUB0*</v>
      </c>
      <c r="J14" s="108" t="str">
        <f t="shared" si="5"/>
        <v>*COASUB</v>
      </c>
      <c r="K14" s="161">
        <f>VLOOKUP(I14,Worldprices!$B$49:$AN$92,INPUTtoVEDA_Coal!AK14,FALSE)</f>
        <v>2.04</v>
      </c>
      <c r="L14" s="161"/>
      <c r="M14" s="108" t="str">
        <f t="shared" si="6"/>
        <v>COST</v>
      </c>
      <c r="N14" s="126">
        <v>2025</v>
      </c>
      <c r="O14" s="108" t="str">
        <f t="shared" si="7"/>
        <v>IMPCOABCO0*</v>
      </c>
      <c r="P14" s="108" t="str">
        <f t="shared" si="7"/>
        <v>*COABCO</v>
      </c>
      <c r="Q14" s="161">
        <f>VLOOKUP(O14,Worldprices!$B$49:$AN$92,INPUTtoVEDA_Coal!AK14,FALSE)</f>
        <v>1.9379999999999999</v>
      </c>
      <c r="R14" s="161"/>
      <c r="S14" s="108" t="str">
        <f t="shared" si="8"/>
        <v>COST</v>
      </c>
      <c r="T14" s="126">
        <v>2025</v>
      </c>
      <c r="U14" s="108" t="str">
        <f t="shared" si="9"/>
        <v>IMPCOABKB0*</v>
      </c>
      <c r="V14" s="108" t="str">
        <f t="shared" si="10"/>
        <v>*COABKB</v>
      </c>
      <c r="W14" s="161">
        <f>VLOOKUP(U14,Worldprices!$B$49:$AN$92,INPUTtoVEDA_Coal!AK14,FALSE)</f>
        <v>1.9379999999999999</v>
      </c>
      <c r="X14" s="161"/>
      <c r="Y14" s="108" t="str">
        <f t="shared" si="11"/>
        <v>COST</v>
      </c>
      <c r="Z14" s="126">
        <v>2025</v>
      </c>
      <c r="AA14" s="108" t="str">
        <f t="shared" si="12"/>
        <v>IMPCOACOC0*</v>
      </c>
      <c r="AB14" s="108" t="str">
        <f t="shared" si="13"/>
        <v>*COACOC</v>
      </c>
      <c r="AC14" s="161">
        <f>VLOOKUP(AA14,Worldprices!$B$49:$AN$92,INPUTtoVEDA_Coal!AK14,FALSE)</f>
        <v>2.5908000000000002</v>
      </c>
      <c r="AD14" s="161"/>
      <c r="AE14" s="108" t="str">
        <f t="shared" si="14"/>
        <v>COST</v>
      </c>
      <c r="AF14" s="126">
        <v>2025</v>
      </c>
      <c r="AG14" s="108" t="e">
        <f t="shared" si="15"/>
        <v>#REF!</v>
      </c>
      <c r="AH14" s="108" t="e">
        <f t="shared" si="16"/>
        <v>#REF!</v>
      </c>
      <c r="AI14" s="161" t="e">
        <f>VLOOKUP(AG14,Worldprices!$B$49:$AN$92,INPUTtoVEDA_Coal!AK14,FALSE)</f>
        <v>#REF!</v>
      </c>
      <c r="AJ14" s="161"/>
      <c r="AK14" s="108">
        <f t="shared" si="17"/>
        <v>14</v>
      </c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</row>
    <row r="15" spans="1:74" hidden="1" x14ac:dyDescent="0.25">
      <c r="A15" s="108" t="str">
        <f t="shared" si="0"/>
        <v>COST</v>
      </c>
      <c r="B15" s="126">
        <v>2026</v>
      </c>
      <c r="C15" s="108" t="str">
        <f t="shared" si="1"/>
        <v>IMPCOABIC0*</v>
      </c>
      <c r="D15" s="108" t="str">
        <f t="shared" si="2"/>
        <v>*COABIC</v>
      </c>
      <c r="E15" s="161">
        <f>VLOOKUP(C15,Worldprices!$B$49:$AN$92,INPUTtoVEDA_Coal!AK15,FALSE)</f>
        <v>2.125</v>
      </c>
      <c r="F15" s="161"/>
      <c r="G15" s="108" t="str">
        <f t="shared" si="3"/>
        <v>COST</v>
      </c>
      <c r="H15" s="126">
        <v>2026</v>
      </c>
      <c r="I15" s="108" t="str">
        <f t="shared" si="4"/>
        <v>IMPCOASUB0*</v>
      </c>
      <c r="J15" s="108" t="str">
        <f t="shared" si="5"/>
        <v>*COASUB</v>
      </c>
      <c r="K15" s="161">
        <f>VLOOKUP(I15,Worldprices!$B$49:$AN$92,INPUTtoVEDA_Coal!AK15,FALSE)</f>
        <v>2.125</v>
      </c>
      <c r="L15" s="161"/>
      <c r="M15" s="108" t="str">
        <f t="shared" si="6"/>
        <v>COST</v>
      </c>
      <c r="N15" s="126">
        <v>2026</v>
      </c>
      <c r="O15" s="108" t="str">
        <f t="shared" si="7"/>
        <v>IMPCOABCO0*</v>
      </c>
      <c r="P15" s="108" t="str">
        <f t="shared" si="7"/>
        <v>*COABCO</v>
      </c>
      <c r="Q15" s="161">
        <f>VLOOKUP(O15,Worldprices!$B$49:$AN$92,INPUTtoVEDA_Coal!AK15,FALSE)</f>
        <v>2.0187499999999998</v>
      </c>
      <c r="R15" s="161"/>
      <c r="S15" s="108" t="str">
        <f t="shared" si="8"/>
        <v>COST</v>
      </c>
      <c r="T15" s="126">
        <v>2026</v>
      </c>
      <c r="U15" s="108" t="str">
        <f t="shared" si="9"/>
        <v>IMPCOABKB0*</v>
      </c>
      <c r="V15" s="108" t="str">
        <f t="shared" si="10"/>
        <v>*COABKB</v>
      </c>
      <c r="W15" s="161">
        <f>VLOOKUP(U15,Worldprices!$B$49:$AN$92,INPUTtoVEDA_Coal!AK15,FALSE)</f>
        <v>2.0187499999999998</v>
      </c>
      <c r="X15" s="161"/>
      <c r="Y15" s="108" t="str">
        <f t="shared" si="11"/>
        <v>COST</v>
      </c>
      <c r="Z15" s="126">
        <v>2026</v>
      </c>
      <c r="AA15" s="108" t="str">
        <f t="shared" si="12"/>
        <v>IMPCOACOC0*</v>
      </c>
      <c r="AB15" s="108" t="str">
        <f t="shared" si="13"/>
        <v>*COACOC</v>
      </c>
      <c r="AC15" s="161">
        <f>VLOOKUP(AA15,Worldprices!$B$49:$AN$92,INPUTtoVEDA_Coal!AK15,FALSE)</f>
        <v>2.69875</v>
      </c>
      <c r="AD15" s="161"/>
      <c r="AE15" s="108" t="str">
        <f t="shared" si="14"/>
        <v>COST</v>
      </c>
      <c r="AF15" s="126">
        <v>2026</v>
      </c>
      <c r="AG15" s="108" t="e">
        <f t="shared" si="15"/>
        <v>#REF!</v>
      </c>
      <c r="AH15" s="108" t="e">
        <f t="shared" si="16"/>
        <v>#REF!</v>
      </c>
      <c r="AI15" s="161" t="e">
        <f>VLOOKUP(AG15,Worldprices!$B$49:$AN$92,INPUTtoVEDA_Coal!AK15,FALSE)</f>
        <v>#REF!</v>
      </c>
      <c r="AJ15" s="161"/>
      <c r="AK15" s="108">
        <f t="shared" si="17"/>
        <v>15</v>
      </c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</row>
    <row r="16" spans="1:74" hidden="1" x14ac:dyDescent="0.25">
      <c r="A16" s="108" t="str">
        <f t="shared" si="0"/>
        <v>COST</v>
      </c>
      <c r="B16" s="126">
        <v>2027</v>
      </c>
      <c r="C16" s="108" t="str">
        <f t="shared" si="1"/>
        <v>IMPCOABIC0*</v>
      </c>
      <c r="D16" s="108" t="str">
        <f t="shared" si="2"/>
        <v>*COABIC</v>
      </c>
      <c r="E16" s="161">
        <f>VLOOKUP(C16,Worldprices!$B$49:$AN$92,INPUTtoVEDA_Coal!AK16,FALSE)</f>
        <v>2.21</v>
      </c>
      <c r="F16" s="161"/>
      <c r="G16" s="108" t="str">
        <f t="shared" si="3"/>
        <v>COST</v>
      </c>
      <c r="H16" s="126">
        <v>2027</v>
      </c>
      <c r="I16" s="108" t="str">
        <f t="shared" si="4"/>
        <v>IMPCOASUB0*</v>
      </c>
      <c r="J16" s="108" t="str">
        <f t="shared" si="5"/>
        <v>*COASUB</v>
      </c>
      <c r="K16" s="161">
        <f>VLOOKUP(I16,Worldprices!$B$49:$AN$92,INPUTtoVEDA_Coal!AK16,FALSE)</f>
        <v>2.21</v>
      </c>
      <c r="L16" s="161"/>
      <c r="M16" s="108" t="str">
        <f t="shared" si="6"/>
        <v>COST</v>
      </c>
      <c r="N16" s="126">
        <v>2027</v>
      </c>
      <c r="O16" s="108" t="str">
        <f t="shared" si="7"/>
        <v>IMPCOABCO0*</v>
      </c>
      <c r="P16" s="108" t="str">
        <f t="shared" si="7"/>
        <v>*COABCO</v>
      </c>
      <c r="Q16" s="161">
        <f>VLOOKUP(O16,Worldprices!$B$49:$AN$92,INPUTtoVEDA_Coal!AK16,FALSE)</f>
        <v>2.0994999999999999</v>
      </c>
      <c r="R16" s="161"/>
      <c r="S16" s="108" t="str">
        <f t="shared" si="8"/>
        <v>COST</v>
      </c>
      <c r="T16" s="126">
        <v>2027</v>
      </c>
      <c r="U16" s="108" t="str">
        <f t="shared" si="9"/>
        <v>IMPCOABKB0*</v>
      </c>
      <c r="V16" s="108" t="str">
        <f t="shared" si="10"/>
        <v>*COABKB</v>
      </c>
      <c r="W16" s="161">
        <f>VLOOKUP(U16,Worldprices!$B$49:$AN$92,INPUTtoVEDA_Coal!AK16,FALSE)</f>
        <v>2.0994999999999999</v>
      </c>
      <c r="X16" s="161"/>
      <c r="Y16" s="108" t="str">
        <f t="shared" si="11"/>
        <v>COST</v>
      </c>
      <c r="Z16" s="126">
        <v>2027</v>
      </c>
      <c r="AA16" s="108" t="str">
        <f t="shared" si="12"/>
        <v>IMPCOACOC0*</v>
      </c>
      <c r="AB16" s="108" t="str">
        <f t="shared" si="13"/>
        <v>*COACOC</v>
      </c>
      <c r="AC16" s="161">
        <f>VLOOKUP(AA16,Worldprices!$B$49:$AN$92,INPUTtoVEDA_Coal!AK16,FALSE)</f>
        <v>2.8067000000000002</v>
      </c>
      <c r="AD16" s="161"/>
      <c r="AE16" s="108" t="str">
        <f t="shared" si="14"/>
        <v>COST</v>
      </c>
      <c r="AF16" s="126">
        <v>2027</v>
      </c>
      <c r="AG16" s="108" t="e">
        <f t="shared" si="15"/>
        <v>#REF!</v>
      </c>
      <c r="AH16" s="108" t="e">
        <f t="shared" si="16"/>
        <v>#REF!</v>
      </c>
      <c r="AI16" s="161" t="e">
        <f>VLOOKUP(AG16,Worldprices!$B$49:$AN$92,INPUTtoVEDA_Coal!AK16,FALSE)</f>
        <v>#REF!</v>
      </c>
      <c r="AJ16" s="161"/>
      <c r="AK16" s="108">
        <f t="shared" si="17"/>
        <v>16</v>
      </c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</row>
    <row r="17" spans="1:73" hidden="1" x14ac:dyDescent="0.25">
      <c r="A17" s="108" t="str">
        <f t="shared" si="0"/>
        <v>COST</v>
      </c>
      <c r="B17" s="126">
        <v>2028</v>
      </c>
      <c r="C17" s="108" t="str">
        <f t="shared" si="1"/>
        <v>IMPCOABIC0*</v>
      </c>
      <c r="D17" s="108" t="str">
        <f t="shared" si="2"/>
        <v>*COABIC</v>
      </c>
      <c r="E17" s="161">
        <f>VLOOKUP(C17,Worldprices!$B$49:$AN$92,INPUTtoVEDA_Coal!AK17,FALSE)</f>
        <v>2.2949999999999999</v>
      </c>
      <c r="F17" s="161"/>
      <c r="G17" s="108" t="str">
        <f t="shared" si="3"/>
        <v>COST</v>
      </c>
      <c r="H17" s="126">
        <v>2028</v>
      </c>
      <c r="I17" s="108" t="str">
        <f t="shared" si="4"/>
        <v>IMPCOASUB0*</v>
      </c>
      <c r="J17" s="108" t="str">
        <f t="shared" si="5"/>
        <v>*COASUB</v>
      </c>
      <c r="K17" s="161">
        <f>VLOOKUP(I17,Worldprices!$B$49:$AN$92,INPUTtoVEDA_Coal!AK17,FALSE)</f>
        <v>2.2949999999999999</v>
      </c>
      <c r="L17" s="161"/>
      <c r="M17" s="108" t="str">
        <f t="shared" si="6"/>
        <v>COST</v>
      </c>
      <c r="N17" s="126">
        <v>2028</v>
      </c>
      <c r="O17" s="108" t="str">
        <f t="shared" si="7"/>
        <v>IMPCOABCO0*</v>
      </c>
      <c r="P17" s="108" t="str">
        <f t="shared" si="7"/>
        <v>*COABCO</v>
      </c>
      <c r="Q17" s="161">
        <f>VLOOKUP(O17,Worldprices!$B$49:$AN$92,INPUTtoVEDA_Coal!AK17,FALSE)</f>
        <v>2.18025</v>
      </c>
      <c r="R17" s="161"/>
      <c r="S17" s="108" t="str">
        <f t="shared" si="8"/>
        <v>COST</v>
      </c>
      <c r="T17" s="126">
        <v>2028</v>
      </c>
      <c r="U17" s="108" t="str">
        <f t="shared" si="9"/>
        <v>IMPCOABKB0*</v>
      </c>
      <c r="V17" s="108" t="str">
        <f t="shared" si="10"/>
        <v>*COABKB</v>
      </c>
      <c r="W17" s="161">
        <f>VLOOKUP(U17,Worldprices!$B$49:$AN$92,INPUTtoVEDA_Coal!AK17,FALSE)</f>
        <v>2.18025</v>
      </c>
      <c r="X17" s="161"/>
      <c r="Y17" s="108" t="str">
        <f t="shared" si="11"/>
        <v>COST</v>
      </c>
      <c r="Z17" s="126">
        <v>2028</v>
      </c>
      <c r="AA17" s="108" t="str">
        <f t="shared" si="12"/>
        <v>IMPCOACOC0*</v>
      </c>
      <c r="AB17" s="108" t="str">
        <f t="shared" si="13"/>
        <v>*COACOC</v>
      </c>
      <c r="AC17" s="161">
        <f>VLOOKUP(AA17,Worldprices!$B$49:$AN$92,INPUTtoVEDA_Coal!AK17,FALSE)</f>
        <v>2.91465</v>
      </c>
      <c r="AD17" s="161"/>
      <c r="AE17" s="108" t="str">
        <f t="shared" si="14"/>
        <v>COST</v>
      </c>
      <c r="AF17" s="126">
        <v>2028</v>
      </c>
      <c r="AG17" s="108" t="e">
        <f t="shared" si="15"/>
        <v>#REF!</v>
      </c>
      <c r="AH17" s="108" t="e">
        <f t="shared" si="16"/>
        <v>#REF!</v>
      </c>
      <c r="AI17" s="161" t="e">
        <f>VLOOKUP(AG17,Worldprices!$B$49:$AN$92,INPUTtoVEDA_Coal!AK17,FALSE)</f>
        <v>#REF!</v>
      </c>
      <c r="AJ17" s="161"/>
      <c r="AK17" s="108">
        <f t="shared" si="17"/>
        <v>17</v>
      </c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</row>
    <row r="18" spans="1:73" hidden="1" x14ac:dyDescent="0.25">
      <c r="A18" s="108" t="str">
        <f t="shared" si="0"/>
        <v>COST</v>
      </c>
      <c r="B18" s="126">
        <v>2029</v>
      </c>
      <c r="C18" s="108" t="str">
        <f t="shared" si="1"/>
        <v>IMPCOABIC0*</v>
      </c>
      <c r="D18" s="108" t="str">
        <f t="shared" si="2"/>
        <v>*COABIC</v>
      </c>
      <c r="E18" s="161">
        <f>VLOOKUP(C18,Worldprices!$B$49:$AN$92,INPUTtoVEDA_Coal!AK18,FALSE)</f>
        <v>2.38</v>
      </c>
      <c r="F18" s="161"/>
      <c r="G18" s="108" t="str">
        <f t="shared" si="3"/>
        <v>COST</v>
      </c>
      <c r="H18" s="126">
        <v>2029</v>
      </c>
      <c r="I18" s="108" t="str">
        <f t="shared" si="4"/>
        <v>IMPCOASUB0*</v>
      </c>
      <c r="J18" s="108" t="str">
        <f t="shared" si="5"/>
        <v>*COASUB</v>
      </c>
      <c r="K18" s="161">
        <f>VLOOKUP(I18,Worldprices!$B$49:$AN$92,INPUTtoVEDA_Coal!AK18,FALSE)</f>
        <v>2.38</v>
      </c>
      <c r="L18" s="161"/>
      <c r="M18" s="108" t="str">
        <f t="shared" si="6"/>
        <v>COST</v>
      </c>
      <c r="N18" s="126">
        <v>2029</v>
      </c>
      <c r="O18" s="108" t="str">
        <f t="shared" si="7"/>
        <v>IMPCOABCO0*</v>
      </c>
      <c r="P18" s="108" t="str">
        <f t="shared" si="7"/>
        <v>*COABCO</v>
      </c>
      <c r="Q18" s="161">
        <f>VLOOKUP(O18,Worldprices!$B$49:$AN$92,INPUTtoVEDA_Coal!AK18,FALSE)</f>
        <v>2.2609999999999997</v>
      </c>
      <c r="R18" s="161"/>
      <c r="S18" s="108" t="str">
        <f t="shared" si="8"/>
        <v>COST</v>
      </c>
      <c r="T18" s="126">
        <v>2029</v>
      </c>
      <c r="U18" s="108" t="str">
        <f t="shared" si="9"/>
        <v>IMPCOABKB0*</v>
      </c>
      <c r="V18" s="108" t="str">
        <f t="shared" si="10"/>
        <v>*COABKB</v>
      </c>
      <c r="W18" s="161">
        <f>VLOOKUP(U18,Worldprices!$B$49:$AN$92,INPUTtoVEDA_Coal!AK18,FALSE)</f>
        <v>2.2609999999999997</v>
      </c>
      <c r="X18" s="161"/>
      <c r="Y18" s="108" t="str">
        <f t="shared" si="11"/>
        <v>COST</v>
      </c>
      <c r="Z18" s="126">
        <v>2029</v>
      </c>
      <c r="AA18" s="108" t="str">
        <f t="shared" si="12"/>
        <v>IMPCOACOC0*</v>
      </c>
      <c r="AB18" s="108" t="str">
        <f t="shared" si="13"/>
        <v>*COACOC</v>
      </c>
      <c r="AC18" s="161">
        <f>VLOOKUP(AA18,Worldprices!$B$49:$AN$92,INPUTtoVEDA_Coal!AK18,FALSE)</f>
        <v>3.0225999999999997</v>
      </c>
      <c r="AD18" s="161"/>
      <c r="AE18" s="108" t="str">
        <f t="shared" si="14"/>
        <v>COST</v>
      </c>
      <c r="AF18" s="126">
        <v>2029</v>
      </c>
      <c r="AG18" s="108" t="e">
        <f t="shared" si="15"/>
        <v>#REF!</v>
      </c>
      <c r="AH18" s="108" t="e">
        <f t="shared" si="16"/>
        <v>#REF!</v>
      </c>
      <c r="AI18" s="161" t="e">
        <f>VLOOKUP(AG18,Worldprices!$B$49:$AN$92,INPUTtoVEDA_Coal!AK18,FALSE)</f>
        <v>#REF!</v>
      </c>
      <c r="AJ18" s="161"/>
      <c r="AK18" s="108">
        <f t="shared" si="17"/>
        <v>18</v>
      </c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</row>
    <row r="19" spans="1:73" x14ac:dyDescent="0.25">
      <c r="A19" s="108" t="str">
        <f t="shared" si="0"/>
        <v>COST</v>
      </c>
      <c r="B19" s="126">
        <v>2030</v>
      </c>
      <c r="C19" s="108" t="str">
        <f t="shared" si="1"/>
        <v>IMPCOABIC0*</v>
      </c>
      <c r="D19" s="108" t="str">
        <f t="shared" si="2"/>
        <v>*COABIC</v>
      </c>
      <c r="E19" s="161">
        <f>VLOOKUP(C19,Worldprices!$B$49:$AN$92,INPUTtoVEDA_Coal!AK19,FALSE)</f>
        <v>2.3443000000000001</v>
      </c>
      <c r="F19" s="161"/>
      <c r="G19" s="108" t="str">
        <f t="shared" si="3"/>
        <v>COST</v>
      </c>
      <c r="H19" s="126">
        <v>2030</v>
      </c>
      <c r="I19" s="108" t="str">
        <f t="shared" si="4"/>
        <v>IMPCOASUB0*</v>
      </c>
      <c r="J19" s="108" t="str">
        <f t="shared" si="5"/>
        <v>*COASUB</v>
      </c>
      <c r="K19" s="161">
        <f>VLOOKUP(I19,Worldprices!$B$49:$AN$92,INPUTtoVEDA_Coal!AK19,FALSE)</f>
        <v>2.3443000000000001</v>
      </c>
      <c r="L19" s="161"/>
      <c r="M19" s="108" t="str">
        <f t="shared" si="6"/>
        <v>COST</v>
      </c>
      <c r="N19" s="126">
        <v>2030</v>
      </c>
      <c r="O19" s="108" t="str">
        <f t="shared" si="7"/>
        <v>IMPCOABCO0*</v>
      </c>
      <c r="P19" s="108" t="str">
        <f t="shared" si="7"/>
        <v>*COABCO</v>
      </c>
      <c r="Q19" s="161">
        <f>VLOOKUP(O19,Worldprices!$B$49:$AN$92,INPUTtoVEDA_Coal!AK19,FALSE)</f>
        <v>2.2270849999999998</v>
      </c>
      <c r="R19" s="161"/>
      <c r="S19" s="108" t="str">
        <f t="shared" si="8"/>
        <v>COST</v>
      </c>
      <c r="T19" s="126">
        <v>2030</v>
      </c>
      <c r="U19" s="108" t="str">
        <f t="shared" si="9"/>
        <v>IMPCOABKB0*</v>
      </c>
      <c r="V19" s="108" t="str">
        <f t="shared" si="10"/>
        <v>*COABKB</v>
      </c>
      <c r="W19" s="161">
        <f>VLOOKUP(U19,Worldprices!$B$49:$AN$92,INPUTtoVEDA_Coal!AK19,FALSE)</f>
        <v>2.2270849999999998</v>
      </c>
      <c r="X19" s="161"/>
      <c r="Y19" s="108" t="str">
        <f t="shared" si="11"/>
        <v>COST</v>
      </c>
      <c r="Z19" s="126">
        <v>2030</v>
      </c>
      <c r="AA19" s="108" t="str">
        <f t="shared" si="12"/>
        <v>IMPCOACOC0*</v>
      </c>
      <c r="AB19" s="108" t="str">
        <f t="shared" si="13"/>
        <v>*COACOC</v>
      </c>
      <c r="AC19" s="161">
        <f>VLOOKUP(AA19,Worldprices!$B$49:$AN$92,INPUTtoVEDA_Coal!AK19,FALSE)</f>
        <v>2.9772609999999999</v>
      </c>
      <c r="AD19" s="161"/>
      <c r="AE19" s="108" t="str">
        <f t="shared" si="14"/>
        <v>COST</v>
      </c>
      <c r="AF19" s="126">
        <v>2030</v>
      </c>
      <c r="AG19" s="108" t="e">
        <f t="shared" si="15"/>
        <v>#REF!</v>
      </c>
      <c r="AH19" s="108" t="e">
        <f t="shared" si="16"/>
        <v>#REF!</v>
      </c>
      <c r="AI19" s="161" t="e">
        <f>VLOOKUP(AG19,Worldprices!$B$49:$AN$92,INPUTtoVEDA_Coal!AK19,FALSE)</f>
        <v>#REF!</v>
      </c>
      <c r="AJ19" s="161"/>
      <c r="AK19" s="108">
        <f t="shared" si="17"/>
        <v>19</v>
      </c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</row>
    <row r="20" spans="1:73" hidden="1" x14ac:dyDescent="0.25">
      <c r="A20" s="108" t="str">
        <f t="shared" si="0"/>
        <v>COST</v>
      </c>
      <c r="B20" s="126">
        <v>2031</v>
      </c>
      <c r="C20" s="108" t="str">
        <f t="shared" si="1"/>
        <v>IMPCOABIC0*</v>
      </c>
      <c r="D20" s="108" t="str">
        <f t="shared" si="2"/>
        <v>*COABIC</v>
      </c>
      <c r="E20" s="161">
        <f>VLOOKUP(C20,Worldprices!$B$49:$AN$92,INPUTtoVEDA_Coal!AK20,FALSE)</f>
        <v>2.3091355</v>
      </c>
      <c r="F20" s="161"/>
      <c r="G20" s="108" t="str">
        <f t="shared" si="3"/>
        <v>COST</v>
      </c>
      <c r="H20" s="126">
        <v>2031</v>
      </c>
      <c r="I20" s="108" t="str">
        <f t="shared" si="4"/>
        <v>IMPCOASUB0*</v>
      </c>
      <c r="J20" s="108" t="str">
        <f t="shared" si="5"/>
        <v>*COASUB</v>
      </c>
      <c r="K20" s="161">
        <f>VLOOKUP(I20,Worldprices!$B$49:$AN$92,INPUTtoVEDA_Coal!AK20,FALSE)</f>
        <v>2.3091355</v>
      </c>
      <c r="L20" s="161"/>
      <c r="M20" s="108" t="str">
        <f t="shared" si="6"/>
        <v>COST</v>
      </c>
      <c r="N20" s="126">
        <v>2031</v>
      </c>
      <c r="O20" s="108" t="str">
        <f t="shared" si="7"/>
        <v>IMPCOABCO0*</v>
      </c>
      <c r="P20" s="108" t="str">
        <f t="shared" si="7"/>
        <v>*COABCO</v>
      </c>
      <c r="Q20" s="161">
        <f>VLOOKUP(O20,Worldprices!$B$49:$AN$92,INPUTtoVEDA_Coal!AK20,FALSE)</f>
        <v>2.1936787249999998</v>
      </c>
      <c r="R20" s="161"/>
      <c r="S20" s="108" t="str">
        <f t="shared" si="8"/>
        <v>COST</v>
      </c>
      <c r="T20" s="126">
        <v>2031</v>
      </c>
      <c r="U20" s="108" t="str">
        <f t="shared" si="9"/>
        <v>IMPCOABKB0*</v>
      </c>
      <c r="V20" s="108" t="str">
        <f t="shared" si="10"/>
        <v>*COABKB</v>
      </c>
      <c r="W20" s="161">
        <f>VLOOKUP(U20,Worldprices!$B$49:$AN$92,INPUTtoVEDA_Coal!AK20,FALSE)</f>
        <v>2.1936787249999998</v>
      </c>
      <c r="X20" s="161"/>
      <c r="Y20" s="108" t="str">
        <f t="shared" si="11"/>
        <v>COST</v>
      </c>
      <c r="Z20" s="126">
        <v>2031</v>
      </c>
      <c r="AA20" s="108" t="str">
        <f t="shared" si="12"/>
        <v>IMPCOACOC0*</v>
      </c>
      <c r="AB20" s="108" t="str">
        <f t="shared" si="13"/>
        <v>*COACOC</v>
      </c>
      <c r="AC20" s="161">
        <f>VLOOKUP(AA20,Worldprices!$B$49:$AN$92,INPUTtoVEDA_Coal!AK20,FALSE)</f>
        <v>2.9326020850000001</v>
      </c>
      <c r="AD20" s="161"/>
      <c r="AE20" s="108" t="str">
        <f t="shared" si="14"/>
        <v>COST</v>
      </c>
      <c r="AF20" s="126">
        <v>2031</v>
      </c>
      <c r="AG20" s="108" t="e">
        <f t="shared" si="15"/>
        <v>#REF!</v>
      </c>
      <c r="AH20" s="108" t="e">
        <f t="shared" si="16"/>
        <v>#REF!</v>
      </c>
      <c r="AI20" s="161" t="e">
        <f>VLOOKUP(AG20,Worldprices!$B$49:$AN$92,INPUTtoVEDA_Coal!AK20,FALSE)</f>
        <v>#REF!</v>
      </c>
      <c r="AJ20" s="161"/>
      <c r="AK20" s="108">
        <f t="shared" si="17"/>
        <v>20</v>
      </c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</row>
    <row r="21" spans="1:73" hidden="1" x14ac:dyDescent="0.25">
      <c r="A21" s="108" t="str">
        <f t="shared" si="0"/>
        <v>COST</v>
      </c>
      <c r="B21" s="126">
        <v>2032</v>
      </c>
      <c r="C21" s="108" t="str">
        <f t="shared" si="1"/>
        <v>IMPCOABIC0*</v>
      </c>
      <c r="D21" s="108" t="str">
        <f t="shared" si="2"/>
        <v>*COABIC</v>
      </c>
      <c r="E21" s="161">
        <f>VLOOKUP(C21,Worldprices!$B$49:$AN$92,INPUTtoVEDA_Coal!AK21,FALSE)</f>
        <v>2.2744984675</v>
      </c>
      <c r="F21" s="161"/>
      <c r="G21" s="108" t="str">
        <f t="shared" si="3"/>
        <v>COST</v>
      </c>
      <c r="H21" s="126">
        <v>2032</v>
      </c>
      <c r="I21" s="108" t="str">
        <f t="shared" si="4"/>
        <v>IMPCOASUB0*</v>
      </c>
      <c r="J21" s="108" t="str">
        <f t="shared" si="5"/>
        <v>*COASUB</v>
      </c>
      <c r="K21" s="161">
        <f>VLOOKUP(I21,Worldprices!$B$49:$AN$92,INPUTtoVEDA_Coal!AK21,FALSE)</f>
        <v>2.2744984675</v>
      </c>
      <c r="L21" s="161"/>
      <c r="M21" s="108" t="str">
        <f t="shared" si="6"/>
        <v>COST</v>
      </c>
      <c r="N21" s="126">
        <v>2032</v>
      </c>
      <c r="O21" s="108" t="str">
        <f t="shared" si="7"/>
        <v>IMPCOABCO0*</v>
      </c>
      <c r="P21" s="108" t="str">
        <f t="shared" si="7"/>
        <v>*COABCO</v>
      </c>
      <c r="Q21" s="161">
        <f>VLOOKUP(O21,Worldprices!$B$49:$AN$92,INPUTtoVEDA_Coal!AK21,FALSE)</f>
        <v>2.160773544125</v>
      </c>
      <c r="R21" s="161"/>
      <c r="S21" s="108" t="str">
        <f t="shared" si="8"/>
        <v>COST</v>
      </c>
      <c r="T21" s="126">
        <v>2032</v>
      </c>
      <c r="U21" s="108" t="str">
        <f t="shared" si="9"/>
        <v>IMPCOABKB0*</v>
      </c>
      <c r="V21" s="108" t="str">
        <f t="shared" si="10"/>
        <v>*COABKB</v>
      </c>
      <c r="W21" s="161">
        <f>VLOOKUP(U21,Worldprices!$B$49:$AN$92,INPUTtoVEDA_Coal!AK21,FALSE)</f>
        <v>2.160773544125</v>
      </c>
      <c r="X21" s="161"/>
      <c r="Y21" s="108" t="str">
        <f t="shared" si="11"/>
        <v>COST</v>
      </c>
      <c r="Z21" s="126">
        <v>2032</v>
      </c>
      <c r="AA21" s="108" t="str">
        <f t="shared" si="12"/>
        <v>IMPCOACOC0*</v>
      </c>
      <c r="AB21" s="108" t="str">
        <f t="shared" si="13"/>
        <v>*COACOC</v>
      </c>
      <c r="AC21" s="161">
        <f>VLOOKUP(AA21,Worldprices!$B$49:$AN$92,INPUTtoVEDA_Coal!AK21,FALSE)</f>
        <v>2.8886130537249999</v>
      </c>
      <c r="AD21" s="161"/>
      <c r="AE21" s="108" t="str">
        <f t="shared" si="14"/>
        <v>COST</v>
      </c>
      <c r="AF21" s="126">
        <v>2032</v>
      </c>
      <c r="AG21" s="108" t="e">
        <f t="shared" si="15"/>
        <v>#REF!</v>
      </c>
      <c r="AH21" s="108" t="e">
        <f t="shared" si="16"/>
        <v>#REF!</v>
      </c>
      <c r="AI21" s="161" t="e">
        <f>VLOOKUP(AG21,Worldprices!$B$49:$AN$92,INPUTtoVEDA_Coal!AK21,FALSE)</f>
        <v>#REF!</v>
      </c>
      <c r="AJ21" s="161"/>
      <c r="AK21" s="108">
        <f t="shared" si="17"/>
        <v>21</v>
      </c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</row>
    <row r="22" spans="1:73" hidden="1" x14ac:dyDescent="0.25">
      <c r="A22" s="108" t="str">
        <f t="shared" si="0"/>
        <v>COST</v>
      </c>
      <c r="B22" s="126">
        <v>2033</v>
      </c>
      <c r="C22" s="108" t="str">
        <f t="shared" si="1"/>
        <v>IMPCOABIC0*</v>
      </c>
      <c r="D22" s="108" t="str">
        <f t="shared" si="2"/>
        <v>*COABIC</v>
      </c>
      <c r="E22" s="161">
        <f>VLOOKUP(C22,Worldprices!$B$49:$AN$92,INPUTtoVEDA_Coal!AK22,FALSE)</f>
        <v>2.2403809904875001</v>
      </c>
      <c r="F22" s="161"/>
      <c r="G22" s="108" t="str">
        <f t="shared" si="3"/>
        <v>COST</v>
      </c>
      <c r="H22" s="126">
        <v>2033</v>
      </c>
      <c r="I22" s="108" t="str">
        <f t="shared" si="4"/>
        <v>IMPCOASUB0*</v>
      </c>
      <c r="J22" s="108" t="str">
        <f t="shared" si="5"/>
        <v>*COASUB</v>
      </c>
      <c r="K22" s="161">
        <f>VLOOKUP(I22,Worldprices!$B$49:$AN$92,INPUTtoVEDA_Coal!AK22,FALSE)</f>
        <v>2.2403809904875001</v>
      </c>
      <c r="L22" s="161"/>
      <c r="M22" s="108" t="str">
        <f t="shared" si="6"/>
        <v>COST</v>
      </c>
      <c r="N22" s="126">
        <v>2033</v>
      </c>
      <c r="O22" s="108" t="str">
        <f t="shared" si="7"/>
        <v>IMPCOABCO0*</v>
      </c>
      <c r="P22" s="108" t="str">
        <f t="shared" si="7"/>
        <v>*COABCO</v>
      </c>
      <c r="Q22" s="161">
        <f>VLOOKUP(O22,Worldprices!$B$49:$AN$92,INPUTtoVEDA_Coal!AK22,FALSE)</f>
        <v>2.1283619409631251</v>
      </c>
      <c r="R22" s="161"/>
      <c r="S22" s="108" t="str">
        <f t="shared" si="8"/>
        <v>COST</v>
      </c>
      <c r="T22" s="126">
        <v>2033</v>
      </c>
      <c r="U22" s="108" t="str">
        <f t="shared" si="9"/>
        <v>IMPCOABKB0*</v>
      </c>
      <c r="V22" s="108" t="str">
        <f t="shared" si="10"/>
        <v>*COABKB</v>
      </c>
      <c r="W22" s="161">
        <f>VLOOKUP(U22,Worldprices!$B$49:$AN$92,INPUTtoVEDA_Coal!AK22,FALSE)</f>
        <v>2.1283619409631251</v>
      </c>
      <c r="X22" s="161"/>
      <c r="Y22" s="108" t="str">
        <f t="shared" si="11"/>
        <v>COST</v>
      </c>
      <c r="Z22" s="126">
        <v>2033</v>
      </c>
      <c r="AA22" s="108" t="str">
        <f t="shared" si="12"/>
        <v>IMPCOACOC0*</v>
      </c>
      <c r="AB22" s="108" t="str">
        <f t="shared" si="13"/>
        <v>*COACOC</v>
      </c>
      <c r="AC22" s="161">
        <f>VLOOKUP(AA22,Worldprices!$B$49:$AN$92,INPUTtoVEDA_Coal!AK22,FALSE)</f>
        <v>2.8452838579191253</v>
      </c>
      <c r="AD22" s="161"/>
      <c r="AE22" s="108" t="str">
        <f t="shared" si="14"/>
        <v>COST</v>
      </c>
      <c r="AF22" s="126">
        <v>2033</v>
      </c>
      <c r="AG22" s="108" t="e">
        <f t="shared" si="15"/>
        <v>#REF!</v>
      </c>
      <c r="AH22" s="108" t="e">
        <f t="shared" si="16"/>
        <v>#REF!</v>
      </c>
      <c r="AI22" s="161" t="e">
        <f>VLOOKUP(AG22,Worldprices!$B$49:$AN$92,INPUTtoVEDA_Coal!AK22,FALSE)</f>
        <v>#REF!</v>
      </c>
      <c r="AJ22" s="161"/>
      <c r="AK22" s="108">
        <f t="shared" si="17"/>
        <v>22</v>
      </c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</row>
    <row r="23" spans="1:73" hidden="1" x14ac:dyDescent="0.25">
      <c r="A23" s="108" t="str">
        <f t="shared" si="0"/>
        <v>COST</v>
      </c>
      <c r="B23" s="126">
        <v>2034</v>
      </c>
      <c r="C23" s="108" t="str">
        <f t="shared" si="1"/>
        <v>IMPCOABIC0*</v>
      </c>
      <c r="D23" s="108" t="str">
        <f t="shared" si="2"/>
        <v>*COABIC</v>
      </c>
      <c r="E23" s="161">
        <f>VLOOKUP(C23,Worldprices!$B$49:$AN$92,INPUTtoVEDA_Coal!AK23,FALSE)</f>
        <v>2.2067752756301875</v>
      </c>
      <c r="F23" s="161"/>
      <c r="G23" s="108" t="str">
        <f t="shared" si="3"/>
        <v>COST</v>
      </c>
      <c r="H23" s="126">
        <v>2034</v>
      </c>
      <c r="I23" s="108" t="str">
        <f t="shared" si="4"/>
        <v>IMPCOASUB0*</v>
      </c>
      <c r="J23" s="108" t="str">
        <f t="shared" si="5"/>
        <v>*COASUB</v>
      </c>
      <c r="K23" s="161">
        <f>VLOOKUP(I23,Worldprices!$B$49:$AN$92,INPUTtoVEDA_Coal!AK23,FALSE)</f>
        <v>2.2067752756301875</v>
      </c>
      <c r="L23" s="161"/>
      <c r="M23" s="108" t="str">
        <f t="shared" si="6"/>
        <v>COST</v>
      </c>
      <c r="N23" s="126">
        <v>2034</v>
      </c>
      <c r="O23" s="108" t="str">
        <f t="shared" si="7"/>
        <v>IMPCOABCO0*</v>
      </c>
      <c r="P23" s="108" t="str">
        <f t="shared" si="7"/>
        <v>*COABCO</v>
      </c>
      <c r="Q23" s="161">
        <f>VLOOKUP(O23,Worldprices!$B$49:$AN$92,INPUTtoVEDA_Coal!AK23,FALSE)</f>
        <v>2.0964365118486779</v>
      </c>
      <c r="R23" s="161"/>
      <c r="S23" s="108" t="str">
        <f t="shared" si="8"/>
        <v>COST</v>
      </c>
      <c r="T23" s="126">
        <v>2034</v>
      </c>
      <c r="U23" s="108" t="str">
        <f t="shared" si="9"/>
        <v>IMPCOABKB0*</v>
      </c>
      <c r="V23" s="108" t="str">
        <f t="shared" si="10"/>
        <v>*COABKB</v>
      </c>
      <c r="W23" s="161">
        <f>VLOOKUP(U23,Worldprices!$B$49:$AN$92,INPUTtoVEDA_Coal!AK23,FALSE)</f>
        <v>2.0964365118486779</v>
      </c>
      <c r="X23" s="161"/>
      <c r="Y23" s="108" t="str">
        <f t="shared" si="11"/>
        <v>COST</v>
      </c>
      <c r="Z23" s="126">
        <v>2034</v>
      </c>
      <c r="AA23" s="108" t="str">
        <f t="shared" si="12"/>
        <v>IMPCOACOC0*</v>
      </c>
      <c r="AB23" s="108" t="str">
        <f t="shared" si="13"/>
        <v>*COACOC</v>
      </c>
      <c r="AC23" s="161">
        <f>VLOOKUP(AA23,Worldprices!$B$49:$AN$92,INPUTtoVEDA_Coal!AK23,FALSE)</f>
        <v>2.802604600050338</v>
      </c>
      <c r="AD23" s="161"/>
      <c r="AE23" s="108" t="str">
        <f t="shared" si="14"/>
        <v>COST</v>
      </c>
      <c r="AF23" s="126">
        <v>2034</v>
      </c>
      <c r="AG23" s="108" t="e">
        <f t="shared" si="15"/>
        <v>#REF!</v>
      </c>
      <c r="AH23" s="108" t="e">
        <f t="shared" si="16"/>
        <v>#REF!</v>
      </c>
      <c r="AI23" s="161" t="e">
        <f>VLOOKUP(AG23,Worldprices!$B$49:$AN$92,INPUTtoVEDA_Coal!AK23,FALSE)</f>
        <v>#REF!</v>
      </c>
      <c r="AJ23" s="161"/>
      <c r="AK23" s="108">
        <f t="shared" si="17"/>
        <v>23</v>
      </c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</row>
    <row r="24" spans="1:73" x14ac:dyDescent="0.25">
      <c r="A24" s="108" t="str">
        <f t="shared" si="0"/>
        <v>COST</v>
      </c>
      <c r="B24" s="126">
        <v>2035</v>
      </c>
      <c r="C24" s="108" t="str">
        <f t="shared" si="1"/>
        <v>IMPCOABIC0*</v>
      </c>
      <c r="D24" s="108" t="str">
        <f t="shared" si="2"/>
        <v>*COABIC</v>
      </c>
      <c r="E24" s="161">
        <f>VLOOKUP(C24,Worldprices!$B$49:$AN$92,INPUTtoVEDA_Coal!AK24,FALSE)</f>
        <v>2.1736736464957347</v>
      </c>
      <c r="F24" s="161"/>
      <c r="G24" s="108" t="str">
        <f t="shared" si="3"/>
        <v>COST</v>
      </c>
      <c r="H24" s="126">
        <v>2035</v>
      </c>
      <c r="I24" s="108" t="str">
        <f t="shared" si="4"/>
        <v>IMPCOASUB0*</v>
      </c>
      <c r="J24" s="108" t="str">
        <f t="shared" si="5"/>
        <v>*COASUB</v>
      </c>
      <c r="K24" s="161">
        <f>VLOOKUP(I24,Worldprices!$B$49:$AN$92,INPUTtoVEDA_Coal!AK24,FALSE)</f>
        <v>2.1736736464957347</v>
      </c>
      <c r="L24" s="161"/>
      <c r="M24" s="108" t="str">
        <f t="shared" si="6"/>
        <v>COST</v>
      </c>
      <c r="N24" s="126">
        <v>2035</v>
      </c>
      <c r="O24" s="108" t="str">
        <f t="shared" ref="O24:P39" si="18">O23</f>
        <v>IMPCOABCO0*</v>
      </c>
      <c r="P24" s="108" t="str">
        <f t="shared" si="18"/>
        <v>*COABCO</v>
      </c>
      <c r="Q24" s="161">
        <f>VLOOKUP(O24,Worldprices!$B$49:$AN$92,INPUTtoVEDA_Coal!AK24,FALSE)</f>
        <v>2.0649899641709477</v>
      </c>
      <c r="R24" s="161"/>
      <c r="S24" s="108" t="str">
        <f t="shared" si="8"/>
        <v>COST</v>
      </c>
      <c r="T24" s="126">
        <v>2035</v>
      </c>
      <c r="U24" s="108" t="str">
        <f t="shared" si="9"/>
        <v>IMPCOABKB0*</v>
      </c>
      <c r="V24" s="108" t="str">
        <f t="shared" si="10"/>
        <v>*COABKB</v>
      </c>
      <c r="W24" s="161">
        <f>VLOOKUP(U24,Worldprices!$B$49:$AN$92,INPUTtoVEDA_Coal!AK24,FALSE)</f>
        <v>2.0649899641709477</v>
      </c>
      <c r="X24" s="161"/>
      <c r="Y24" s="108" t="str">
        <f t="shared" si="11"/>
        <v>COST</v>
      </c>
      <c r="Z24" s="126">
        <v>2035</v>
      </c>
      <c r="AA24" s="108" t="str">
        <f t="shared" si="12"/>
        <v>IMPCOACOC0*</v>
      </c>
      <c r="AB24" s="108" t="str">
        <f t="shared" si="13"/>
        <v>*COACOC</v>
      </c>
      <c r="AC24" s="161">
        <f>VLOOKUP(AA24,Worldprices!$B$49:$AN$92,INPUTtoVEDA_Coal!AK24,FALSE)</f>
        <v>2.7605655310495831</v>
      </c>
      <c r="AD24" s="161"/>
      <c r="AE24" s="108" t="str">
        <f t="shared" si="14"/>
        <v>COST</v>
      </c>
      <c r="AF24" s="126">
        <v>2035</v>
      </c>
      <c r="AG24" s="108" t="e">
        <f t="shared" si="15"/>
        <v>#REF!</v>
      </c>
      <c r="AH24" s="108" t="e">
        <f t="shared" si="16"/>
        <v>#REF!</v>
      </c>
      <c r="AI24" s="161" t="e">
        <f>VLOOKUP(AG24,Worldprices!$B$49:$AN$92,INPUTtoVEDA_Coal!AK24,FALSE)</f>
        <v>#REF!</v>
      </c>
      <c r="AJ24" s="161"/>
      <c r="AK24" s="108">
        <f t="shared" si="17"/>
        <v>24</v>
      </c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</row>
    <row r="25" spans="1:73" hidden="1" x14ac:dyDescent="0.25">
      <c r="A25" s="108" t="str">
        <f t="shared" si="0"/>
        <v>COST</v>
      </c>
      <c r="B25" s="126">
        <v>2036</v>
      </c>
      <c r="C25" s="108" t="str">
        <f t="shared" si="1"/>
        <v>IMPCOABIC0*</v>
      </c>
      <c r="D25" s="108" t="str">
        <f t="shared" si="2"/>
        <v>*COABIC</v>
      </c>
      <c r="E25" s="161">
        <f>VLOOKUP(C25,Worldprices!$B$49:$AN$92,INPUTtoVEDA_Coal!AK25,FALSE)</f>
        <v>2.1410685417982984</v>
      </c>
      <c r="F25" s="161"/>
      <c r="G25" s="108" t="str">
        <f t="shared" si="3"/>
        <v>COST</v>
      </c>
      <c r="H25" s="126">
        <v>2036</v>
      </c>
      <c r="I25" s="108" t="str">
        <f t="shared" si="4"/>
        <v>IMPCOASUB0*</v>
      </c>
      <c r="J25" s="108" t="str">
        <f t="shared" si="5"/>
        <v>*COASUB</v>
      </c>
      <c r="K25" s="161">
        <f>VLOOKUP(I25,Worldprices!$B$49:$AN$92,INPUTtoVEDA_Coal!AK25,FALSE)</f>
        <v>2.1410685417982984</v>
      </c>
      <c r="L25" s="161"/>
      <c r="M25" s="108" t="str">
        <f t="shared" si="6"/>
        <v>COST</v>
      </c>
      <c r="N25" s="126">
        <v>2036</v>
      </c>
      <c r="O25" s="108" t="str">
        <f t="shared" si="18"/>
        <v>IMPCOABCO0*</v>
      </c>
      <c r="P25" s="108" t="str">
        <f t="shared" si="18"/>
        <v>*COABCO</v>
      </c>
      <c r="Q25" s="161">
        <f>VLOOKUP(O25,Worldprices!$B$49:$AN$92,INPUTtoVEDA_Coal!AK25,FALSE)</f>
        <v>2.0340151147083834</v>
      </c>
      <c r="R25" s="161"/>
      <c r="S25" s="108" t="str">
        <f t="shared" si="8"/>
        <v>COST</v>
      </c>
      <c r="T25" s="126">
        <v>2036</v>
      </c>
      <c r="U25" s="108" t="str">
        <f t="shared" si="9"/>
        <v>IMPCOABKB0*</v>
      </c>
      <c r="V25" s="108" t="str">
        <f t="shared" si="10"/>
        <v>*COABKB</v>
      </c>
      <c r="W25" s="161">
        <f>VLOOKUP(U25,Worldprices!$B$49:$AN$92,INPUTtoVEDA_Coal!AK25,FALSE)</f>
        <v>2.0340151147083834</v>
      </c>
      <c r="X25" s="161"/>
      <c r="Y25" s="108" t="str">
        <f t="shared" si="11"/>
        <v>COST</v>
      </c>
      <c r="Z25" s="126">
        <v>2036</v>
      </c>
      <c r="AA25" s="108" t="str">
        <f t="shared" si="12"/>
        <v>IMPCOACOC0*</v>
      </c>
      <c r="AB25" s="108" t="str">
        <f t="shared" si="13"/>
        <v>*COACOC</v>
      </c>
      <c r="AC25" s="161">
        <f>VLOOKUP(AA25,Worldprices!$B$49:$AN$92,INPUTtoVEDA_Coal!AK25,FALSE)</f>
        <v>2.7191570480838392</v>
      </c>
      <c r="AD25" s="161"/>
      <c r="AE25" s="108" t="str">
        <f t="shared" si="14"/>
        <v>COST</v>
      </c>
      <c r="AF25" s="126">
        <v>2036</v>
      </c>
      <c r="AG25" s="108" t="e">
        <f t="shared" si="15"/>
        <v>#REF!</v>
      </c>
      <c r="AH25" s="108" t="e">
        <f t="shared" si="16"/>
        <v>#REF!</v>
      </c>
      <c r="AI25" s="161" t="e">
        <f>VLOOKUP(AG25,Worldprices!$B$49:$AN$92,INPUTtoVEDA_Coal!AK25,FALSE)</f>
        <v>#REF!</v>
      </c>
      <c r="AJ25" s="161"/>
      <c r="AK25" s="108">
        <f t="shared" si="17"/>
        <v>25</v>
      </c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</row>
    <row r="26" spans="1:73" hidden="1" x14ac:dyDescent="0.25">
      <c r="A26" s="108" t="str">
        <f t="shared" si="0"/>
        <v>COST</v>
      </c>
      <c r="B26" s="126">
        <v>2037</v>
      </c>
      <c r="C26" s="108" t="str">
        <f t="shared" si="1"/>
        <v>IMPCOABIC0*</v>
      </c>
      <c r="D26" s="108" t="str">
        <f t="shared" si="2"/>
        <v>*COABIC</v>
      </c>
      <c r="E26" s="161">
        <f>VLOOKUP(C26,Worldprices!$B$49:$AN$92,INPUTtoVEDA_Coal!AK26,FALSE)</f>
        <v>2.1089525136713241</v>
      </c>
      <c r="F26" s="161"/>
      <c r="G26" s="108" t="str">
        <f t="shared" si="3"/>
        <v>COST</v>
      </c>
      <c r="H26" s="126">
        <v>2037</v>
      </c>
      <c r="I26" s="108" t="str">
        <f t="shared" si="4"/>
        <v>IMPCOASUB0*</v>
      </c>
      <c r="J26" s="108" t="str">
        <f t="shared" si="5"/>
        <v>*COASUB</v>
      </c>
      <c r="K26" s="161">
        <f>VLOOKUP(I26,Worldprices!$B$49:$AN$92,INPUTtoVEDA_Coal!AK26,FALSE)</f>
        <v>2.1089525136713241</v>
      </c>
      <c r="L26" s="161"/>
      <c r="M26" s="108" t="str">
        <f t="shared" si="6"/>
        <v>COST</v>
      </c>
      <c r="N26" s="126">
        <v>2037</v>
      </c>
      <c r="O26" s="108" t="str">
        <f t="shared" si="18"/>
        <v>IMPCOABCO0*</v>
      </c>
      <c r="P26" s="108" t="str">
        <f t="shared" si="18"/>
        <v>*COABCO</v>
      </c>
      <c r="Q26" s="161">
        <f>VLOOKUP(O26,Worldprices!$B$49:$AN$92,INPUTtoVEDA_Coal!AK26,FALSE)</f>
        <v>2.0035048879877579</v>
      </c>
      <c r="R26" s="161"/>
      <c r="S26" s="108" t="str">
        <f t="shared" si="8"/>
        <v>COST</v>
      </c>
      <c r="T26" s="126">
        <v>2037</v>
      </c>
      <c r="U26" s="108" t="str">
        <f t="shared" si="9"/>
        <v>IMPCOABKB0*</v>
      </c>
      <c r="V26" s="108" t="str">
        <f t="shared" si="10"/>
        <v>*COABKB</v>
      </c>
      <c r="W26" s="161">
        <f>VLOOKUP(U26,Worldprices!$B$49:$AN$92,INPUTtoVEDA_Coal!AK26,FALSE)</f>
        <v>2.0035048879877579</v>
      </c>
      <c r="X26" s="161"/>
      <c r="Y26" s="108" t="str">
        <f t="shared" si="11"/>
        <v>COST</v>
      </c>
      <c r="Z26" s="126">
        <v>2037</v>
      </c>
      <c r="AA26" s="108" t="str">
        <f t="shared" si="12"/>
        <v>IMPCOACOC0*</v>
      </c>
      <c r="AB26" s="108" t="str">
        <f t="shared" si="13"/>
        <v>*COACOC</v>
      </c>
      <c r="AC26" s="161">
        <f>VLOOKUP(AA26,Worldprices!$B$49:$AN$92,INPUTtoVEDA_Coal!AK26,FALSE)</f>
        <v>2.6783696923625815</v>
      </c>
      <c r="AD26" s="161"/>
      <c r="AE26" s="108" t="str">
        <f t="shared" si="14"/>
        <v>COST</v>
      </c>
      <c r="AF26" s="126">
        <v>2037</v>
      </c>
      <c r="AG26" s="108" t="e">
        <f t="shared" si="15"/>
        <v>#REF!</v>
      </c>
      <c r="AH26" s="108" t="e">
        <f t="shared" si="16"/>
        <v>#REF!</v>
      </c>
      <c r="AI26" s="161" t="e">
        <f>VLOOKUP(AG26,Worldprices!$B$49:$AN$92,INPUTtoVEDA_Coal!AK26,FALSE)</f>
        <v>#REF!</v>
      </c>
      <c r="AJ26" s="161"/>
      <c r="AK26" s="108">
        <f t="shared" si="17"/>
        <v>26</v>
      </c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</row>
    <row r="27" spans="1:73" hidden="1" x14ac:dyDescent="0.25">
      <c r="A27" s="108" t="str">
        <f t="shared" si="0"/>
        <v>COST</v>
      </c>
      <c r="B27" s="126">
        <v>2038</v>
      </c>
      <c r="C27" s="108" t="str">
        <f t="shared" si="1"/>
        <v>IMPCOABIC0*</v>
      </c>
      <c r="D27" s="108" t="str">
        <f t="shared" si="2"/>
        <v>*COABIC</v>
      </c>
      <c r="E27" s="161">
        <f>VLOOKUP(C27,Worldprices!$B$49:$AN$92,INPUTtoVEDA_Coal!AK27,FALSE)</f>
        <v>2.0773182259662542</v>
      </c>
      <c r="F27" s="161"/>
      <c r="G27" s="108" t="str">
        <f t="shared" si="3"/>
        <v>COST</v>
      </c>
      <c r="H27" s="126">
        <v>2038</v>
      </c>
      <c r="I27" s="108" t="str">
        <f t="shared" si="4"/>
        <v>IMPCOASUB0*</v>
      </c>
      <c r="J27" s="108" t="str">
        <f t="shared" si="5"/>
        <v>*COASUB</v>
      </c>
      <c r="K27" s="161">
        <f>VLOOKUP(I27,Worldprices!$B$49:$AN$92,INPUTtoVEDA_Coal!AK27,FALSE)</f>
        <v>2.0773182259662542</v>
      </c>
      <c r="L27" s="161"/>
      <c r="M27" s="108" t="str">
        <f t="shared" si="6"/>
        <v>COST</v>
      </c>
      <c r="N27" s="126">
        <v>2038</v>
      </c>
      <c r="O27" s="108" t="str">
        <f t="shared" si="18"/>
        <v>IMPCOABCO0*</v>
      </c>
      <c r="P27" s="108" t="str">
        <f t="shared" si="18"/>
        <v>*COABCO</v>
      </c>
      <c r="Q27" s="161">
        <f>VLOOKUP(O27,Worldprices!$B$49:$AN$92,INPUTtoVEDA_Coal!AK27,FALSE)</f>
        <v>1.9734523146679412</v>
      </c>
      <c r="R27" s="161"/>
      <c r="S27" s="108" t="str">
        <f t="shared" si="8"/>
        <v>COST</v>
      </c>
      <c r="T27" s="126">
        <v>2038</v>
      </c>
      <c r="U27" s="108" t="str">
        <f t="shared" si="9"/>
        <v>IMPCOABKB0*</v>
      </c>
      <c r="V27" s="108" t="str">
        <f t="shared" si="10"/>
        <v>*COABKB</v>
      </c>
      <c r="W27" s="161">
        <f>VLOOKUP(U27,Worldprices!$B$49:$AN$92,INPUTtoVEDA_Coal!AK27,FALSE)</f>
        <v>1.9734523146679412</v>
      </c>
      <c r="X27" s="161"/>
      <c r="Y27" s="108" t="str">
        <f t="shared" si="11"/>
        <v>COST</v>
      </c>
      <c r="Z27" s="126">
        <v>2038</v>
      </c>
      <c r="AA27" s="108" t="str">
        <f t="shared" si="12"/>
        <v>IMPCOACOC0*</v>
      </c>
      <c r="AB27" s="108" t="str">
        <f t="shared" si="13"/>
        <v>*COACOC</v>
      </c>
      <c r="AC27" s="161">
        <f>VLOOKUP(AA27,Worldprices!$B$49:$AN$92,INPUTtoVEDA_Coal!AK27,FALSE)</f>
        <v>2.6381941469771428</v>
      </c>
      <c r="AD27" s="161"/>
      <c r="AE27" s="108" t="str">
        <f t="shared" si="14"/>
        <v>COST</v>
      </c>
      <c r="AF27" s="126">
        <v>2038</v>
      </c>
      <c r="AG27" s="108" t="e">
        <f t="shared" si="15"/>
        <v>#REF!</v>
      </c>
      <c r="AH27" s="108" t="e">
        <f t="shared" si="16"/>
        <v>#REF!</v>
      </c>
      <c r="AI27" s="161" t="e">
        <f>VLOOKUP(AG27,Worldprices!$B$49:$AN$92,INPUTtoVEDA_Coal!AK27,FALSE)</f>
        <v>#REF!</v>
      </c>
      <c r="AJ27" s="161"/>
      <c r="AK27" s="108">
        <f t="shared" si="17"/>
        <v>27</v>
      </c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</row>
    <row r="28" spans="1:73" hidden="1" x14ac:dyDescent="0.25">
      <c r="A28" s="108" t="str">
        <f t="shared" si="0"/>
        <v>COST</v>
      </c>
      <c r="B28" s="126">
        <v>2039</v>
      </c>
      <c r="C28" s="108" t="str">
        <f t="shared" si="1"/>
        <v>IMPCOABIC0*</v>
      </c>
      <c r="D28" s="108" t="str">
        <f t="shared" si="2"/>
        <v>*COABIC</v>
      </c>
      <c r="E28" s="161">
        <f>VLOOKUP(C28,Worldprices!$B$49:$AN$92,INPUTtoVEDA_Coal!AK28,FALSE)</f>
        <v>2.0461584525767602</v>
      </c>
      <c r="F28" s="161"/>
      <c r="G28" s="108" t="str">
        <f t="shared" si="3"/>
        <v>COST</v>
      </c>
      <c r="H28" s="126">
        <v>2039</v>
      </c>
      <c r="I28" s="108" t="str">
        <f t="shared" si="4"/>
        <v>IMPCOASUB0*</v>
      </c>
      <c r="J28" s="108" t="str">
        <f t="shared" si="5"/>
        <v>*COASUB</v>
      </c>
      <c r="K28" s="161">
        <f>VLOOKUP(I28,Worldprices!$B$49:$AN$92,INPUTtoVEDA_Coal!AK28,FALSE)</f>
        <v>2.0461584525767602</v>
      </c>
      <c r="L28" s="161"/>
      <c r="M28" s="108" t="str">
        <f t="shared" si="6"/>
        <v>COST</v>
      </c>
      <c r="N28" s="126">
        <v>2039</v>
      </c>
      <c r="O28" s="108" t="str">
        <f t="shared" si="18"/>
        <v>IMPCOABCO0*</v>
      </c>
      <c r="P28" s="108" t="str">
        <f t="shared" si="18"/>
        <v>*COABCO</v>
      </c>
      <c r="Q28" s="161">
        <f>VLOOKUP(O28,Worldprices!$B$49:$AN$92,INPUTtoVEDA_Coal!AK28,FALSE)</f>
        <v>1.9438505299479221</v>
      </c>
      <c r="R28" s="161"/>
      <c r="S28" s="108" t="str">
        <f t="shared" si="8"/>
        <v>COST</v>
      </c>
      <c r="T28" s="126">
        <v>2039</v>
      </c>
      <c r="U28" s="108" t="str">
        <f t="shared" si="9"/>
        <v>IMPCOABKB0*</v>
      </c>
      <c r="V28" s="108" t="str">
        <f t="shared" si="10"/>
        <v>*COABKB</v>
      </c>
      <c r="W28" s="161">
        <f>VLOOKUP(U28,Worldprices!$B$49:$AN$92,INPUTtoVEDA_Coal!AK28,FALSE)</f>
        <v>1.9438505299479221</v>
      </c>
      <c r="X28" s="161"/>
      <c r="Y28" s="108" t="str">
        <f t="shared" si="11"/>
        <v>COST</v>
      </c>
      <c r="Z28" s="126">
        <v>2039</v>
      </c>
      <c r="AA28" s="108" t="str">
        <f t="shared" si="12"/>
        <v>IMPCOACOC0*</v>
      </c>
      <c r="AB28" s="108" t="str">
        <f t="shared" si="13"/>
        <v>*COACOC</v>
      </c>
      <c r="AC28" s="161">
        <f>VLOOKUP(AA28,Worldprices!$B$49:$AN$92,INPUTtoVEDA_Coal!AK28,FALSE)</f>
        <v>2.5986212347724855</v>
      </c>
      <c r="AD28" s="161"/>
      <c r="AE28" s="108" t="str">
        <f t="shared" si="14"/>
        <v>COST</v>
      </c>
      <c r="AF28" s="126">
        <v>2039</v>
      </c>
      <c r="AG28" s="108" t="e">
        <f t="shared" si="15"/>
        <v>#REF!</v>
      </c>
      <c r="AH28" s="108" t="e">
        <f t="shared" si="16"/>
        <v>#REF!</v>
      </c>
      <c r="AI28" s="161" t="e">
        <f>VLOOKUP(AG28,Worldprices!$B$49:$AN$92,INPUTtoVEDA_Coal!AK28,FALSE)</f>
        <v>#REF!</v>
      </c>
      <c r="AJ28" s="161"/>
      <c r="AK28" s="108">
        <f t="shared" si="17"/>
        <v>28</v>
      </c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</row>
    <row r="29" spans="1:73" x14ac:dyDescent="0.25">
      <c r="A29" s="108" t="str">
        <f t="shared" si="0"/>
        <v>COST</v>
      </c>
      <c r="B29" s="126">
        <v>2040</v>
      </c>
      <c r="C29" s="108" t="str">
        <f t="shared" si="1"/>
        <v>IMPCOABIC0*</v>
      </c>
      <c r="D29" s="108" t="str">
        <f t="shared" si="2"/>
        <v>*COABIC</v>
      </c>
      <c r="E29" s="161">
        <f>VLOOKUP(C29,Worldprices!$B$49:$AN$92,INPUTtoVEDA_Coal!AK29,FALSE)</f>
        <v>2.0154660757881087</v>
      </c>
      <c r="F29" s="161"/>
      <c r="G29" s="108" t="str">
        <f t="shared" si="3"/>
        <v>COST</v>
      </c>
      <c r="H29" s="126">
        <v>2040</v>
      </c>
      <c r="I29" s="108" t="str">
        <f t="shared" si="4"/>
        <v>IMPCOASUB0*</v>
      </c>
      <c r="J29" s="108" t="str">
        <f t="shared" si="5"/>
        <v>*COASUB</v>
      </c>
      <c r="K29" s="161">
        <f>VLOOKUP(I29,Worldprices!$B$49:$AN$92,INPUTtoVEDA_Coal!AK29,FALSE)</f>
        <v>2.0154660757881087</v>
      </c>
      <c r="L29" s="161"/>
      <c r="M29" s="108" t="str">
        <f t="shared" si="6"/>
        <v>COST</v>
      </c>
      <c r="N29" s="126">
        <v>2040</v>
      </c>
      <c r="O29" s="108" t="str">
        <f t="shared" si="18"/>
        <v>IMPCOABCO0*</v>
      </c>
      <c r="P29" s="108" t="str">
        <f t="shared" si="18"/>
        <v>*COABCO</v>
      </c>
      <c r="Q29" s="161">
        <f>VLOOKUP(O29,Worldprices!$B$49:$AN$92,INPUTtoVEDA_Coal!AK29,FALSE)</f>
        <v>1.914692771998703</v>
      </c>
      <c r="R29" s="161"/>
      <c r="S29" s="108" t="str">
        <f t="shared" si="8"/>
        <v>COST</v>
      </c>
      <c r="T29" s="126">
        <v>2040</v>
      </c>
      <c r="U29" s="108" t="str">
        <f t="shared" si="9"/>
        <v>IMPCOABKB0*</v>
      </c>
      <c r="V29" s="108" t="str">
        <f t="shared" si="10"/>
        <v>*COABKB</v>
      </c>
      <c r="W29" s="161">
        <f>VLOOKUP(U29,Worldprices!$B$49:$AN$92,INPUTtoVEDA_Coal!AK29,FALSE)</f>
        <v>1.914692771998703</v>
      </c>
      <c r="X29" s="161"/>
      <c r="Y29" s="108" t="str">
        <f t="shared" si="11"/>
        <v>COST</v>
      </c>
      <c r="Z29" s="126">
        <v>2040</v>
      </c>
      <c r="AA29" s="108" t="str">
        <f t="shared" si="12"/>
        <v>IMPCOACOC0*</v>
      </c>
      <c r="AB29" s="108" t="str">
        <f t="shared" si="13"/>
        <v>*COACOC</v>
      </c>
      <c r="AC29" s="161">
        <f>VLOOKUP(AA29,Worldprices!$B$49:$AN$92,INPUTtoVEDA_Coal!AK29,FALSE)</f>
        <v>2.5596419162508979</v>
      </c>
      <c r="AD29" s="161"/>
      <c r="AE29" s="108" t="str">
        <f t="shared" si="14"/>
        <v>COST</v>
      </c>
      <c r="AF29" s="126">
        <v>2040</v>
      </c>
      <c r="AG29" s="108" t="e">
        <f t="shared" si="15"/>
        <v>#REF!</v>
      </c>
      <c r="AH29" s="108" t="e">
        <f t="shared" si="16"/>
        <v>#REF!</v>
      </c>
      <c r="AI29" s="161" t="e">
        <f>VLOOKUP(AG29,Worldprices!$B$49:$AN$92,INPUTtoVEDA_Coal!AK29,FALSE)</f>
        <v>#REF!</v>
      </c>
      <c r="AJ29" s="161"/>
      <c r="AK29" s="108">
        <f t="shared" si="17"/>
        <v>29</v>
      </c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</row>
    <row r="30" spans="1:73" hidden="1" x14ac:dyDescent="0.25">
      <c r="A30" s="108" t="str">
        <f t="shared" si="0"/>
        <v>COST</v>
      </c>
      <c r="B30" s="126">
        <v>2041</v>
      </c>
      <c r="C30" s="108" t="str">
        <f t="shared" si="1"/>
        <v>IMPCOABIC0*</v>
      </c>
      <c r="D30" s="108" t="str">
        <f t="shared" si="2"/>
        <v>*COABIC</v>
      </c>
      <c r="E30" s="161">
        <f>VLOOKUP(C30,Worldprices!$B$49:$AN$92,INPUTtoVEDA_Coal!AK30,FALSE)</f>
        <v>1.985234084651287</v>
      </c>
      <c r="F30" s="161"/>
      <c r="G30" s="108" t="str">
        <f t="shared" si="3"/>
        <v>COST</v>
      </c>
      <c r="H30" s="126">
        <v>2041</v>
      </c>
      <c r="I30" s="108" t="str">
        <f t="shared" si="4"/>
        <v>IMPCOASUB0*</v>
      </c>
      <c r="J30" s="108" t="str">
        <f t="shared" si="5"/>
        <v>*COASUB</v>
      </c>
      <c r="K30" s="161">
        <f>VLOOKUP(I30,Worldprices!$B$49:$AN$92,INPUTtoVEDA_Coal!AK30,FALSE)</f>
        <v>1.985234084651287</v>
      </c>
      <c r="L30" s="161"/>
      <c r="M30" s="108" t="str">
        <f t="shared" si="6"/>
        <v>COST</v>
      </c>
      <c r="N30" s="126">
        <v>2041</v>
      </c>
      <c r="O30" s="108" t="str">
        <f t="shared" si="18"/>
        <v>IMPCOABCO0*</v>
      </c>
      <c r="P30" s="108" t="str">
        <f t="shared" si="18"/>
        <v>*COABCO</v>
      </c>
      <c r="Q30" s="161">
        <f>VLOOKUP(O30,Worldprices!$B$49:$AN$92,INPUTtoVEDA_Coal!AK30,FALSE)</f>
        <v>1.8859723804187225</v>
      </c>
      <c r="R30" s="161"/>
      <c r="S30" s="108" t="str">
        <f t="shared" si="8"/>
        <v>COST</v>
      </c>
      <c r="T30" s="126">
        <v>2041</v>
      </c>
      <c r="U30" s="108" t="str">
        <f t="shared" si="9"/>
        <v>IMPCOABKB0*</v>
      </c>
      <c r="V30" s="108" t="str">
        <f t="shared" si="10"/>
        <v>*COABKB</v>
      </c>
      <c r="W30" s="161">
        <f>VLOOKUP(U30,Worldprices!$B$49:$AN$92,INPUTtoVEDA_Coal!AK30,FALSE)</f>
        <v>1.8859723804187225</v>
      </c>
      <c r="X30" s="161"/>
      <c r="Y30" s="108" t="str">
        <f t="shared" si="11"/>
        <v>COST</v>
      </c>
      <c r="Z30" s="126">
        <v>2041</v>
      </c>
      <c r="AA30" s="108" t="str">
        <f t="shared" si="12"/>
        <v>IMPCOACOC0*</v>
      </c>
      <c r="AB30" s="108" t="str">
        <f t="shared" si="13"/>
        <v>*COACOC</v>
      </c>
      <c r="AC30" s="161">
        <f>VLOOKUP(AA30,Worldprices!$B$49:$AN$92,INPUTtoVEDA_Coal!AK30,FALSE)</f>
        <v>2.5212472875071348</v>
      </c>
      <c r="AD30" s="161"/>
      <c r="AE30" s="108" t="str">
        <f t="shared" si="14"/>
        <v>COST</v>
      </c>
      <c r="AF30" s="126">
        <v>2041</v>
      </c>
      <c r="AG30" s="108" t="e">
        <f t="shared" si="15"/>
        <v>#REF!</v>
      </c>
      <c r="AH30" s="108" t="e">
        <f t="shared" si="16"/>
        <v>#REF!</v>
      </c>
      <c r="AI30" s="161" t="e">
        <f>VLOOKUP(AG30,Worldprices!$B$49:$AN$92,INPUTtoVEDA_Coal!AK30,FALSE)</f>
        <v>#REF!</v>
      </c>
      <c r="AJ30" s="161"/>
      <c r="AK30" s="108">
        <f t="shared" si="17"/>
        <v>30</v>
      </c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</row>
    <row r="31" spans="1:73" hidden="1" x14ac:dyDescent="0.25">
      <c r="A31" s="108" t="str">
        <f t="shared" si="0"/>
        <v>COST</v>
      </c>
      <c r="B31" s="126">
        <v>2042</v>
      </c>
      <c r="C31" s="108" t="str">
        <f t="shared" si="1"/>
        <v>IMPCOABIC0*</v>
      </c>
      <c r="D31" s="108" t="str">
        <f t="shared" si="2"/>
        <v>*COABIC</v>
      </c>
      <c r="E31" s="161">
        <f>VLOOKUP(C31,Worldprices!$B$49:$AN$92,INPUTtoVEDA_Coal!AK31,FALSE)</f>
        <v>1.9554555733815178</v>
      </c>
      <c r="F31" s="161"/>
      <c r="G31" s="108" t="str">
        <f t="shared" si="3"/>
        <v>COST</v>
      </c>
      <c r="H31" s="126">
        <v>2042</v>
      </c>
      <c r="I31" s="108" t="str">
        <f t="shared" si="4"/>
        <v>IMPCOASUB0*</v>
      </c>
      <c r="J31" s="108" t="str">
        <f t="shared" si="5"/>
        <v>*COASUB</v>
      </c>
      <c r="K31" s="161">
        <f>VLOOKUP(I31,Worldprices!$B$49:$AN$92,INPUTtoVEDA_Coal!AK31,FALSE)</f>
        <v>1.9554555733815178</v>
      </c>
      <c r="L31" s="161"/>
      <c r="M31" s="108" t="str">
        <f t="shared" si="6"/>
        <v>COST</v>
      </c>
      <c r="N31" s="126">
        <v>2042</v>
      </c>
      <c r="O31" s="108" t="str">
        <f t="shared" si="18"/>
        <v>IMPCOABCO0*</v>
      </c>
      <c r="P31" s="108" t="str">
        <f t="shared" si="18"/>
        <v>*COABCO</v>
      </c>
      <c r="Q31" s="161">
        <f>VLOOKUP(O31,Worldprices!$B$49:$AN$92,INPUTtoVEDA_Coal!AK31,FALSE)</f>
        <v>1.8576827947124417</v>
      </c>
      <c r="R31" s="161"/>
      <c r="S31" s="108" t="str">
        <f t="shared" si="8"/>
        <v>COST</v>
      </c>
      <c r="T31" s="126">
        <v>2042</v>
      </c>
      <c r="U31" s="108" t="str">
        <f t="shared" si="9"/>
        <v>IMPCOABKB0*</v>
      </c>
      <c r="V31" s="108" t="str">
        <f t="shared" si="10"/>
        <v>*COABKB</v>
      </c>
      <c r="W31" s="161">
        <f>VLOOKUP(U31,Worldprices!$B$49:$AN$92,INPUTtoVEDA_Coal!AK31,FALSE)</f>
        <v>1.8576827947124417</v>
      </c>
      <c r="X31" s="161"/>
      <c r="Y31" s="108" t="str">
        <f t="shared" si="11"/>
        <v>COST</v>
      </c>
      <c r="Z31" s="126">
        <v>2042</v>
      </c>
      <c r="AA31" s="108" t="str">
        <f t="shared" si="12"/>
        <v>IMPCOACOC0*</v>
      </c>
      <c r="AB31" s="108" t="str">
        <f t="shared" si="13"/>
        <v>*COACOC</v>
      </c>
      <c r="AC31" s="161">
        <f>VLOOKUP(AA31,Worldprices!$B$49:$AN$92,INPUTtoVEDA_Coal!AK31,FALSE)</f>
        <v>2.4834285781945278</v>
      </c>
      <c r="AD31" s="161"/>
      <c r="AE31" s="108" t="str">
        <f t="shared" si="14"/>
        <v>COST</v>
      </c>
      <c r="AF31" s="126">
        <v>2042</v>
      </c>
      <c r="AG31" s="108" t="e">
        <f t="shared" si="15"/>
        <v>#REF!</v>
      </c>
      <c r="AH31" s="108" t="e">
        <f t="shared" si="16"/>
        <v>#REF!</v>
      </c>
      <c r="AI31" s="161" t="e">
        <f>VLOOKUP(AG31,Worldprices!$B$49:$AN$92,INPUTtoVEDA_Coal!AK31,FALSE)</f>
        <v>#REF!</v>
      </c>
      <c r="AJ31" s="161"/>
      <c r="AK31" s="108">
        <f t="shared" si="17"/>
        <v>31</v>
      </c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</row>
    <row r="32" spans="1:73" hidden="1" x14ac:dyDescent="0.25">
      <c r="A32" s="108" t="str">
        <f t="shared" si="0"/>
        <v>COST</v>
      </c>
      <c r="B32" s="126">
        <v>2043</v>
      </c>
      <c r="C32" s="108" t="str">
        <f t="shared" si="1"/>
        <v>IMPCOABIC0*</v>
      </c>
      <c r="D32" s="108" t="str">
        <f t="shared" si="2"/>
        <v>*COABIC</v>
      </c>
      <c r="E32" s="161">
        <f>VLOOKUP(C32,Worldprices!$B$49:$AN$92,INPUTtoVEDA_Coal!AK32,FALSE)</f>
        <v>1.9261237397807949</v>
      </c>
      <c r="F32" s="161"/>
      <c r="G32" s="108" t="str">
        <f t="shared" si="3"/>
        <v>COST</v>
      </c>
      <c r="H32" s="126">
        <v>2043</v>
      </c>
      <c r="I32" s="108" t="str">
        <f t="shared" si="4"/>
        <v>IMPCOASUB0*</v>
      </c>
      <c r="J32" s="108" t="str">
        <f t="shared" si="5"/>
        <v>*COASUB</v>
      </c>
      <c r="K32" s="161">
        <f>VLOOKUP(I32,Worldprices!$B$49:$AN$92,INPUTtoVEDA_Coal!AK32,FALSE)</f>
        <v>1.9261237397807949</v>
      </c>
      <c r="L32" s="161"/>
      <c r="M32" s="108" t="str">
        <f t="shared" si="6"/>
        <v>COST</v>
      </c>
      <c r="N32" s="126">
        <v>2043</v>
      </c>
      <c r="O32" s="108" t="str">
        <f t="shared" si="18"/>
        <v>IMPCOABCO0*</v>
      </c>
      <c r="P32" s="108" t="str">
        <f t="shared" si="18"/>
        <v>*COABCO</v>
      </c>
      <c r="Q32" s="161">
        <f>VLOOKUP(O32,Worldprices!$B$49:$AN$92,INPUTtoVEDA_Coal!AK32,FALSE)</f>
        <v>1.8298175527917551</v>
      </c>
      <c r="R32" s="161"/>
      <c r="S32" s="108" t="str">
        <f t="shared" si="8"/>
        <v>COST</v>
      </c>
      <c r="T32" s="126">
        <v>2043</v>
      </c>
      <c r="U32" s="108" t="str">
        <f t="shared" si="9"/>
        <v>IMPCOABKB0*</v>
      </c>
      <c r="V32" s="108" t="str">
        <f t="shared" si="10"/>
        <v>*COABKB</v>
      </c>
      <c r="W32" s="161">
        <f>VLOOKUP(U32,Worldprices!$B$49:$AN$92,INPUTtoVEDA_Coal!AK32,FALSE)</f>
        <v>1.8298175527917551</v>
      </c>
      <c r="X32" s="161"/>
      <c r="Y32" s="108" t="str">
        <f t="shared" si="11"/>
        <v>COST</v>
      </c>
      <c r="Z32" s="126">
        <v>2043</v>
      </c>
      <c r="AA32" s="108" t="str">
        <f t="shared" si="12"/>
        <v>IMPCOACOC0*</v>
      </c>
      <c r="AB32" s="108" t="str">
        <f t="shared" si="13"/>
        <v>*COACOC</v>
      </c>
      <c r="AC32" s="161">
        <f>VLOOKUP(AA32,Worldprices!$B$49:$AN$92,INPUTtoVEDA_Coal!AK32,FALSE)</f>
        <v>2.4461771495216094</v>
      </c>
      <c r="AD32" s="161"/>
      <c r="AE32" s="108" t="str">
        <f t="shared" si="14"/>
        <v>COST</v>
      </c>
      <c r="AF32" s="126">
        <v>2043</v>
      </c>
      <c r="AG32" s="108" t="e">
        <f t="shared" si="15"/>
        <v>#REF!</v>
      </c>
      <c r="AH32" s="108" t="e">
        <f t="shared" si="16"/>
        <v>#REF!</v>
      </c>
      <c r="AI32" s="161" t="e">
        <f>VLOOKUP(AG32,Worldprices!$B$49:$AN$92,INPUTtoVEDA_Coal!AK32,FALSE)</f>
        <v>#REF!</v>
      </c>
      <c r="AJ32" s="161"/>
      <c r="AK32" s="108">
        <f t="shared" si="17"/>
        <v>32</v>
      </c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</row>
    <row r="33" spans="1:84" hidden="1" x14ac:dyDescent="0.25">
      <c r="A33" s="108" t="str">
        <f t="shared" si="0"/>
        <v>COST</v>
      </c>
      <c r="B33" s="126">
        <v>2044</v>
      </c>
      <c r="C33" s="108" t="str">
        <f t="shared" si="1"/>
        <v>IMPCOABIC0*</v>
      </c>
      <c r="D33" s="108" t="str">
        <f t="shared" si="2"/>
        <v>*COABIC</v>
      </c>
      <c r="E33" s="161">
        <f>VLOOKUP(C33,Worldprices!$B$49:$AN$92,INPUTtoVEDA_Coal!AK33,FALSE)</f>
        <v>1.8972318836840829</v>
      </c>
      <c r="F33" s="161"/>
      <c r="G33" s="108" t="str">
        <f t="shared" si="3"/>
        <v>COST</v>
      </c>
      <c r="H33" s="126">
        <v>2044</v>
      </c>
      <c r="I33" s="108" t="str">
        <f t="shared" si="4"/>
        <v>IMPCOASUB0*</v>
      </c>
      <c r="J33" s="108" t="str">
        <f t="shared" si="5"/>
        <v>*COASUB</v>
      </c>
      <c r="K33" s="161">
        <f>VLOOKUP(I33,Worldprices!$B$49:$AN$92,INPUTtoVEDA_Coal!AK33,FALSE)</f>
        <v>1.8972318836840829</v>
      </c>
      <c r="L33" s="161"/>
      <c r="M33" s="108" t="str">
        <f t="shared" si="6"/>
        <v>COST</v>
      </c>
      <c r="N33" s="126">
        <v>2044</v>
      </c>
      <c r="O33" s="108" t="str">
        <f t="shared" si="18"/>
        <v>IMPCOABCO0*</v>
      </c>
      <c r="P33" s="108" t="str">
        <f t="shared" si="18"/>
        <v>*COABCO</v>
      </c>
      <c r="Q33" s="161">
        <f>VLOOKUP(O33,Worldprices!$B$49:$AN$92,INPUTtoVEDA_Coal!AK33,FALSE)</f>
        <v>1.8023702894998788</v>
      </c>
      <c r="R33" s="161"/>
      <c r="S33" s="108" t="str">
        <f t="shared" si="8"/>
        <v>COST</v>
      </c>
      <c r="T33" s="126">
        <v>2044</v>
      </c>
      <c r="U33" s="108" t="str">
        <f t="shared" si="9"/>
        <v>IMPCOABKB0*</v>
      </c>
      <c r="V33" s="108" t="str">
        <f t="shared" si="10"/>
        <v>*COABKB</v>
      </c>
      <c r="W33" s="161">
        <f>VLOOKUP(U33,Worldprices!$B$49:$AN$92,INPUTtoVEDA_Coal!AK33,FALSE)</f>
        <v>1.8023702894998788</v>
      </c>
      <c r="X33" s="161"/>
      <c r="Y33" s="108" t="str">
        <f t="shared" si="11"/>
        <v>COST</v>
      </c>
      <c r="Z33" s="126">
        <v>2044</v>
      </c>
      <c r="AA33" s="108" t="str">
        <f t="shared" si="12"/>
        <v>IMPCOACOC0*</v>
      </c>
      <c r="AB33" s="108" t="str">
        <f t="shared" si="13"/>
        <v>*COACOC</v>
      </c>
      <c r="AC33" s="161">
        <f>VLOOKUP(AA33,Worldprices!$B$49:$AN$92,INPUTtoVEDA_Coal!AK33,FALSE)</f>
        <v>2.4094844922787853</v>
      </c>
      <c r="AD33" s="161"/>
      <c r="AE33" s="108" t="str">
        <f t="shared" si="14"/>
        <v>COST</v>
      </c>
      <c r="AF33" s="126">
        <v>2044</v>
      </c>
      <c r="AG33" s="108" t="e">
        <f t="shared" si="15"/>
        <v>#REF!</v>
      </c>
      <c r="AH33" s="108" t="e">
        <f t="shared" si="16"/>
        <v>#REF!</v>
      </c>
      <c r="AI33" s="161" t="e">
        <f>VLOOKUP(AG33,Worldprices!$B$49:$AN$92,INPUTtoVEDA_Coal!AK33,FALSE)</f>
        <v>#REF!</v>
      </c>
      <c r="AJ33" s="161"/>
      <c r="AK33" s="108">
        <f t="shared" si="17"/>
        <v>33</v>
      </c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</row>
    <row r="34" spans="1:84" x14ac:dyDescent="0.25">
      <c r="A34" s="108" t="str">
        <f t="shared" si="0"/>
        <v>COST</v>
      </c>
      <c r="B34" s="126">
        <v>2045</v>
      </c>
      <c r="C34" s="108" t="str">
        <f t="shared" si="1"/>
        <v>IMPCOABIC0*</v>
      </c>
      <c r="D34" s="108" t="str">
        <f t="shared" si="2"/>
        <v>*COABIC</v>
      </c>
      <c r="E34" s="161">
        <f>VLOOKUP(C34,Worldprices!$B$49:$AN$92,INPUTtoVEDA_Coal!AK34,FALSE)</f>
        <v>1.8687734054288216</v>
      </c>
      <c r="F34" s="161"/>
      <c r="G34" s="108" t="str">
        <f t="shared" si="3"/>
        <v>COST</v>
      </c>
      <c r="H34" s="126">
        <v>2045</v>
      </c>
      <c r="I34" s="108" t="str">
        <f t="shared" si="4"/>
        <v>IMPCOASUB0*</v>
      </c>
      <c r="J34" s="108" t="str">
        <f t="shared" si="5"/>
        <v>*COASUB</v>
      </c>
      <c r="K34" s="161">
        <f>VLOOKUP(I34,Worldprices!$B$49:$AN$92,INPUTtoVEDA_Coal!AK34,FALSE)</f>
        <v>1.8687734054288216</v>
      </c>
      <c r="L34" s="161"/>
      <c r="M34" s="108" t="str">
        <f t="shared" si="6"/>
        <v>COST</v>
      </c>
      <c r="N34" s="126">
        <v>2045</v>
      </c>
      <c r="O34" s="108" t="str">
        <f t="shared" si="18"/>
        <v>IMPCOABCO0*</v>
      </c>
      <c r="P34" s="108" t="str">
        <f t="shared" si="18"/>
        <v>*COABCO</v>
      </c>
      <c r="Q34" s="161">
        <f>VLOOKUP(O34,Worldprices!$B$49:$AN$92,INPUTtoVEDA_Coal!AK34,FALSE)</f>
        <v>1.7753347351573805</v>
      </c>
      <c r="R34" s="161"/>
      <c r="S34" s="108" t="str">
        <f t="shared" si="8"/>
        <v>COST</v>
      </c>
      <c r="T34" s="126">
        <v>2045</v>
      </c>
      <c r="U34" s="108" t="str">
        <f t="shared" si="9"/>
        <v>IMPCOABKB0*</v>
      </c>
      <c r="V34" s="108" t="str">
        <f t="shared" si="10"/>
        <v>*COABKB</v>
      </c>
      <c r="W34" s="161">
        <f>VLOOKUP(U34,Worldprices!$B$49:$AN$92,INPUTtoVEDA_Coal!AK34,FALSE)</f>
        <v>1.7753347351573805</v>
      </c>
      <c r="X34" s="161"/>
      <c r="Y34" s="108" t="str">
        <f t="shared" si="11"/>
        <v>COST</v>
      </c>
      <c r="Z34" s="126">
        <v>2045</v>
      </c>
      <c r="AA34" s="108" t="str">
        <f t="shared" si="12"/>
        <v>IMPCOACOC0*</v>
      </c>
      <c r="AB34" s="108" t="str">
        <f t="shared" si="13"/>
        <v>*COACOC</v>
      </c>
      <c r="AC34" s="161">
        <f>VLOOKUP(AA34,Worldprices!$B$49:$AN$92,INPUTtoVEDA_Coal!AK34,FALSE)</f>
        <v>2.3733422248946034</v>
      </c>
      <c r="AD34" s="161"/>
      <c r="AE34" s="108" t="str">
        <f t="shared" si="14"/>
        <v>COST</v>
      </c>
      <c r="AF34" s="126">
        <v>2045</v>
      </c>
      <c r="AG34" s="108" t="e">
        <f t="shared" si="15"/>
        <v>#REF!</v>
      </c>
      <c r="AH34" s="108" t="e">
        <f t="shared" si="16"/>
        <v>#REF!</v>
      </c>
      <c r="AI34" s="161" t="e">
        <f>VLOOKUP(AG34,Worldprices!$B$49:$AN$92,INPUTtoVEDA_Coal!AK34,FALSE)</f>
        <v>#REF!</v>
      </c>
      <c r="AJ34" s="161"/>
      <c r="AK34" s="108">
        <f t="shared" si="17"/>
        <v>34</v>
      </c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</row>
    <row r="35" spans="1:84" hidden="1" x14ac:dyDescent="0.25">
      <c r="A35" s="108" t="str">
        <f t="shared" si="0"/>
        <v>COST</v>
      </c>
      <c r="B35" s="126">
        <v>2046</v>
      </c>
      <c r="C35" s="108" t="str">
        <f t="shared" si="1"/>
        <v>IMPCOABIC0*</v>
      </c>
      <c r="D35" s="108" t="str">
        <f t="shared" si="2"/>
        <v>*COABIC</v>
      </c>
      <c r="E35" s="161">
        <f>VLOOKUP(C35,Worldprices!$B$49:$AN$92,INPUTtoVEDA_Coal!AK35,FALSE)</f>
        <v>1.8407418043473893</v>
      </c>
      <c r="F35" s="161"/>
      <c r="G35" s="108" t="str">
        <f t="shared" si="3"/>
        <v>COST</v>
      </c>
      <c r="H35" s="126">
        <v>2046</v>
      </c>
      <c r="I35" s="108" t="str">
        <f t="shared" si="4"/>
        <v>IMPCOASUB0*</v>
      </c>
      <c r="J35" s="108" t="str">
        <f t="shared" si="5"/>
        <v>*COASUB</v>
      </c>
      <c r="K35" s="161">
        <f>VLOOKUP(I35,Worldprices!$B$49:$AN$92,INPUTtoVEDA_Coal!AK35,FALSE)</f>
        <v>1.8407418043473893</v>
      </c>
      <c r="L35" s="161"/>
      <c r="M35" s="108" t="str">
        <f t="shared" si="6"/>
        <v>COST</v>
      </c>
      <c r="N35" s="126">
        <v>2046</v>
      </c>
      <c r="O35" s="108" t="str">
        <f t="shared" si="18"/>
        <v>IMPCOABCO0*</v>
      </c>
      <c r="P35" s="108" t="str">
        <f t="shared" si="18"/>
        <v>*COABCO</v>
      </c>
      <c r="Q35" s="161">
        <f>VLOOKUP(O35,Worldprices!$B$49:$AN$92,INPUTtoVEDA_Coal!AK35,FALSE)</f>
        <v>1.7487047141300198</v>
      </c>
      <c r="R35" s="161"/>
      <c r="S35" s="108" t="str">
        <f t="shared" si="8"/>
        <v>COST</v>
      </c>
      <c r="T35" s="126">
        <v>2046</v>
      </c>
      <c r="U35" s="108" t="str">
        <f t="shared" si="9"/>
        <v>IMPCOABKB0*</v>
      </c>
      <c r="V35" s="108" t="str">
        <f t="shared" si="10"/>
        <v>*COABKB</v>
      </c>
      <c r="W35" s="161">
        <f>VLOOKUP(U35,Worldprices!$B$49:$AN$92,INPUTtoVEDA_Coal!AK35,FALSE)</f>
        <v>1.7487047141300198</v>
      </c>
      <c r="X35" s="161"/>
      <c r="Y35" s="108" t="str">
        <f t="shared" si="11"/>
        <v>COST</v>
      </c>
      <c r="Z35" s="126">
        <v>2046</v>
      </c>
      <c r="AA35" s="108" t="str">
        <f t="shared" si="12"/>
        <v>IMPCOACOC0*</v>
      </c>
      <c r="AB35" s="108" t="str">
        <f t="shared" si="13"/>
        <v>*COACOC</v>
      </c>
      <c r="AC35" s="161">
        <f>VLOOKUP(AA35,Worldprices!$B$49:$AN$92,INPUTtoVEDA_Coal!AK35,FALSE)</f>
        <v>2.3377420915211844</v>
      </c>
      <c r="AD35" s="161"/>
      <c r="AE35" s="108" t="str">
        <f t="shared" si="14"/>
        <v>COST</v>
      </c>
      <c r="AF35" s="126">
        <v>2046</v>
      </c>
      <c r="AG35" s="108" t="e">
        <f t="shared" si="15"/>
        <v>#REF!</v>
      </c>
      <c r="AH35" s="108" t="e">
        <f t="shared" si="16"/>
        <v>#REF!</v>
      </c>
      <c r="AI35" s="161" t="e">
        <f>VLOOKUP(AG35,Worldprices!$B$49:$AN$92,INPUTtoVEDA_Coal!AK35,FALSE)</f>
        <v>#REF!</v>
      </c>
      <c r="AJ35" s="161"/>
      <c r="AK35" s="108">
        <f t="shared" si="17"/>
        <v>35</v>
      </c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</row>
    <row r="36" spans="1:84" hidden="1" x14ac:dyDescent="0.25">
      <c r="A36" s="108" t="str">
        <f t="shared" si="0"/>
        <v>COST</v>
      </c>
      <c r="B36" s="126">
        <v>2047</v>
      </c>
      <c r="C36" s="108" t="str">
        <f t="shared" si="1"/>
        <v>IMPCOABIC0*</v>
      </c>
      <c r="D36" s="108" t="str">
        <f t="shared" si="2"/>
        <v>*COABIC</v>
      </c>
      <c r="E36" s="161">
        <f>VLOOKUP(C36,Worldprices!$B$49:$AN$92,INPUTtoVEDA_Coal!AK36,FALSE)</f>
        <v>1.8131306772821785</v>
      </c>
      <c r="F36" s="161"/>
      <c r="G36" s="108" t="str">
        <f t="shared" si="3"/>
        <v>COST</v>
      </c>
      <c r="H36" s="126">
        <v>2047</v>
      </c>
      <c r="I36" s="108" t="str">
        <f t="shared" si="4"/>
        <v>IMPCOASUB0*</v>
      </c>
      <c r="J36" s="108" t="str">
        <f t="shared" si="5"/>
        <v>*COASUB</v>
      </c>
      <c r="K36" s="161">
        <f>VLOOKUP(I36,Worldprices!$B$49:$AN$92,INPUTtoVEDA_Coal!AK36,FALSE)</f>
        <v>1.8131306772821785</v>
      </c>
      <c r="L36" s="161"/>
      <c r="M36" s="108" t="str">
        <f t="shared" si="6"/>
        <v>COST</v>
      </c>
      <c r="N36" s="126">
        <v>2047</v>
      </c>
      <c r="O36" s="108" t="str">
        <f t="shared" si="18"/>
        <v>IMPCOABCO0*</v>
      </c>
      <c r="P36" s="108" t="str">
        <f t="shared" si="18"/>
        <v>*COABCO</v>
      </c>
      <c r="Q36" s="161">
        <f>VLOOKUP(O36,Worldprices!$B$49:$AN$92,INPUTtoVEDA_Coal!AK36,FALSE)</f>
        <v>1.7224741434180695</v>
      </c>
      <c r="R36" s="161"/>
      <c r="S36" s="108" t="str">
        <f t="shared" si="8"/>
        <v>COST</v>
      </c>
      <c r="T36" s="126">
        <v>2047</v>
      </c>
      <c r="U36" s="108" t="str">
        <f t="shared" si="9"/>
        <v>IMPCOABKB0*</v>
      </c>
      <c r="V36" s="108" t="str">
        <f t="shared" si="10"/>
        <v>*COABKB</v>
      </c>
      <c r="W36" s="161">
        <f>VLOOKUP(U36,Worldprices!$B$49:$AN$92,INPUTtoVEDA_Coal!AK36,FALSE)</f>
        <v>1.7224741434180695</v>
      </c>
      <c r="X36" s="161"/>
      <c r="Y36" s="108" t="str">
        <f t="shared" si="11"/>
        <v>COST</v>
      </c>
      <c r="Z36" s="126">
        <v>2047</v>
      </c>
      <c r="AA36" s="108" t="str">
        <f t="shared" si="12"/>
        <v>IMPCOACOC0*</v>
      </c>
      <c r="AB36" s="108" t="str">
        <f t="shared" si="13"/>
        <v>*COACOC</v>
      </c>
      <c r="AC36" s="161">
        <f>VLOOKUP(AA36,Worldprices!$B$49:$AN$92,INPUTtoVEDA_Coal!AK36,FALSE)</f>
        <v>2.3026759601483668</v>
      </c>
      <c r="AD36" s="161"/>
      <c r="AE36" s="108" t="str">
        <f t="shared" si="14"/>
        <v>COST</v>
      </c>
      <c r="AF36" s="126">
        <v>2047</v>
      </c>
      <c r="AG36" s="108" t="e">
        <f t="shared" si="15"/>
        <v>#REF!</v>
      </c>
      <c r="AH36" s="108" t="e">
        <f t="shared" si="16"/>
        <v>#REF!</v>
      </c>
      <c r="AI36" s="161" t="e">
        <f>VLOOKUP(AG36,Worldprices!$B$49:$AN$92,INPUTtoVEDA_Coal!AK36,FALSE)</f>
        <v>#REF!</v>
      </c>
      <c r="AJ36" s="161"/>
      <c r="AK36" s="108">
        <f t="shared" si="17"/>
        <v>36</v>
      </c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</row>
    <row r="37" spans="1:84" hidden="1" x14ac:dyDescent="0.25">
      <c r="A37" s="108" t="str">
        <f t="shared" si="0"/>
        <v>COST</v>
      </c>
      <c r="B37" s="126">
        <v>2048</v>
      </c>
      <c r="C37" s="108" t="str">
        <f t="shared" si="1"/>
        <v>IMPCOABIC0*</v>
      </c>
      <c r="D37" s="108" t="str">
        <f t="shared" si="2"/>
        <v>*COABIC</v>
      </c>
      <c r="E37" s="161">
        <f>VLOOKUP(C37,Worldprices!$B$49:$AN$92,INPUTtoVEDA_Coal!AK37,FALSE)</f>
        <v>1.7859337171229457</v>
      </c>
      <c r="F37" s="161"/>
      <c r="G37" s="108" t="str">
        <f t="shared" si="3"/>
        <v>COST</v>
      </c>
      <c r="H37" s="126">
        <v>2048</v>
      </c>
      <c r="I37" s="108" t="str">
        <f t="shared" si="4"/>
        <v>IMPCOASUB0*</v>
      </c>
      <c r="J37" s="108" t="str">
        <f t="shared" si="5"/>
        <v>*COASUB</v>
      </c>
      <c r="K37" s="161">
        <f>VLOOKUP(I37,Worldprices!$B$49:$AN$92,INPUTtoVEDA_Coal!AK37,FALSE)</f>
        <v>1.7859337171229457</v>
      </c>
      <c r="L37" s="161"/>
      <c r="M37" s="108" t="str">
        <f t="shared" si="6"/>
        <v>COST</v>
      </c>
      <c r="N37" s="126">
        <v>2048</v>
      </c>
      <c r="O37" s="108" t="str">
        <f t="shared" si="18"/>
        <v>IMPCOABCO0*</v>
      </c>
      <c r="P37" s="108" t="str">
        <f t="shared" si="18"/>
        <v>*COABCO</v>
      </c>
      <c r="Q37" s="161">
        <f>VLOOKUP(O37,Worldprices!$B$49:$AN$92,INPUTtoVEDA_Coal!AK37,FALSE)</f>
        <v>1.6966370312667982</v>
      </c>
      <c r="R37" s="161"/>
      <c r="S37" s="108" t="str">
        <f t="shared" si="8"/>
        <v>COST</v>
      </c>
      <c r="T37" s="126">
        <v>2048</v>
      </c>
      <c r="U37" s="108" t="str">
        <f t="shared" si="9"/>
        <v>IMPCOABKB0*</v>
      </c>
      <c r="V37" s="108" t="str">
        <f t="shared" si="10"/>
        <v>*COABKB</v>
      </c>
      <c r="W37" s="161">
        <f>VLOOKUP(U37,Worldprices!$B$49:$AN$92,INPUTtoVEDA_Coal!AK37,FALSE)</f>
        <v>1.6966370312667982</v>
      </c>
      <c r="X37" s="161"/>
      <c r="Y37" s="108" t="str">
        <f t="shared" si="11"/>
        <v>COST</v>
      </c>
      <c r="Z37" s="126">
        <v>2048</v>
      </c>
      <c r="AA37" s="108" t="str">
        <f t="shared" si="12"/>
        <v>IMPCOACOC0*</v>
      </c>
      <c r="AB37" s="108" t="str">
        <f t="shared" si="13"/>
        <v>*COACOC</v>
      </c>
      <c r="AC37" s="161">
        <f>VLOOKUP(AA37,Worldprices!$B$49:$AN$92,INPUTtoVEDA_Coal!AK37,FALSE)</f>
        <v>2.2681358207461408</v>
      </c>
      <c r="AD37" s="161"/>
      <c r="AE37" s="108" t="str">
        <f t="shared" si="14"/>
        <v>COST</v>
      </c>
      <c r="AF37" s="126">
        <v>2048</v>
      </c>
      <c r="AG37" s="108" t="e">
        <f t="shared" si="15"/>
        <v>#REF!</v>
      </c>
      <c r="AH37" s="108" t="e">
        <f t="shared" si="16"/>
        <v>#REF!</v>
      </c>
      <c r="AI37" s="161" t="e">
        <f>VLOOKUP(AG37,Worldprices!$B$49:$AN$92,INPUTtoVEDA_Coal!AK37,FALSE)</f>
        <v>#REF!</v>
      </c>
      <c r="AJ37" s="161"/>
      <c r="AK37" s="108">
        <f t="shared" si="17"/>
        <v>37</v>
      </c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</row>
    <row r="38" spans="1:84" hidden="1" x14ac:dyDescent="0.25">
      <c r="A38" s="108" t="str">
        <f t="shared" si="0"/>
        <v>COST</v>
      </c>
      <c r="B38" s="126">
        <v>2049</v>
      </c>
      <c r="C38" s="108" t="str">
        <f t="shared" si="1"/>
        <v>IMPCOABIC0*</v>
      </c>
      <c r="D38" s="108" t="str">
        <f t="shared" si="2"/>
        <v>*COABIC</v>
      </c>
      <c r="E38" s="161">
        <f>VLOOKUP(C38,Worldprices!$B$49:$AN$92,INPUTtoVEDA_Coal!AK38,FALSE)</f>
        <v>1.7591447113661014</v>
      </c>
      <c r="F38" s="161"/>
      <c r="G38" s="108" t="str">
        <f t="shared" si="3"/>
        <v>COST</v>
      </c>
      <c r="H38" s="126">
        <v>2049</v>
      </c>
      <c r="I38" s="108" t="str">
        <f t="shared" si="4"/>
        <v>IMPCOASUB0*</v>
      </c>
      <c r="J38" s="108" t="str">
        <f t="shared" si="5"/>
        <v>*COASUB</v>
      </c>
      <c r="K38" s="161">
        <f>VLOOKUP(I38,Worldprices!$B$49:$AN$92,INPUTtoVEDA_Coal!AK38,FALSE)</f>
        <v>1.7591447113661014</v>
      </c>
      <c r="L38" s="161"/>
      <c r="M38" s="108" t="str">
        <f t="shared" si="6"/>
        <v>COST</v>
      </c>
      <c r="N38" s="126">
        <v>2049</v>
      </c>
      <c r="O38" s="108" t="str">
        <f t="shared" si="18"/>
        <v>IMPCOABCO0*</v>
      </c>
      <c r="P38" s="108" t="str">
        <f t="shared" si="18"/>
        <v>*COABCO</v>
      </c>
      <c r="Q38" s="161">
        <f>VLOOKUP(O38,Worldprices!$B$49:$AN$92,INPUTtoVEDA_Coal!AK38,FALSE)</f>
        <v>1.6711874757977963</v>
      </c>
      <c r="R38" s="161"/>
      <c r="S38" s="108" t="str">
        <f t="shared" si="8"/>
        <v>COST</v>
      </c>
      <c r="T38" s="126">
        <v>2049</v>
      </c>
      <c r="U38" s="108" t="str">
        <f t="shared" si="9"/>
        <v>IMPCOABKB0*</v>
      </c>
      <c r="V38" s="108" t="str">
        <f t="shared" si="10"/>
        <v>*COABKB</v>
      </c>
      <c r="W38" s="161">
        <f>VLOOKUP(U38,Worldprices!$B$49:$AN$92,INPUTtoVEDA_Coal!AK38,FALSE)</f>
        <v>1.6711874757977963</v>
      </c>
      <c r="X38" s="161"/>
      <c r="Y38" s="108" t="str">
        <f t="shared" si="11"/>
        <v>COST</v>
      </c>
      <c r="Z38" s="126">
        <v>2049</v>
      </c>
      <c r="AA38" s="108" t="str">
        <f t="shared" si="12"/>
        <v>IMPCOACOC0*</v>
      </c>
      <c r="AB38" s="108" t="str">
        <f t="shared" si="13"/>
        <v>*COACOC</v>
      </c>
      <c r="AC38" s="161">
        <f>VLOOKUP(AA38,Worldprices!$B$49:$AN$92,INPUTtoVEDA_Coal!AK38,FALSE)</f>
        <v>2.2341137834349487</v>
      </c>
      <c r="AD38" s="161"/>
      <c r="AE38" s="108" t="str">
        <f t="shared" si="14"/>
        <v>COST</v>
      </c>
      <c r="AF38" s="126">
        <v>2049</v>
      </c>
      <c r="AG38" s="108" t="e">
        <f t="shared" si="15"/>
        <v>#REF!</v>
      </c>
      <c r="AH38" s="108" t="e">
        <f t="shared" si="16"/>
        <v>#REF!</v>
      </c>
      <c r="AI38" s="161" t="e">
        <f>VLOOKUP(AG38,Worldprices!$B$49:$AN$92,INPUTtoVEDA_Coal!AK38,FALSE)</f>
        <v>#REF!</v>
      </c>
      <c r="AJ38" s="161"/>
      <c r="AK38" s="108">
        <f t="shared" si="17"/>
        <v>38</v>
      </c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</row>
    <row r="39" spans="1:84" x14ac:dyDescent="0.25">
      <c r="A39" s="108" t="str">
        <f t="shared" si="0"/>
        <v>COST</v>
      </c>
      <c r="B39" s="126">
        <v>2050</v>
      </c>
      <c r="C39" s="108" t="str">
        <f t="shared" si="1"/>
        <v>IMPCOABIC0*</v>
      </c>
      <c r="D39" s="108" t="str">
        <f t="shared" si="2"/>
        <v>*COABIC</v>
      </c>
      <c r="E39" s="161">
        <f>VLOOKUP(C39,Worldprices!$B$49:$AN$92,INPUTtoVEDA_Coal!AK39,FALSE)</f>
        <v>1.7591447113661014</v>
      </c>
      <c r="F39" s="161"/>
      <c r="G39" s="108" t="str">
        <f t="shared" si="3"/>
        <v>COST</v>
      </c>
      <c r="H39" s="126">
        <v>2050</v>
      </c>
      <c r="I39" s="108" t="str">
        <f t="shared" si="4"/>
        <v>IMPCOASUB0*</v>
      </c>
      <c r="J39" s="108" t="str">
        <f t="shared" si="5"/>
        <v>*COASUB</v>
      </c>
      <c r="K39" s="161">
        <f>VLOOKUP(I39,Worldprices!$B$49:$AN$92,INPUTtoVEDA_Coal!AK39,FALSE)</f>
        <v>1.7591447113661014</v>
      </c>
      <c r="L39" s="161"/>
      <c r="M39" s="108" t="str">
        <f t="shared" si="6"/>
        <v>COST</v>
      </c>
      <c r="N39" s="126">
        <v>2050</v>
      </c>
      <c r="O39" s="108" t="str">
        <f t="shared" si="18"/>
        <v>IMPCOABCO0*</v>
      </c>
      <c r="P39" s="108" t="str">
        <f t="shared" si="18"/>
        <v>*COABCO</v>
      </c>
      <c r="Q39" s="161">
        <f>VLOOKUP(O39,Worldprices!$B$49:$AN$92,INPUTtoVEDA_Coal!AK39,FALSE)</f>
        <v>1.6711874757977963</v>
      </c>
      <c r="R39" s="161"/>
      <c r="S39" s="108" t="str">
        <f t="shared" si="8"/>
        <v>COST</v>
      </c>
      <c r="T39" s="126">
        <v>2050</v>
      </c>
      <c r="U39" s="108" t="str">
        <f t="shared" si="9"/>
        <v>IMPCOABKB0*</v>
      </c>
      <c r="V39" s="108" t="str">
        <f t="shared" si="10"/>
        <v>*COABKB</v>
      </c>
      <c r="W39" s="161">
        <f>VLOOKUP(U39,Worldprices!$B$49:$AN$92,INPUTtoVEDA_Coal!AK39,FALSE)</f>
        <v>1.6711874757977963</v>
      </c>
      <c r="X39" s="161"/>
      <c r="Y39" s="108" t="str">
        <f t="shared" si="11"/>
        <v>COST</v>
      </c>
      <c r="Z39" s="126">
        <v>2050</v>
      </c>
      <c r="AA39" s="108" t="str">
        <f t="shared" si="12"/>
        <v>IMPCOACOC0*</v>
      </c>
      <c r="AB39" s="108" t="str">
        <f t="shared" si="13"/>
        <v>*COACOC</v>
      </c>
      <c r="AC39" s="161">
        <f>VLOOKUP(AA39,Worldprices!$B$49:$AN$92,INPUTtoVEDA_Coal!AK39,FALSE)</f>
        <v>2.2341137834349487</v>
      </c>
      <c r="AD39" s="161"/>
      <c r="AE39" s="108" t="str">
        <f t="shared" si="14"/>
        <v>COST</v>
      </c>
      <c r="AF39" s="126">
        <v>2050</v>
      </c>
      <c r="AG39" s="108" t="e">
        <f t="shared" si="15"/>
        <v>#REF!</v>
      </c>
      <c r="AH39" s="108" t="e">
        <f t="shared" si="16"/>
        <v>#REF!</v>
      </c>
      <c r="AI39" s="161" t="e">
        <f>VLOOKUP(AG39,Worldprices!$B$49:$AN$92,INPUTtoVEDA_Coal!AK39,FALSE)</f>
        <v>#REF!</v>
      </c>
      <c r="AJ39" s="161"/>
      <c r="AK39" s="108">
        <f t="shared" si="17"/>
        <v>39</v>
      </c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</row>
    <row r="40" spans="1:84" x14ac:dyDescent="0.25"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</row>
    <row r="41" spans="1:84" x14ac:dyDescent="0.25">
      <c r="BV41" s="108"/>
    </row>
    <row r="43" spans="1:84" ht="17.399999999999999" x14ac:dyDescent="0.3">
      <c r="A43" s="111" t="s">
        <v>152</v>
      </c>
      <c r="B43" s="111"/>
      <c r="C43" s="162"/>
      <c r="D43" s="162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</row>
    <row r="44" spans="1:84" x14ac:dyDescent="0.25">
      <c r="A44" s="125"/>
      <c r="B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</row>
    <row r="45" spans="1:84" x14ac:dyDescent="0.25">
      <c r="B45" s="125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08"/>
    </row>
    <row r="46" spans="1:84" x14ac:dyDescent="0.25">
      <c r="A46" s="109" t="s">
        <v>47</v>
      </c>
      <c r="C46" s="125"/>
      <c r="G46" s="109" t="s">
        <v>47</v>
      </c>
      <c r="I46" s="125"/>
      <c r="M46" s="109" t="s">
        <v>47</v>
      </c>
      <c r="O46" s="125"/>
      <c r="S46" s="109" t="s">
        <v>47</v>
      </c>
      <c r="U46" s="125"/>
      <c r="Y46" s="109" t="s">
        <v>47</v>
      </c>
      <c r="AA46" s="125"/>
      <c r="AE46" s="109"/>
      <c r="AG46" s="125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</row>
    <row r="47" spans="1:84" ht="13.8" x14ac:dyDescent="0.25">
      <c r="A47" s="157" t="s">
        <v>40</v>
      </c>
      <c r="B47" s="157" t="s">
        <v>41</v>
      </c>
      <c r="C47" s="158" t="s">
        <v>42</v>
      </c>
      <c r="D47" s="157" t="s">
        <v>43</v>
      </c>
      <c r="E47" s="157" t="s">
        <v>149</v>
      </c>
      <c r="F47" s="159"/>
      <c r="G47" s="157" t="s">
        <v>40</v>
      </c>
      <c r="H47" s="157" t="s">
        <v>41</v>
      </c>
      <c r="I47" s="158" t="s">
        <v>42</v>
      </c>
      <c r="J47" s="157" t="s">
        <v>43</v>
      </c>
      <c r="K47" s="157" t="s">
        <v>149</v>
      </c>
      <c r="L47" s="159"/>
      <c r="M47" s="157" t="s">
        <v>40</v>
      </c>
      <c r="N47" s="157" t="s">
        <v>41</v>
      </c>
      <c r="O47" s="158" t="s">
        <v>42</v>
      </c>
      <c r="P47" s="157" t="s">
        <v>43</v>
      </c>
      <c r="Q47" s="157" t="s">
        <v>149</v>
      </c>
      <c r="R47" s="159"/>
      <c r="S47" s="157" t="s">
        <v>40</v>
      </c>
      <c r="T47" s="157" t="s">
        <v>41</v>
      </c>
      <c r="U47" s="158" t="s">
        <v>42</v>
      </c>
      <c r="V47" s="157" t="s">
        <v>43</v>
      </c>
      <c r="W47" s="157" t="s">
        <v>149</v>
      </c>
      <c r="X47" s="159"/>
      <c r="Y47" s="157" t="s">
        <v>40</v>
      </c>
      <c r="Z47" s="157" t="s">
        <v>41</v>
      </c>
      <c r="AA47" s="158" t="s">
        <v>42</v>
      </c>
      <c r="AB47" s="157" t="s">
        <v>43</v>
      </c>
      <c r="AC47" s="157" t="s">
        <v>149</v>
      </c>
      <c r="AD47" s="159"/>
      <c r="AE47" s="157" t="s">
        <v>40</v>
      </c>
      <c r="AF47" s="157" t="s">
        <v>41</v>
      </c>
      <c r="AG47" s="158" t="s">
        <v>42</v>
      </c>
      <c r="AH47" s="157" t="s">
        <v>43</v>
      </c>
      <c r="AI47" s="157" t="s">
        <v>149</v>
      </c>
      <c r="AJ47" s="159"/>
      <c r="AK47" s="160" t="s">
        <v>151</v>
      </c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</row>
    <row r="48" spans="1:84" x14ac:dyDescent="0.25">
      <c r="A48" s="108" t="s">
        <v>39</v>
      </c>
      <c r="B48" s="126">
        <v>2017</v>
      </c>
      <c r="C48" s="161" t="str">
        <f>Worldprices!B70</f>
        <v>EXPCOABIC0*</v>
      </c>
      <c r="D48" s="108" t="str">
        <f>Worldprices!AO50</f>
        <v>*COABIC</v>
      </c>
      <c r="E48" s="161">
        <f>VLOOKUP(C48,Worldprices!$B$49:$AN$92,INPUTtoVEDA_Coal!AK48,FALSE)</f>
        <v>1.8735754548308308</v>
      </c>
      <c r="F48" s="161"/>
      <c r="G48" s="108" t="s">
        <v>39</v>
      </c>
      <c r="H48" s="126">
        <v>2017</v>
      </c>
      <c r="I48" s="161" t="str">
        <f>Worldprices!B71</f>
        <v>EXPCOASUB0*</v>
      </c>
      <c r="J48" s="108" t="str">
        <f>Worldprices!AO51</f>
        <v>*COASUB</v>
      </c>
      <c r="K48" s="161">
        <f>VLOOKUP(I48,Worldprices!$B$49:$AN$92,INPUTtoVEDA_Coal!AK48,FALSE)</f>
        <v>1.8735754548308308</v>
      </c>
      <c r="L48" s="161"/>
      <c r="M48" s="108" t="s">
        <v>39</v>
      </c>
      <c r="N48" s="126">
        <v>2017</v>
      </c>
      <c r="O48" s="108" t="str">
        <f>Worldprices!B72</f>
        <v>EXPCOABCO0*</v>
      </c>
      <c r="P48" s="161" t="str">
        <f>Worldprices!AO52</f>
        <v>*COABCO</v>
      </c>
      <c r="Q48" s="161">
        <f>VLOOKUP(O48,Worldprices!$B$49:$AN$92,INPUTtoVEDA_Coal!AK48,FALSE)</f>
        <v>1.7798966820892892</v>
      </c>
      <c r="R48" s="161"/>
      <c r="S48" s="108" t="s">
        <v>39</v>
      </c>
      <c r="T48" s="126">
        <v>2017</v>
      </c>
      <c r="U48" s="161" t="str">
        <f>Worldprices!B73</f>
        <v>EXPCOABKB0*</v>
      </c>
      <c r="V48" s="108" t="str">
        <f>Worldprices!AO53</f>
        <v>*COABKB</v>
      </c>
      <c r="W48" s="161">
        <f>VLOOKUP(U48,Worldprices!$B$49:$AN$92,INPUTtoVEDA_Coal!AK48,FALSE)</f>
        <v>1.7798966820892892</v>
      </c>
      <c r="X48" s="161"/>
      <c r="Y48" s="108" t="s">
        <v>39</v>
      </c>
      <c r="Z48" s="126">
        <v>2017</v>
      </c>
      <c r="AA48" s="161" t="str">
        <f>Worldprices!B74</f>
        <v>EXPCOACOK0*</v>
      </c>
      <c r="AB48" s="108" t="str">
        <f>Worldprices!AO54</f>
        <v>*COACOK</v>
      </c>
      <c r="AC48" s="161">
        <f>VLOOKUP(AA48,Worldprices!$B$49:$AN$92,INPUTtoVEDA_Coal!AK48,FALSE)</f>
        <v>2.3794408276351553</v>
      </c>
      <c r="AD48" s="161"/>
      <c r="AE48" s="108" t="s">
        <v>39</v>
      </c>
      <c r="AF48" s="126">
        <v>2017</v>
      </c>
      <c r="AG48" s="161" t="e">
        <f>Worldprices!#REF!</f>
        <v>#REF!</v>
      </c>
      <c r="AH48" s="108" t="e">
        <f>Worldprices!#REF!</f>
        <v>#REF!</v>
      </c>
      <c r="AI48" s="161" t="e">
        <f>VLOOKUP(AG48,Worldprices!$B$49:$AN$92,INPUTtoVEDA_Coal!AK48,FALSE)</f>
        <v>#REF!</v>
      </c>
      <c r="AJ48" s="161"/>
      <c r="AK48" s="108">
        <v>6</v>
      </c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</row>
    <row r="49" spans="1:37" s="109" customFormat="1" x14ac:dyDescent="0.25">
      <c r="A49" s="108" t="str">
        <f>A48</f>
        <v>COST</v>
      </c>
      <c r="B49" s="126">
        <v>2018</v>
      </c>
      <c r="C49" s="108" t="str">
        <f>C48</f>
        <v>EXPCOABIC0*</v>
      </c>
      <c r="D49" s="108" t="str">
        <f>D48</f>
        <v>*COABIC</v>
      </c>
      <c r="E49" s="161">
        <f>VLOOKUP(C49,Worldprices!$B$49:$AN$92,INPUTtoVEDA_Coal!AK49,FALSE)</f>
        <v>2.1674696438239023</v>
      </c>
      <c r="F49" s="161"/>
      <c r="G49" s="108" t="str">
        <f>G48</f>
        <v>COST</v>
      </c>
      <c r="H49" s="126">
        <v>2018</v>
      </c>
      <c r="I49" s="108" t="str">
        <f>I48</f>
        <v>EXPCOASUB0*</v>
      </c>
      <c r="J49" s="108" t="str">
        <f>J48</f>
        <v>*COASUB</v>
      </c>
      <c r="K49" s="161">
        <f>VLOOKUP(I49,Worldprices!$B$49:$AN$92,INPUTtoVEDA_Coal!AK49,FALSE)</f>
        <v>2.1674696438239023</v>
      </c>
      <c r="L49" s="161"/>
      <c r="M49" s="108" t="str">
        <f>M48</f>
        <v>COST</v>
      </c>
      <c r="N49" s="126">
        <v>2018</v>
      </c>
      <c r="O49" s="108" t="str">
        <f>O48</f>
        <v>EXPCOABCO0*</v>
      </c>
      <c r="P49" s="108" t="str">
        <f>P48</f>
        <v>*COABCO</v>
      </c>
      <c r="Q49" s="161">
        <f>VLOOKUP(O49,Worldprices!$B$49:$AN$92,INPUTtoVEDA_Coal!AK49,FALSE)</f>
        <v>2.059096161632707</v>
      </c>
      <c r="R49" s="161"/>
      <c r="S49" s="108" t="str">
        <f>S48</f>
        <v>COST</v>
      </c>
      <c r="T49" s="126">
        <v>2018</v>
      </c>
      <c r="U49" s="108" t="str">
        <f>U48</f>
        <v>EXPCOABKB0*</v>
      </c>
      <c r="V49" s="108" t="str">
        <f>V48</f>
        <v>*COABKB</v>
      </c>
      <c r="W49" s="161">
        <f>VLOOKUP(U49,Worldprices!$B$49:$AN$92,INPUTtoVEDA_Coal!AK49,FALSE)</f>
        <v>2.059096161632707</v>
      </c>
      <c r="X49" s="161"/>
      <c r="Y49" s="108" t="str">
        <f>Y48</f>
        <v>COST</v>
      </c>
      <c r="Z49" s="126">
        <v>2018</v>
      </c>
      <c r="AA49" s="108" t="str">
        <f>AA48</f>
        <v>EXPCOACOK0*</v>
      </c>
      <c r="AB49" s="108" t="str">
        <f>AB48</f>
        <v>*COACOK</v>
      </c>
      <c r="AC49" s="161">
        <f>VLOOKUP(AA49,Worldprices!$B$49:$AN$92,INPUTtoVEDA_Coal!AK49,FALSE)</f>
        <v>2.7526864476563562</v>
      </c>
      <c r="AD49" s="161"/>
      <c r="AE49" s="108" t="str">
        <f>AE48</f>
        <v>COST</v>
      </c>
      <c r="AF49" s="126">
        <v>2018</v>
      </c>
      <c r="AG49" s="108" t="e">
        <f>AG48</f>
        <v>#REF!</v>
      </c>
      <c r="AH49" s="108" t="e">
        <f>AH48</f>
        <v>#REF!</v>
      </c>
      <c r="AI49" s="161" t="e">
        <f>VLOOKUP(AG49,Worldprices!$B$49:$AN$92,INPUTtoVEDA_Coal!AK49,FALSE)</f>
        <v>#REF!</v>
      </c>
      <c r="AJ49" s="161"/>
      <c r="AK49" s="108">
        <f>AK48+1</f>
        <v>7</v>
      </c>
    </row>
    <row r="50" spans="1:37" s="109" customFormat="1" hidden="1" x14ac:dyDescent="0.25">
      <c r="A50" s="108" t="str">
        <f t="shared" ref="A50:A81" si="19">A49</f>
        <v>COST</v>
      </c>
      <c r="B50" s="126">
        <v>2019</v>
      </c>
      <c r="C50" s="108" t="str">
        <f t="shared" ref="C50:C81" si="20">C49</f>
        <v>EXPCOABIC0*</v>
      </c>
      <c r="D50" s="108" t="str">
        <f t="shared" ref="D50:D81" si="21">D49</f>
        <v>*COABIC</v>
      </c>
      <c r="E50" s="161">
        <f>VLOOKUP(C50,Worldprices!$B$49:$AN$92,INPUTtoVEDA_Coal!AK50,FALSE)</f>
        <v>1.4449797625492682</v>
      </c>
      <c r="F50" s="161"/>
      <c r="G50" s="108" t="str">
        <f t="shared" ref="G50:G81" si="22">G49</f>
        <v>COST</v>
      </c>
      <c r="H50" s="126">
        <v>2019</v>
      </c>
      <c r="I50" s="108" t="str">
        <f t="shared" ref="I50:I81" si="23">I49</f>
        <v>EXPCOASUB0*</v>
      </c>
      <c r="J50" s="108" t="str">
        <f t="shared" ref="J50:J81" si="24">J49</f>
        <v>*COASUB</v>
      </c>
      <c r="K50" s="161">
        <f>VLOOKUP(I50,Worldprices!$B$49:$AN$92,INPUTtoVEDA_Coal!AK50,FALSE)</f>
        <v>1.4449797625492682</v>
      </c>
      <c r="L50" s="161"/>
      <c r="M50" s="108" t="str">
        <f t="shared" ref="M50:M81" si="25">M49</f>
        <v>COST</v>
      </c>
      <c r="N50" s="126">
        <v>2019</v>
      </c>
      <c r="O50" s="108" t="str">
        <f t="shared" ref="O50:P50" si="26">O49</f>
        <v>EXPCOABCO0*</v>
      </c>
      <c r="P50" s="108" t="str">
        <f t="shared" si="26"/>
        <v>*COABCO</v>
      </c>
      <c r="Q50" s="161">
        <f>VLOOKUP(O50,Worldprices!$B$49:$AN$92,INPUTtoVEDA_Coal!AK50,FALSE)</f>
        <v>1.3727307744218047</v>
      </c>
      <c r="R50" s="161"/>
      <c r="S50" s="108" t="str">
        <f t="shared" ref="S50:S81" si="27">S49</f>
        <v>COST</v>
      </c>
      <c r="T50" s="126">
        <v>2019</v>
      </c>
      <c r="U50" s="108" t="str">
        <f t="shared" ref="U50:V65" si="28">U49</f>
        <v>EXPCOABKB0*</v>
      </c>
      <c r="V50" s="108" t="str">
        <f t="shared" si="28"/>
        <v>*COABKB</v>
      </c>
      <c r="W50" s="161">
        <f>VLOOKUP(U50,Worldprices!$B$49:$AN$92,INPUTtoVEDA_Coal!AK50,FALSE)</f>
        <v>1.3727307744218047</v>
      </c>
      <c r="X50" s="161"/>
      <c r="Y50" s="108" t="str">
        <f t="shared" ref="Y50:Y81" si="29">Y49</f>
        <v>COST</v>
      </c>
      <c r="Z50" s="126">
        <v>2019</v>
      </c>
      <c r="AA50" s="108" t="str">
        <f t="shared" ref="AA50:AB65" si="30">AA49</f>
        <v>EXPCOACOK0*</v>
      </c>
      <c r="AB50" s="108" t="str">
        <f t="shared" si="30"/>
        <v>*COACOK</v>
      </c>
      <c r="AC50" s="161">
        <f>VLOOKUP(AA50,Worldprices!$B$49:$AN$92,INPUTtoVEDA_Coal!AK50,FALSE)</f>
        <v>1.8351242984375706</v>
      </c>
      <c r="AD50" s="161"/>
      <c r="AE50" s="108" t="str">
        <f t="shared" ref="AE50:AE81" si="31">AE49</f>
        <v>COST</v>
      </c>
      <c r="AF50" s="126">
        <v>2019</v>
      </c>
      <c r="AG50" s="108" t="e">
        <f t="shared" ref="AG50:AH65" si="32">AG49</f>
        <v>#REF!</v>
      </c>
      <c r="AH50" s="108" t="e">
        <f t="shared" si="32"/>
        <v>#REF!</v>
      </c>
      <c r="AI50" s="161" t="e">
        <f>VLOOKUP(AG50,Worldprices!$B$49:$AN$92,INPUTtoVEDA_Coal!AK50,FALSE)</f>
        <v>#REF!</v>
      </c>
      <c r="AJ50" s="161"/>
      <c r="AK50" s="108">
        <f t="shared" ref="AK50:AK81" si="33">AK49+1</f>
        <v>8</v>
      </c>
    </row>
    <row r="51" spans="1:37" s="109" customFormat="1" x14ac:dyDescent="0.25">
      <c r="A51" s="108" t="str">
        <f t="shared" si="19"/>
        <v>COST</v>
      </c>
      <c r="B51" s="126">
        <v>2020</v>
      </c>
      <c r="C51" s="108" t="str">
        <f t="shared" si="20"/>
        <v>EXPCOABIC0*</v>
      </c>
      <c r="D51" s="108" t="str">
        <f t="shared" si="21"/>
        <v>*COABIC</v>
      </c>
      <c r="E51" s="161">
        <f>VLOOKUP(C51,Worldprices!$B$49:$AN$92,INPUTtoVEDA_Coal!AK51,FALSE)</f>
        <v>1.687229762549268</v>
      </c>
      <c r="F51" s="161"/>
      <c r="G51" s="108" t="str">
        <f t="shared" si="22"/>
        <v>COST</v>
      </c>
      <c r="H51" s="126">
        <v>2020</v>
      </c>
      <c r="I51" s="108" t="str">
        <f t="shared" si="23"/>
        <v>EXPCOASUB0*</v>
      </c>
      <c r="J51" s="108" t="str">
        <f t="shared" si="24"/>
        <v>*COASUB</v>
      </c>
      <c r="K51" s="161">
        <f>VLOOKUP(I51,Worldprices!$B$49:$AN$92,INPUTtoVEDA_Coal!AK51,FALSE)</f>
        <v>1.687229762549268</v>
      </c>
      <c r="L51" s="161"/>
      <c r="M51" s="108" t="str">
        <f t="shared" si="25"/>
        <v>COST</v>
      </c>
      <c r="N51" s="126">
        <v>2020</v>
      </c>
      <c r="O51" s="108" t="str">
        <f t="shared" ref="O51:P51" si="34">O50</f>
        <v>EXPCOABCO0*</v>
      </c>
      <c r="P51" s="108" t="str">
        <f t="shared" si="34"/>
        <v>*COABCO</v>
      </c>
      <c r="Q51" s="161">
        <f>VLOOKUP(O51,Worldprices!$B$49:$AN$92,INPUTtoVEDA_Coal!AK51,FALSE)</f>
        <v>1.6028682744218046</v>
      </c>
      <c r="R51" s="161"/>
      <c r="S51" s="108" t="str">
        <f t="shared" si="27"/>
        <v>COST</v>
      </c>
      <c r="T51" s="126">
        <v>2020</v>
      </c>
      <c r="U51" s="108" t="str">
        <f t="shared" si="28"/>
        <v>EXPCOABKB0*</v>
      </c>
      <c r="V51" s="108" t="str">
        <f t="shared" si="28"/>
        <v>*COABKB</v>
      </c>
      <c r="W51" s="161">
        <f>VLOOKUP(U51,Worldprices!$B$49:$AN$92,INPUTtoVEDA_Coal!AK51,FALSE)</f>
        <v>1.6028682744218046</v>
      </c>
      <c r="X51" s="161"/>
      <c r="Y51" s="108" t="str">
        <f t="shared" si="29"/>
        <v>COST</v>
      </c>
      <c r="Z51" s="126">
        <v>2020</v>
      </c>
      <c r="AA51" s="108" t="str">
        <f t="shared" si="30"/>
        <v>EXPCOACOK0*</v>
      </c>
      <c r="AB51" s="108" t="str">
        <f t="shared" si="30"/>
        <v>*COACOK</v>
      </c>
      <c r="AC51" s="161">
        <f>VLOOKUP(AA51,Worldprices!$B$49:$AN$92,INPUTtoVEDA_Coal!AK51,FALSE)</f>
        <v>2.1427817984375701</v>
      </c>
      <c r="AD51" s="161"/>
      <c r="AE51" s="108" t="str">
        <f t="shared" si="31"/>
        <v>COST</v>
      </c>
      <c r="AF51" s="126">
        <v>2020</v>
      </c>
      <c r="AG51" s="108" t="e">
        <f t="shared" si="32"/>
        <v>#REF!</v>
      </c>
      <c r="AH51" s="108" t="e">
        <f t="shared" si="32"/>
        <v>#REF!</v>
      </c>
      <c r="AI51" s="161" t="e">
        <f>VLOOKUP(AG51,Worldprices!$B$49:$AN$92,INPUTtoVEDA_Coal!AK51,FALSE)</f>
        <v>#REF!</v>
      </c>
      <c r="AJ51" s="161"/>
      <c r="AK51" s="108">
        <f t="shared" si="33"/>
        <v>9</v>
      </c>
    </row>
    <row r="52" spans="1:37" s="109" customFormat="1" hidden="1" x14ac:dyDescent="0.25">
      <c r="A52" s="108" t="str">
        <f t="shared" si="19"/>
        <v>COST</v>
      </c>
      <c r="B52" s="126">
        <v>2021</v>
      </c>
      <c r="C52" s="108" t="str">
        <f t="shared" si="20"/>
        <v>EXPCOABIC0*</v>
      </c>
      <c r="D52" s="108" t="str">
        <f t="shared" si="21"/>
        <v>*COABIC</v>
      </c>
      <c r="E52" s="161">
        <f>VLOOKUP(C52,Worldprices!$B$49:$AN$92,INPUTtoVEDA_Coal!AK52,FALSE)</f>
        <v>1.9294797625492677</v>
      </c>
      <c r="F52" s="161"/>
      <c r="G52" s="108" t="str">
        <f t="shared" si="22"/>
        <v>COST</v>
      </c>
      <c r="H52" s="126">
        <v>2021</v>
      </c>
      <c r="I52" s="108" t="str">
        <f t="shared" si="23"/>
        <v>EXPCOASUB0*</v>
      </c>
      <c r="J52" s="108" t="str">
        <f t="shared" si="24"/>
        <v>*COASUB</v>
      </c>
      <c r="K52" s="161">
        <f>VLOOKUP(I52,Worldprices!$B$49:$AN$92,INPUTtoVEDA_Coal!AK52,FALSE)</f>
        <v>1.9294797625492677</v>
      </c>
      <c r="L52" s="161"/>
      <c r="M52" s="108" t="str">
        <f t="shared" si="25"/>
        <v>COST</v>
      </c>
      <c r="N52" s="126">
        <v>2021</v>
      </c>
      <c r="O52" s="108" t="str">
        <f t="shared" ref="O52:P52" si="35">O51</f>
        <v>EXPCOABCO0*</v>
      </c>
      <c r="P52" s="108" t="str">
        <f t="shared" si="35"/>
        <v>*COABCO</v>
      </c>
      <c r="Q52" s="161">
        <f>VLOOKUP(O52,Worldprices!$B$49:$AN$92,INPUTtoVEDA_Coal!AK52,FALSE)</f>
        <v>1.8330057744218042</v>
      </c>
      <c r="R52" s="161"/>
      <c r="S52" s="108" t="str">
        <f t="shared" si="27"/>
        <v>COST</v>
      </c>
      <c r="T52" s="126">
        <v>2021</v>
      </c>
      <c r="U52" s="108" t="str">
        <f t="shared" si="28"/>
        <v>EXPCOABKB0*</v>
      </c>
      <c r="V52" s="108" t="str">
        <f t="shared" si="28"/>
        <v>*COABKB</v>
      </c>
      <c r="W52" s="161">
        <f>VLOOKUP(U52,Worldprices!$B$49:$AN$92,INPUTtoVEDA_Coal!AK52,FALSE)</f>
        <v>1.8330057744218042</v>
      </c>
      <c r="X52" s="161"/>
      <c r="Y52" s="108" t="str">
        <f t="shared" si="29"/>
        <v>COST</v>
      </c>
      <c r="Z52" s="126">
        <v>2021</v>
      </c>
      <c r="AA52" s="108" t="str">
        <f t="shared" si="30"/>
        <v>EXPCOACOK0*</v>
      </c>
      <c r="AB52" s="108" t="str">
        <f t="shared" si="30"/>
        <v>*COACOK</v>
      </c>
      <c r="AC52" s="161">
        <f>VLOOKUP(AA52,Worldprices!$B$49:$AN$92,INPUTtoVEDA_Coal!AK52,FALSE)</f>
        <v>2.45043929843757</v>
      </c>
      <c r="AD52" s="161"/>
      <c r="AE52" s="108" t="str">
        <f t="shared" si="31"/>
        <v>COST</v>
      </c>
      <c r="AF52" s="126">
        <v>2021</v>
      </c>
      <c r="AG52" s="108" t="e">
        <f t="shared" si="32"/>
        <v>#REF!</v>
      </c>
      <c r="AH52" s="108" t="e">
        <f t="shared" si="32"/>
        <v>#REF!</v>
      </c>
      <c r="AI52" s="161" t="e">
        <f>VLOOKUP(AG52,Worldprices!$B$49:$AN$92,INPUTtoVEDA_Coal!AK52,FALSE)</f>
        <v>#REF!</v>
      </c>
      <c r="AJ52" s="161"/>
      <c r="AK52" s="108">
        <f t="shared" si="33"/>
        <v>10</v>
      </c>
    </row>
    <row r="53" spans="1:37" s="109" customFormat="1" hidden="1" x14ac:dyDescent="0.25">
      <c r="A53" s="108" t="str">
        <f t="shared" si="19"/>
        <v>COST</v>
      </c>
      <c r="B53" s="126">
        <v>2022</v>
      </c>
      <c r="C53" s="108" t="str">
        <f t="shared" si="20"/>
        <v>EXPCOABIC0*</v>
      </c>
      <c r="D53" s="108" t="str">
        <f t="shared" si="21"/>
        <v>*COABIC</v>
      </c>
      <c r="E53" s="161">
        <f>VLOOKUP(C53,Worldprices!$B$49:$AN$92,INPUTtoVEDA_Coal!AK53,FALSE)</f>
        <v>2.1717297625492678</v>
      </c>
      <c r="F53" s="161"/>
      <c r="G53" s="108" t="str">
        <f t="shared" si="22"/>
        <v>COST</v>
      </c>
      <c r="H53" s="126">
        <v>2022</v>
      </c>
      <c r="I53" s="108" t="str">
        <f t="shared" si="23"/>
        <v>EXPCOASUB0*</v>
      </c>
      <c r="J53" s="108" t="str">
        <f t="shared" si="24"/>
        <v>*COASUB</v>
      </c>
      <c r="K53" s="161">
        <f>VLOOKUP(I53,Worldprices!$B$49:$AN$92,INPUTtoVEDA_Coal!AK53,FALSE)</f>
        <v>2.1717297625492678</v>
      </c>
      <c r="L53" s="161"/>
      <c r="M53" s="108" t="str">
        <f t="shared" si="25"/>
        <v>COST</v>
      </c>
      <c r="N53" s="126">
        <v>2022</v>
      </c>
      <c r="O53" s="108" t="str">
        <f t="shared" ref="O53:P53" si="36">O52</f>
        <v>EXPCOABCO0*</v>
      </c>
      <c r="P53" s="108" t="str">
        <f t="shared" si="36"/>
        <v>*COABCO</v>
      </c>
      <c r="Q53" s="161">
        <f>VLOOKUP(O53,Worldprices!$B$49:$AN$92,INPUTtoVEDA_Coal!AK53,FALSE)</f>
        <v>2.0631432744218041</v>
      </c>
      <c r="R53" s="161"/>
      <c r="S53" s="108" t="str">
        <f t="shared" si="27"/>
        <v>COST</v>
      </c>
      <c r="T53" s="126">
        <v>2022</v>
      </c>
      <c r="U53" s="108" t="str">
        <f t="shared" si="28"/>
        <v>EXPCOABKB0*</v>
      </c>
      <c r="V53" s="108" t="str">
        <f t="shared" si="28"/>
        <v>*COABKB</v>
      </c>
      <c r="W53" s="161">
        <f>VLOOKUP(U53,Worldprices!$B$49:$AN$92,INPUTtoVEDA_Coal!AK53,FALSE)</f>
        <v>2.0631432744218041</v>
      </c>
      <c r="X53" s="161"/>
      <c r="Y53" s="108" t="str">
        <f t="shared" si="29"/>
        <v>COST</v>
      </c>
      <c r="Z53" s="126">
        <v>2022</v>
      </c>
      <c r="AA53" s="108" t="str">
        <f t="shared" si="30"/>
        <v>EXPCOACOK0*</v>
      </c>
      <c r="AB53" s="108" t="str">
        <f t="shared" si="30"/>
        <v>*COACOK</v>
      </c>
      <c r="AC53" s="161">
        <f>VLOOKUP(AA53,Worldprices!$B$49:$AN$92,INPUTtoVEDA_Coal!AK53,FALSE)</f>
        <v>2.7580967984375699</v>
      </c>
      <c r="AD53" s="161"/>
      <c r="AE53" s="108" t="str">
        <f t="shared" si="31"/>
        <v>COST</v>
      </c>
      <c r="AF53" s="126">
        <v>2022</v>
      </c>
      <c r="AG53" s="108" t="e">
        <f t="shared" si="32"/>
        <v>#REF!</v>
      </c>
      <c r="AH53" s="108" t="e">
        <f t="shared" si="32"/>
        <v>#REF!</v>
      </c>
      <c r="AI53" s="161" t="e">
        <f>VLOOKUP(AG53,Worldprices!$B$49:$AN$92,INPUTtoVEDA_Coal!AK53,FALSE)</f>
        <v>#REF!</v>
      </c>
      <c r="AJ53" s="161"/>
      <c r="AK53" s="108">
        <f t="shared" si="33"/>
        <v>11</v>
      </c>
    </row>
    <row r="54" spans="1:37" s="109" customFormat="1" hidden="1" x14ac:dyDescent="0.25">
      <c r="A54" s="108" t="str">
        <f t="shared" si="19"/>
        <v>COST</v>
      </c>
      <c r="B54" s="126">
        <v>2023</v>
      </c>
      <c r="C54" s="108" t="str">
        <f t="shared" si="20"/>
        <v>EXPCOABIC0*</v>
      </c>
      <c r="D54" s="108" t="str">
        <f t="shared" si="21"/>
        <v>*COABIC</v>
      </c>
      <c r="E54" s="161">
        <f>VLOOKUP(C54,Worldprices!$B$49:$AN$92,INPUTtoVEDA_Coal!AK54,FALSE)</f>
        <v>2.4139797625492676</v>
      </c>
      <c r="F54" s="161"/>
      <c r="G54" s="108" t="str">
        <f t="shared" si="22"/>
        <v>COST</v>
      </c>
      <c r="H54" s="126">
        <v>2023</v>
      </c>
      <c r="I54" s="108" t="str">
        <f t="shared" si="23"/>
        <v>EXPCOASUB0*</v>
      </c>
      <c r="J54" s="108" t="str">
        <f t="shared" si="24"/>
        <v>*COASUB</v>
      </c>
      <c r="K54" s="161">
        <f>VLOOKUP(I54,Worldprices!$B$49:$AN$92,INPUTtoVEDA_Coal!AK54,FALSE)</f>
        <v>2.4139797625492676</v>
      </c>
      <c r="L54" s="161"/>
      <c r="M54" s="108" t="str">
        <f t="shared" si="25"/>
        <v>COST</v>
      </c>
      <c r="N54" s="126">
        <v>2023</v>
      </c>
      <c r="O54" s="108" t="str">
        <f t="shared" ref="O54:P54" si="37">O53</f>
        <v>EXPCOABCO0*</v>
      </c>
      <c r="P54" s="108" t="str">
        <f t="shared" si="37"/>
        <v>*COABCO</v>
      </c>
      <c r="Q54" s="161">
        <f>VLOOKUP(O54,Worldprices!$B$49:$AN$92,INPUTtoVEDA_Coal!AK54,FALSE)</f>
        <v>2.2932807744218042</v>
      </c>
      <c r="R54" s="161"/>
      <c r="S54" s="108" t="str">
        <f t="shared" si="27"/>
        <v>COST</v>
      </c>
      <c r="T54" s="126">
        <v>2023</v>
      </c>
      <c r="U54" s="108" t="str">
        <f t="shared" si="28"/>
        <v>EXPCOABKB0*</v>
      </c>
      <c r="V54" s="108" t="str">
        <f t="shared" si="28"/>
        <v>*COABKB</v>
      </c>
      <c r="W54" s="161">
        <f>VLOOKUP(U54,Worldprices!$B$49:$AN$92,INPUTtoVEDA_Coal!AK54,FALSE)</f>
        <v>2.2932807744218042</v>
      </c>
      <c r="X54" s="161"/>
      <c r="Y54" s="108" t="str">
        <f t="shared" si="29"/>
        <v>COST</v>
      </c>
      <c r="Z54" s="126">
        <v>2023</v>
      </c>
      <c r="AA54" s="108" t="str">
        <f t="shared" si="30"/>
        <v>EXPCOACOK0*</v>
      </c>
      <c r="AB54" s="108" t="str">
        <f t="shared" si="30"/>
        <v>*COACOK</v>
      </c>
      <c r="AC54" s="161">
        <f>VLOOKUP(AA54,Worldprices!$B$49:$AN$92,INPUTtoVEDA_Coal!AK54,FALSE)</f>
        <v>3.0657542984375694</v>
      </c>
      <c r="AD54" s="161"/>
      <c r="AE54" s="108" t="str">
        <f t="shared" si="31"/>
        <v>COST</v>
      </c>
      <c r="AF54" s="126">
        <v>2023</v>
      </c>
      <c r="AG54" s="108" t="e">
        <f t="shared" si="32"/>
        <v>#REF!</v>
      </c>
      <c r="AH54" s="108" t="e">
        <f t="shared" si="32"/>
        <v>#REF!</v>
      </c>
      <c r="AI54" s="161" t="e">
        <f>VLOOKUP(AG54,Worldprices!$B$49:$AN$92,INPUTtoVEDA_Coal!AK54,FALSE)</f>
        <v>#REF!</v>
      </c>
      <c r="AJ54" s="161"/>
      <c r="AK54" s="108">
        <f t="shared" si="33"/>
        <v>12</v>
      </c>
    </row>
    <row r="55" spans="1:37" s="109" customFormat="1" hidden="1" x14ac:dyDescent="0.25">
      <c r="A55" s="108" t="str">
        <f t="shared" si="19"/>
        <v>COST</v>
      </c>
      <c r="B55" s="126">
        <v>2024</v>
      </c>
      <c r="C55" s="108" t="str">
        <f t="shared" si="20"/>
        <v>EXPCOABIC0*</v>
      </c>
      <c r="D55" s="108" t="str">
        <f t="shared" si="21"/>
        <v>*COABIC</v>
      </c>
      <c r="E55" s="161">
        <f>VLOOKUP(C55,Worldprices!$B$49:$AN$92,INPUTtoVEDA_Coal!AK55,FALSE)</f>
        <v>2.6562297625492675</v>
      </c>
      <c r="F55" s="161"/>
      <c r="G55" s="108" t="str">
        <f t="shared" si="22"/>
        <v>COST</v>
      </c>
      <c r="H55" s="126">
        <v>2024</v>
      </c>
      <c r="I55" s="108" t="str">
        <f t="shared" si="23"/>
        <v>EXPCOASUB0*</v>
      </c>
      <c r="J55" s="108" t="str">
        <f t="shared" si="24"/>
        <v>*COASUB</v>
      </c>
      <c r="K55" s="161">
        <f>VLOOKUP(I55,Worldprices!$B$49:$AN$92,INPUTtoVEDA_Coal!AK55,FALSE)</f>
        <v>2.6562297625492675</v>
      </c>
      <c r="L55" s="161"/>
      <c r="M55" s="108" t="str">
        <f t="shared" si="25"/>
        <v>COST</v>
      </c>
      <c r="N55" s="126">
        <v>2024</v>
      </c>
      <c r="O55" s="108" t="str">
        <f t="shared" ref="O55:P55" si="38">O54</f>
        <v>EXPCOABCO0*</v>
      </c>
      <c r="P55" s="108" t="str">
        <f t="shared" si="38"/>
        <v>*COABCO</v>
      </c>
      <c r="Q55" s="161">
        <f>VLOOKUP(O55,Worldprices!$B$49:$AN$92,INPUTtoVEDA_Coal!AK55,FALSE)</f>
        <v>2.5234182744218039</v>
      </c>
      <c r="R55" s="161"/>
      <c r="S55" s="108" t="str">
        <f t="shared" si="27"/>
        <v>COST</v>
      </c>
      <c r="T55" s="126">
        <v>2024</v>
      </c>
      <c r="U55" s="108" t="str">
        <f t="shared" si="28"/>
        <v>EXPCOABKB0*</v>
      </c>
      <c r="V55" s="108" t="str">
        <f t="shared" si="28"/>
        <v>*COABKB</v>
      </c>
      <c r="W55" s="161">
        <f>VLOOKUP(U55,Worldprices!$B$49:$AN$92,INPUTtoVEDA_Coal!AK55,FALSE)</f>
        <v>2.5234182744218039</v>
      </c>
      <c r="X55" s="161"/>
      <c r="Y55" s="108" t="str">
        <f t="shared" si="29"/>
        <v>COST</v>
      </c>
      <c r="Z55" s="126">
        <v>2024</v>
      </c>
      <c r="AA55" s="108" t="str">
        <f t="shared" si="30"/>
        <v>EXPCOACOK0*</v>
      </c>
      <c r="AB55" s="108" t="str">
        <f t="shared" si="30"/>
        <v>*COACOK</v>
      </c>
      <c r="AC55" s="161">
        <f>VLOOKUP(AA55,Worldprices!$B$49:$AN$92,INPUTtoVEDA_Coal!AK55,FALSE)</f>
        <v>3.3734117984375698</v>
      </c>
      <c r="AD55" s="161"/>
      <c r="AE55" s="108" t="str">
        <f t="shared" si="31"/>
        <v>COST</v>
      </c>
      <c r="AF55" s="126">
        <v>2024</v>
      </c>
      <c r="AG55" s="108" t="e">
        <f t="shared" si="32"/>
        <v>#REF!</v>
      </c>
      <c r="AH55" s="108" t="e">
        <f t="shared" si="32"/>
        <v>#REF!</v>
      </c>
      <c r="AI55" s="161" t="e">
        <f>VLOOKUP(AG55,Worldprices!$B$49:$AN$92,INPUTtoVEDA_Coal!AK55,FALSE)</f>
        <v>#REF!</v>
      </c>
      <c r="AJ55" s="161"/>
      <c r="AK55" s="108">
        <f t="shared" si="33"/>
        <v>13</v>
      </c>
    </row>
    <row r="56" spans="1:37" s="109" customFormat="1" x14ac:dyDescent="0.25">
      <c r="A56" s="108" t="str">
        <f t="shared" si="19"/>
        <v>COST</v>
      </c>
      <c r="B56" s="126">
        <v>2025</v>
      </c>
      <c r="C56" s="108" t="str">
        <f t="shared" si="20"/>
        <v>EXPCOABIC0*</v>
      </c>
      <c r="D56" s="108" t="str">
        <f t="shared" si="21"/>
        <v>*COABIC</v>
      </c>
      <c r="E56" s="161">
        <f>VLOOKUP(C56,Worldprices!$B$49:$AN$92,INPUTtoVEDA_Coal!AK56,FALSE)</f>
        <v>1.9379999999999999</v>
      </c>
      <c r="F56" s="161"/>
      <c r="G56" s="108" t="str">
        <f t="shared" si="22"/>
        <v>COST</v>
      </c>
      <c r="H56" s="126">
        <v>2025</v>
      </c>
      <c r="I56" s="108" t="str">
        <f t="shared" si="23"/>
        <v>EXPCOASUB0*</v>
      </c>
      <c r="J56" s="108" t="str">
        <f t="shared" si="24"/>
        <v>*COASUB</v>
      </c>
      <c r="K56" s="161">
        <f>VLOOKUP(I56,Worldprices!$B$49:$AN$92,INPUTtoVEDA_Coal!AK56,FALSE)</f>
        <v>1.9379999999999999</v>
      </c>
      <c r="L56" s="161"/>
      <c r="M56" s="108" t="str">
        <f t="shared" si="25"/>
        <v>COST</v>
      </c>
      <c r="N56" s="126">
        <v>2025</v>
      </c>
      <c r="O56" s="108" t="str">
        <f t="shared" ref="O56:P56" si="39">O55</f>
        <v>EXPCOABCO0*</v>
      </c>
      <c r="P56" s="108" t="str">
        <f t="shared" si="39"/>
        <v>*COABCO</v>
      </c>
      <c r="Q56" s="161">
        <f>VLOOKUP(O56,Worldprices!$B$49:$AN$92,INPUTtoVEDA_Coal!AK56,FALSE)</f>
        <v>1.8411</v>
      </c>
      <c r="R56" s="161"/>
      <c r="S56" s="108" t="str">
        <f t="shared" si="27"/>
        <v>COST</v>
      </c>
      <c r="T56" s="126">
        <v>2025</v>
      </c>
      <c r="U56" s="108" t="str">
        <f t="shared" si="28"/>
        <v>EXPCOABKB0*</v>
      </c>
      <c r="V56" s="108" t="str">
        <f t="shared" si="28"/>
        <v>*COABKB</v>
      </c>
      <c r="W56" s="161">
        <f>VLOOKUP(U56,Worldprices!$B$49:$AN$92,INPUTtoVEDA_Coal!AK56,FALSE)</f>
        <v>1.8411</v>
      </c>
      <c r="X56" s="161"/>
      <c r="Y56" s="108" t="str">
        <f t="shared" si="29"/>
        <v>COST</v>
      </c>
      <c r="Z56" s="126">
        <v>2025</v>
      </c>
      <c r="AA56" s="108" t="str">
        <f t="shared" si="30"/>
        <v>EXPCOACOK0*</v>
      </c>
      <c r="AB56" s="108" t="str">
        <f t="shared" si="30"/>
        <v>*COACOK</v>
      </c>
      <c r="AC56" s="161">
        <f>VLOOKUP(AA56,Worldprices!$B$49:$AN$92,INPUTtoVEDA_Coal!AK56,FALSE)</f>
        <v>2.4612600000000002</v>
      </c>
      <c r="AD56" s="161"/>
      <c r="AE56" s="108" t="str">
        <f t="shared" si="31"/>
        <v>COST</v>
      </c>
      <c r="AF56" s="126">
        <v>2025</v>
      </c>
      <c r="AG56" s="108" t="e">
        <f t="shared" si="32"/>
        <v>#REF!</v>
      </c>
      <c r="AH56" s="108" t="e">
        <f t="shared" si="32"/>
        <v>#REF!</v>
      </c>
      <c r="AI56" s="161" t="e">
        <f>VLOOKUP(AG56,Worldprices!$B$49:$AN$92,INPUTtoVEDA_Coal!AK56,FALSE)</f>
        <v>#REF!</v>
      </c>
      <c r="AJ56" s="161"/>
      <c r="AK56" s="108">
        <f t="shared" si="33"/>
        <v>14</v>
      </c>
    </row>
    <row r="57" spans="1:37" s="109" customFormat="1" hidden="1" x14ac:dyDescent="0.25">
      <c r="A57" s="108" t="str">
        <f t="shared" si="19"/>
        <v>COST</v>
      </c>
      <c r="B57" s="126">
        <v>2026</v>
      </c>
      <c r="C57" s="108" t="str">
        <f t="shared" si="20"/>
        <v>EXPCOABIC0*</v>
      </c>
      <c r="D57" s="108" t="str">
        <f t="shared" si="21"/>
        <v>*COABIC</v>
      </c>
      <c r="E57" s="161">
        <f>VLOOKUP(C57,Worldprices!$B$49:$AN$92,INPUTtoVEDA_Coal!AK57,FALSE)</f>
        <v>2.0187499999999998</v>
      </c>
      <c r="F57" s="161"/>
      <c r="G57" s="108" t="str">
        <f t="shared" si="22"/>
        <v>COST</v>
      </c>
      <c r="H57" s="126">
        <v>2026</v>
      </c>
      <c r="I57" s="108" t="str">
        <f t="shared" si="23"/>
        <v>EXPCOASUB0*</v>
      </c>
      <c r="J57" s="108" t="str">
        <f t="shared" si="24"/>
        <v>*COASUB</v>
      </c>
      <c r="K57" s="161">
        <f>VLOOKUP(I57,Worldprices!$B$49:$AN$92,INPUTtoVEDA_Coal!AK57,FALSE)</f>
        <v>2.0187499999999998</v>
      </c>
      <c r="L57" s="161"/>
      <c r="M57" s="108" t="str">
        <f t="shared" si="25"/>
        <v>COST</v>
      </c>
      <c r="N57" s="126">
        <v>2026</v>
      </c>
      <c r="O57" s="108" t="str">
        <f t="shared" ref="O57:P57" si="40">O56</f>
        <v>EXPCOABCO0*</v>
      </c>
      <c r="P57" s="108" t="str">
        <f t="shared" si="40"/>
        <v>*COABCO</v>
      </c>
      <c r="Q57" s="161">
        <f>VLOOKUP(O57,Worldprices!$B$49:$AN$92,INPUTtoVEDA_Coal!AK57,FALSE)</f>
        <v>1.9178124999999997</v>
      </c>
      <c r="R57" s="161"/>
      <c r="S57" s="108" t="str">
        <f t="shared" si="27"/>
        <v>COST</v>
      </c>
      <c r="T57" s="126">
        <v>2026</v>
      </c>
      <c r="U57" s="108" t="str">
        <f t="shared" si="28"/>
        <v>EXPCOABKB0*</v>
      </c>
      <c r="V57" s="108" t="str">
        <f t="shared" si="28"/>
        <v>*COABKB</v>
      </c>
      <c r="W57" s="161">
        <f>VLOOKUP(U57,Worldprices!$B$49:$AN$92,INPUTtoVEDA_Coal!AK57,FALSE)</f>
        <v>1.9178124999999997</v>
      </c>
      <c r="X57" s="161"/>
      <c r="Y57" s="108" t="str">
        <f t="shared" si="29"/>
        <v>COST</v>
      </c>
      <c r="Z57" s="126">
        <v>2026</v>
      </c>
      <c r="AA57" s="108" t="str">
        <f t="shared" si="30"/>
        <v>EXPCOACOK0*</v>
      </c>
      <c r="AB57" s="108" t="str">
        <f t="shared" si="30"/>
        <v>*COACOK</v>
      </c>
      <c r="AC57" s="161">
        <f>VLOOKUP(AA57,Worldprices!$B$49:$AN$92,INPUTtoVEDA_Coal!AK57,FALSE)</f>
        <v>2.5638125</v>
      </c>
      <c r="AD57" s="161"/>
      <c r="AE57" s="108" t="str">
        <f t="shared" si="31"/>
        <v>COST</v>
      </c>
      <c r="AF57" s="126">
        <v>2026</v>
      </c>
      <c r="AG57" s="108" t="e">
        <f t="shared" si="32"/>
        <v>#REF!</v>
      </c>
      <c r="AH57" s="108" t="e">
        <f t="shared" si="32"/>
        <v>#REF!</v>
      </c>
      <c r="AI57" s="161" t="e">
        <f>VLOOKUP(AG57,Worldprices!$B$49:$AN$92,INPUTtoVEDA_Coal!AK57,FALSE)</f>
        <v>#REF!</v>
      </c>
      <c r="AJ57" s="161"/>
      <c r="AK57" s="108">
        <f t="shared" si="33"/>
        <v>15</v>
      </c>
    </row>
    <row r="58" spans="1:37" s="109" customFormat="1" hidden="1" x14ac:dyDescent="0.25">
      <c r="A58" s="108" t="str">
        <f t="shared" si="19"/>
        <v>COST</v>
      </c>
      <c r="B58" s="126">
        <v>2027</v>
      </c>
      <c r="C58" s="108" t="str">
        <f t="shared" si="20"/>
        <v>EXPCOABIC0*</v>
      </c>
      <c r="D58" s="108" t="str">
        <f t="shared" si="21"/>
        <v>*COABIC</v>
      </c>
      <c r="E58" s="161">
        <f>VLOOKUP(C58,Worldprices!$B$49:$AN$92,INPUTtoVEDA_Coal!AK58,FALSE)</f>
        <v>2.0994999999999999</v>
      </c>
      <c r="F58" s="161"/>
      <c r="G58" s="108" t="str">
        <f t="shared" si="22"/>
        <v>COST</v>
      </c>
      <c r="H58" s="126">
        <v>2027</v>
      </c>
      <c r="I58" s="108" t="str">
        <f t="shared" si="23"/>
        <v>EXPCOASUB0*</v>
      </c>
      <c r="J58" s="108" t="str">
        <f t="shared" si="24"/>
        <v>*COASUB</v>
      </c>
      <c r="K58" s="161">
        <f>VLOOKUP(I58,Worldprices!$B$49:$AN$92,INPUTtoVEDA_Coal!AK58,FALSE)</f>
        <v>2.0994999999999999</v>
      </c>
      <c r="L58" s="161"/>
      <c r="M58" s="108" t="str">
        <f t="shared" si="25"/>
        <v>COST</v>
      </c>
      <c r="N58" s="126">
        <v>2027</v>
      </c>
      <c r="O58" s="108" t="str">
        <f t="shared" ref="O58:P58" si="41">O57</f>
        <v>EXPCOABCO0*</v>
      </c>
      <c r="P58" s="108" t="str">
        <f t="shared" si="41"/>
        <v>*COABCO</v>
      </c>
      <c r="Q58" s="161">
        <f>VLOOKUP(O58,Worldprices!$B$49:$AN$92,INPUTtoVEDA_Coal!AK58,FALSE)</f>
        <v>1.9945249999999999</v>
      </c>
      <c r="R58" s="161"/>
      <c r="S58" s="108" t="str">
        <f t="shared" si="27"/>
        <v>COST</v>
      </c>
      <c r="T58" s="126">
        <v>2027</v>
      </c>
      <c r="U58" s="108" t="str">
        <f t="shared" si="28"/>
        <v>EXPCOABKB0*</v>
      </c>
      <c r="V58" s="108" t="str">
        <f t="shared" si="28"/>
        <v>*COABKB</v>
      </c>
      <c r="W58" s="161">
        <f>VLOOKUP(U58,Worldprices!$B$49:$AN$92,INPUTtoVEDA_Coal!AK58,FALSE)</f>
        <v>1.9945249999999999</v>
      </c>
      <c r="X58" s="161"/>
      <c r="Y58" s="108" t="str">
        <f t="shared" si="29"/>
        <v>COST</v>
      </c>
      <c r="Z58" s="126">
        <v>2027</v>
      </c>
      <c r="AA58" s="108" t="str">
        <f t="shared" si="30"/>
        <v>EXPCOACOK0*</v>
      </c>
      <c r="AB58" s="108" t="str">
        <f t="shared" si="30"/>
        <v>*COACOK</v>
      </c>
      <c r="AC58" s="161">
        <f>VLOOKUP(AA58,Worldprices!$B$49:$AN$92,INPUTtoVEDA_Coal!AK58,FALSE)</f>
        <v>2.6663649999999999</v>
      </c>
      <c r="AD58" s="161"/>
      <c r="AE58" s="108" t="str">
        <f t="shared" si="31"/>
        <v>COST</v>
      </c>
      <c r="AF58" s="126">
        <v>2027</v>
      </c>
      <c r="AG58" s="108" t="e">
        <f t="shared" si="32"/>
        <v>#REF!</v>
      </c>
      <c r="AH58" s="108" t="e">
        <f t="shared" si="32"/>
        <v>#REF!</v>
      </c>
      <c r="AI58" s="161" t="e">
        <f>VLOOKUP(AG58,Worldprices!$B$49:$AN$92,INPUTtoVEDA_Coal!AK58,FALSE)</f>
        <v>#REF!</v>
      </c>
      <c r="AJ58" s="161"/>
      <c r="AK58" s="108">
        <f t="shared" si="33"/>
        <v>16</v>
      </c>
    </row>
    <row r="59" spans="1:37" s="109" customFormat="1" hidden="1" x14ac:dyDescent="0.25">
      <c r="A59" s="108" t="str">
        <f t="shared" si="19"/>
        <v>COST</v>
      </c>
      <c r="B59" s="126">
        <v>2028</v>
      </c>
      <c r="C59" s="108" t="str">
        <f t="shared" si="20"/>
        <v>EXPCOABIC0*</v>
      </c>
      <c r="D59" s="108" t="str">
        <f t="shared" si="21"/>
        <v>*COABIC</v>
      </c>
      <c r="E59" s="161">
        <f>VLOOKUP(C59,Worldprices!$B$49:$AN$92,INPUTtoVEDA_Coal!AK59,FALSE)</f>
        <v>2.18025</v>
      </c>
      <c r="F59" s="161"/>
      <c r="G59" s="108" t="str">
        <f t="shared" si="22"/>
        <v>COST</v>
      </c>
      <c r="H59" s="126">
        <v>2028</v>
      </c>
      <c r="I59" s="108" t="str">
        <f t="shared" si="23"/>
        <v>EXPCOASUB0*</v>
      </c>
      <c r="J59" s="108" t="str">
        <f t="shared" si="24"/>
        <v>*COASUB</v>
      </c>
      <c r="K59" s="161">
        <f>VLOOKUP(I59,Worldprices!$B$49:$AN$92,INPUTtoVEDA_Coal!AK59,FALSE)</f>
        <v>2.18025</v>
      </c>
      <c r="L59" s="161"/>
      <c r="M59" s="108" t="str">
        <f t="shared" si="25"/>
        <v>COST</v>
      </c>
      <c r="N59" s="126">
        <v>2028</v>
      </c>
      <c r="O59" s="108" t="str">
        <f t="shared" ref="O59:P59" si="42">O58</f>
        <v>EXPCOABCO0*</v>
      </c>
      <c r="P59" s="108" t="str">
        <f t="shared" si="42"/>
        <v>*COABCO</v>
      </c>
      <c r="Q59" s="161">
        <f>VLOOKUP(O59,Worldprices!$B$49:$AN$92,INPUTtoVEDA_Coal!AK59,FALSE)</f>
        <v>2.0712375000000001</v>
      </c>
      <c r="R59" s="161"/>
      <c r="S59" s="108" t="str">
        <f t="shared" si="27"/>
        <v>COST</v>
      </c>
      <c r="T59" s="126">
        <v>2028</v>
      </c>
      <c r="U59" s="108" t="str">
        <f t="shared" si="28"/>
        <v>EXPCOABKB0*</v>
      </c>
      <c r="V59" s="108" t="str">
        <f t="shared" si="28"/>
        <v>*COABKB</v>
      </c>
      <c r="W59" s="161">
        <f>VLOOKUP(U59,Worldprices!$B$49:$AN$92,INPUTtoVEDA_Coal!AK59,FALSE)</f>
        <v>2.0712375000000001</v>
      </c>
      <c r="X59" s="161"/>
      <c r="Y59" s="108" t="str">
        <f t="shared" si="29"/>
        <v>COST</v>
      </c>
      <c r="Z59" s="126">
        <v>2028</v>
      </c>
      <c r="AA59" s="108" t="str">
        <f t="shared" si="30"/>
        <v>EXPCOACOK0*</v>
      </c>
      <c r="AB59" s="108" t="str">
        <f t="shared" si="30"/>
        <v>*COACOK</v>
      </c>
      <c r="AC59" s="161">
        <f>VLOOKUP(AA59,Worldprices!$B$49:$AN$92,INPUTtoVEDA_Coal!AK59,FALSE)</f>
        <v>2.7689174999999997</v>
      </c>
      <c r="AD59" s="161"/>
      <c r="AE59" s="108" t="str">
        <f t="shared" si="31"/>
        <v>COST</v>
      </c>
      <c r="AF59" s="126">
        <v>2028</v>
      </c>
      <c r="AG59" s="108" t="e">
        <f t="shared" si="32"/>
        <v>#REF!</v>
      </c>
      <c r="AH59" s="108" t="e">
        <f t="shared" si="32"/>
        <v>#REF!</v>
      </c>
      <c r="AI59" s="161" t="e">
        <f>VLOOKUP(AG59,Worldprices!$B$49:$AN$92,INPUTtoVEDA_Coal!AK59,FALSE)</f>
        <v>#REF!</v>
      </c>
      <c r="AJ59" s="161"/>
      <c r="AK59" s="108">
        <f t="shared" si="33"/>
        <v>17</v>
      </c>
    </row>
    <row r="60" spans="1:37" s="109" customFormat="1" hidden="1" x14ac:dyDescent="0.25">
      <c r="A60" s="108" t="str">
        <f t="shared" si="19"/>
        <v>COST</v>
      </c>
      <c r="B60" s="126">
        <v>2029</v>
      </c>
      <c r="C60" s="108" t="str">
        <f t="shared" si="20"/>
        <v>EXPCOABIC0*</v>
      </c>
      <c r="D60" s="108" t="str">
        <f t="shared" si="21"/>
        <v>*COABIC</v>
      </c>
      <c r="E60" s="161">
        <f>VLOOKUP(C60,Worldprices!$B$49:$AN$92,INPUTtoVEDA_Coal!AK60,FALSE)</f>
        <v>2.2609999999999997</v>
      </c>
      <c r="F60" s="161"/>
      <c r="G60" s="108" t="str">
        <f t="shared" si="22"/>
        <v>COST</v>
      </c>
      <c r="H60" s="126">
        <v>2029</v>
      </c>
      <c r="I60" s="108" t="str">
        <f t="shared" si="23"/>
        <v>EXPCOASUB0*</v>
      </c>
      <c r="J60" s="108" t="str">
        <f t="shared" si="24"/>
        <v>*COASUB</v>
      </c>
      <c r="K60" s="161">
        <f>VLOOKUP(I60,Worldprices!$B$49:$AN$92,INPUTtoVEDA_Coal!AK60,FALSE)</f>
        <v>2.2609999999999997</v>
      </c>
      <c r="L60" s="161"/>
      <c r="M60" s="108" t="str">
        <f t="shared" si="25"/>
        <v>COST</v>
      </c>
      <c r="N60" s="126">
        <v>2029</v>
      </c>
      <c r="O60" s="108" t="str">
        <f t="shared" ref="O60:P60" si="43">O59</f>
        <v>EXPCOABCO0*</v>
      </c>
      <c r="P60" s="108" t="str">
        <f t="shared" si="43"/>
        <v>*COABCO</v>
      </c>
      <c r="Q60" s="161">
        <f>VLOOKUP(O60,Worldprices!$B$49:$AN$92,INPUTtoVEDA_Coal!AK60,FALSE)</f>
        <v>2.1479499999999998</v>
      </c>
      <c r="R60" s="161"/>
      <c r="S60" s="108" t="str">
        <f t="shared" si="27"/>
        <v>COST</v>
      </c>
      <c r="T60" s="126">
        <v>2029</v>
      </c>
      <c r="U60" s="108" t="str">
        <f t="shared" si="28"/>
        <v>EXPCOABKB0*</v>
      </c>
      <c r="V60" s="108" t="str">
        <f t="shared" si="28"/>
        <v>*COABKB</v>
      </c>
      <c r="W60" s="161">
        <f>VLOOKUP(U60,Worldprices!$B$49:$AN$92,INPUTtoVEDA_Coal!AK60,FALSE)</f>
        <v>2.1479499999999998</v>
      </c>
      <c r="X60" s="161"/>
      <c r="Y60" s="108" t="str">
        <f t="shared" si="29"/>
        <v>COST</v>
      </c>
      <c r="Z60" s="126">
        <v>2029</v>
      </c>
      <c r="AA60" s="108" t="str">
        <f t="shared" si="30"/>
        <v>EXPCOACOK0*</v>
      </c>
      <c r="AB60" s="108" t="str">
        <f t="shared" si="30"/>
        <v>*COACOK</v>
      </c>
      <c r="AC60" s="161">
        <f>VLOOKUP(AA60,Worldprices!$B$49:$AN$92,INPUTtoVEDA_Coal!AK60,FALSE)</f>
        <v>2.8714699999999995</v>
      </c>
      <c r="AD60" s="161"/>
      <c r="AE60" s="108" t="str">
        <f t="shared" si="31"/>
        <v>COST</v>
      </c>
      <c r="AF60" s="126">
        <v>2029</v>
      </c>
      <c r="AG60" s="108" t="e">
        <f t="shared" si="32"/>
        <v>#REF!</v>
      </c>
      <c r="AH60" s="108" t="e">
        <f t="shared" si="32"/>
        <v>#REF!</v>
      </c>
      <c r="AI60" s="161" t="e">
        <f>VLOOKUP(AG60,Worldprices!$B$49:$AN$92,INPUTtoVEDA_Coal!AK60,FALSE)</f>
        <v>#REF!</v>
      </c>
      <c r="AJ60" s="161"/>
      <c r="AK60" s="108">
        <f t="shared" si="33"/>
        <v>18</v>
      </c>
    </row>
    <row r="61" spans="1:37" s="109" customFormat="1" x14ac:dyDescent="0.25">
      <c r="A61" s="108" t="str">
        <f t="shared" si="19"/>
        <v>COST</v>
      </c>
      <c r="B61" s="126">
        <v>2030</v>
      </c>
      <c r="C61" s="108" t="str">
        <f t="shared" si="20"/>
        <v>EXPCOABIC0*</v>
      </c>
      <c r="D61" s="108" t="str">
        <f t="shared" si="21"/>
        <v>*COABIC</v>
      </c>
      <c r="E61" s="161">
        <f>VLOOKUP(C61,Worldprices!$B$49:$AN$92,INPUTtoVEDA_Coal!AK61,FALSE)</f>
        <v>2.2270849999999998</v>
      </c>
      <c r="F61" s="161"/>
      <c r="G61" s="108" t="str">
        <f t="shared" si="22"/>
        <v>COST</v>
      </c>
      <c r="H61" s="126">
        <v>2030</v>
      </c>
      <c r="I61" s="108" t="str">
        <f t="shared" si="23"/>
        <v>EXPCOASUB0*</v>
      </c>
      <c r="J61" s="108" t="str">
        <f t="shared" si="24"/>
        <v>*COASUB</v>
      </c>
      <c r="K61" s="161">
        <f>VLOOKUP(I61,Worldprices!$B$49:$AN$92,INPUTtoVEDA_Coal!AK61,FALSE)</f>
        <v>2.2270849999999998</v>
      </c>
      <c r="L61" s="161"/>
      <c r="M61" s="108" t="str">
        <f t="shared" si="25"/>
        <v>COST</v>
      </c>
      <c r="N61" s="126">
        <v>2030</v>
      </c>
      <c r="O61" s="108" t="str">
        <f t="shared" ref="O61:P61" si="44">O60</f>
        <v>EXPCOABCO0*</v>
      </c>
      <c r="P61" s="108" t="str">
        <f t="shared" si="44"/>
        <v>*COABCO</v>
      </c>
      <c r="Q61" s="161">
        <f>VLOOKUP(O61,Worldprices!$B$49:$AN$92,INPUTtoVEDA_Coal!AK61,FALSE)</f>
        <v>2.1157307499999995</v>
      </c>
      <c r="R61" s="161"/>
      <c r="S61" s="108" t="str">
        <f t="shared" si="27"/>
        <v>COST</v>
      </c>
      <c r="T61" s="126">
        <v>2030</v>
      </c>
      <c r="U61" s="108" t="str">
        <f t="shared" si="28"/>
        <v>EXPCOABKB0*</v>
      </c>
      <c r="V61" s="108" t="str">
        <f t="shared" si="28"/>
        <v>*COABKB</v>
      </c>
      <c r="W61" s="161">
        <f>VLOOKUP(U61,Worldprices!$B$49:$AN$92,INPUTtoVEDA_Coal!AK61,FALSE)</f>
        <v>2.1157307499999995</v>
      </c>
      <c r="X61" s="161"/>
      <c r="Y61" s="108" t="str">
        <f t="shared" si="29"/>
        <v>COST</v>
      </c>
      <c r="Z61" s="126">
        <v>2030</v>
      </c>
      <c r="AA61" s="108" t="str">
        <f t="shared" si="30"/>
        <v>EXPCOACOK0*</v>
      </c>
      <c r="AB61" s="108" t="str">
        <f t="shared" si="30"/>
        <v>*COACOK</v>
      </c>
      <c r="AC61" s="161">
        <f>VLOOKUP(AA61,Worldprices!$B$49:$AN$92,INPUTtoVEDA_Coal!AK61,FALSE)</f>
        <v>2.8283979499999998</v>
      </c>
      <c r="AD61" s="161"/>
      <c r="AE61" s="108" t="str">
        <f t="shared" si="31"/>
        <v>COST</v>
      </c>
      <c r="AF61" s="126">
        <v>2030</v>
      </c>
      <c r="AG61" s="108" t="e">
        <f t="shared" si="32"/>
        <v>#REF!</v>
      </c>
      <c r="AH61" s="108" t="e">
        <f t="shared" si="32"/>
        <v>#REF!</v>
      </c>
      <c r="AI61" s="161" t="e">
        <f>VLOOKUP(AG61,Worldprices!$B$49:$AN$92,INPUTtoVEDA_Coal!AK61,FALSE)</f>
        <v>#REF!</v>
      </c>
      <c r="AJ61" s="161"/>
      <c r="AK61" s="108">
        <f t="shared" si="33"/>
        <v>19</v>
      </c>
    </row>
    <row r="62" spans="1:37" s="109" customFormat="1" hidden="1" x14ac:dyDescent="0.25">
      <c r="A62" s="108" t="str">
        <f t="shared" si="19"/>
        <v>COST</v>
      </c>
      <c r="B62" s="126">
        <v>2031</v>
      </c>
      <c r="C62" s="108" t="str">
        <f t="shared" si="20"/>
        <v>EXPCOABIC0*</v>
      </c>
      <c r="D62" s="108" t="str">
        <f t="shared" si="21"/>
        <v>*COABIC</v>
      </c>
      <c r="E62" s="161">
        <f>VLOOKUP(C62,Worldprices!$B$49:$AN$92,INPUTtoVEDA_Coal!AK62,FALSE)</f>
        <v>2.1936787249999998</v>
      </c>
      <c r="F62" s="161"/>
      <c r="G62" s="108" t="str">
        <f t="shared" si="22"/>
        <v>COST</v>
      </c>
      <c r="H62" s="126">
        <v>2031</v>
      </c>
      <c r="I62" s="108" t="str">
        <f t="shared" si="23"/>
        <v>EXPCOASUB0*</v>
      </c>
      <c r="J62" s="108" t="str">
        <f t="shared" si="24"/>
        <v>*COASUB</v>
      </c>
      <c r="K62" s="161">
        <f>VLOOKUP(I62,Worldprices!$B$49:$AN$92,INPUTtoVEDA_Coal!AK62,FALSE)</f>
        <v>2.1936787249999998</v>
      </c>
      <c r="L62" s="161"/>
      <c r="M62" s="108" t="str">
        <f t="shared" si="25"/>
        <v>COST</v>
      </c>
      <c r="N62" s="126">
        <v>2031</v>
      </c>
      <c r="O62" s="108" t="str">
        <f t="shared" ref="O62:P62" si="45">O61</f>
        <v>EXPCOABCO0*</v>
      </c>
      <c r="P62" s="108" t="str">
        <f t="shared" si="45"/>
        <v>*COABCO</v>
      </c>
      <c r="Q62" s="161">
        <f>VLOOKUP(O62,Worldprices!$B$49:$AN$92,INPUTtoVEDA_Coal!AK62,FALSE)</f>
        <v>2.0839947887499997</v>
      </c>
      <c r="R62" s="161"/>
      <c r="S62" s="108" t="str">
        <f t="shared" si="27"/>
        <v>COST</v>
      </c>
      <c r="T62" s="126">
        <v>2031</v>
      </c>
      <c r="U62" s="108" t="str">
        <f t="shared" si="28"/>
        <v>EXPCOABKB0*</v>
      </c>
      <c r="V62" s="108" t="str">
        <f t="shared" si="28"/>
        <v>*COABKB</v>
      </c>
      <c r="W62" s="161">
        <f>VLOOKUP(U62,Worldprices!$B$49:$AN$92,INPUTtoVEDA_Coal!AK62,FALSE)</f>
        <v>2.0839947887499997</v>
      </c>
      <c r="X62" s="161"/>
      <c r="Y62" s="108" t="str">
        <f t="shared" si="29"/>
        <v>COST</v>
      </c>
      <c r="Z62" s="126">
        <v>2031</v>
      </c>
      <c r="AA62" s="108" t="str">
        <f t="shared" si="30"/>
        <v>EXPCOACOK0*</v>
      </c>
      <c r="AB62" s="108" t="str">
        <f t="shared" si="30"/>
        <v>*COACOK</v>
      </c>
      <c r="AC62" s="161">
        <f>VLOOKUP(AA62,Worldprices!$B$49:$AN$92,INPUTtoVEDA_Coal!AK62,FALSE)</f>
        <v>2.7859719807499999</v>
      </c>
      <c r="AD62" s="161"/>
      <c r="AE62" s="108" t="str">
        <f t="shared" si="31"/>
        <v>COST</v>
      </c>
      <c r="AF62" s="126">
        <v>2031</v>
      </c>
      <c r="AG62" s="108" t="e">
        <f t="shared" si="32"/>
        <v>#REF!</v>
      </c>
      <c r="AH62" s="108" t="e">
        <f t="shared" si="32"/>
        <v>#REF!</v>
      </c>
      <c r="AI62" s="161" t="e">
        <f>VLOOKUP(AG62,Worldprices!$B$49:$AN$92,INPUTtoVEDA_Coal!AK62,FALSE)</f>
        <v>#REF!</v>
      </c>
      <c r="AJ62" s="161"/>
      <c r="AK62" s="108">
        <f t="shared" si="33"/>
        <v>20</v>
      </c>
    </row>
    <row r="63" spans="1:37" s="109" customFormat="1" hidden="1" x14ac:dyDescent="0.25">
      <c r="A63" s="108" t="str">
        <f t="shared" si="19"/>
        <v>COST</v>
      </c>
      <c r="B63" s="126">
        <v>2032</v>
      </c>
      <c r="C63" s="108" t="str">
        <f t="shared" si="20"/>
        <v>EXPCOABIC0*</v>
      </c>
      <c r="D63" s="108" t="str">
        <f t="shared" si="21"/>
        <v>*COABIC</v>
      </c>
      <c r="E63" s="161">
        <f>VLOOKUP(C63,Worldprices!$B$49:$AN$92,INPUTtoVEDA_Coal!AK63,FALSE)</f>
        <v>2.160773544125</v>
      </c>
      <c r="F63" s="161"/>
      <c r="G63" s="108" t="str">
        <f t="shared" si="22"/>
        <v>COST</v>
      </c>
      <c r="H63" s="126">
        <v>2032</v>
      </c>
      <c r="I63" s="108" t="str">
        <f t="shared" si="23"/>
        <v>EXPCOASUB0*</v>
      </c>
      <c r="J63" s="108" t="str">
        <f t="shared" si="24"/>
        <v>*COASUB</v>
      </c>
      <c r="K63" s="161">
        <f>VLOOKUP(I63,Worldprices!$B$49:$AN$92,INPUTtoVEDA_Coal!AK63,FALSE)</f>
        <v>2.160773544125</v>
      </c>
      <c r="L63" s="161"/>
      <c r="M63" s="108" t="str">
        <f t="shared" si="25"/>
        <v>COST</v>
      </c>
      <c r="N63" s="126">
        <v>2032</v>
      </c>
      <c r="O63" s="108" t="str">
        <f t="shared" ref="O63:P63" si="46">O62</f>
        <v>EXPCOABCO0*</v>
      </c>
      <c r="P63" s="108" t="str">
        <f t="shared" si="46"/>
        <v>*COABCO</v>
      </c>
      <c r="Q63" s="161">
        <f>VLOOKUP(O63,Worldprices!$B$49:$AN$92,INPUTtoVEDA_Coal!AK63,FALSE)</f>
        <v>2.0527348669187497</v>
      </c>
      <c r="R63" s="161"/>
      <c r="S63" s="108" t="str">
        <f t="shared" si="27"/>
        <v>COST</v>
      </c>
      <c r="T63" s="126">
        <v>2032</v>
      </c>
      <c r="U63" s="108" t="str">
        <f t="shared" si="28"/>
        <v>EXPCOABKB0*</v>
      </c>
      <c r="V63" s="108" t="str">
        <f t="shared" si="28"/>
        <v>*COABKB</v>
      </c>
      <c r="W63" s="161">
        <f>VLOOKUP(U63,Worldprices!$B$49:$AN$92,INPUTtoVEDA_Coal!AK63,FALSE)</f>
        <v>2.0527348669187497</v>
      </c>
      <c r="X63" s="161"/>
      <c r="Y63" s="108" t="str">
        <f t="shared" si="29"/>
        <v>COST</v>
      </c>
      <c r="Z63" s="126">
        <v>2032</v>
      </c>
      <c r="AA63" s="108" t="str">
        <f t="shared" si="30"/>
        <v>EXPCOACOK0*</v>
      </c>
      <c r="AB63" s="108" t="str">
        <f t="shared" si="30"/>
        <v>*COACOK</v>
      </c>
      <c r="AC63" s="161">
        <f>VLOOKUP(AA63,Worldprices!$B$49:$AN$92,INPUTtoVEDA_Coal!AK63,FALSE)</f>
        <v>2.7441824010387497</v>
      </c>
      <c r="AD63" s="161"/>
      <c r="AE63" s="108" t="str">
        <f t="shared" si="31"/>
        <v>COST</v>
      </c>
      <c r="AF63" s="126">
        <v>2032</v>
      </c>
      <c r="AG63" s="108" t="e">
        <f t="shared" si="32"/>
        <v>#REF!</v>
      </c>
      <c r="AH63" s="108" t="e">
        <f t="shared" si="32"/>
        <v>#REF!</v>
      </c>
      <c r="AI63" s="161" t="e">
        <f>VLOOKUP(AG63,Worldprices!$B$49:$AN$92,INPUTtoVEDA_Coal!AK63,FALSE)</f>
        <v>#REF!</v>
      </c>
      <c r="AJ63" s="161"/>
      <c r="AK63" s="108">
        <f t="shared" si="33"/>
        <v>21</v>
      </c>
    </row>
    <row r="64" spans="1:37" s="109" customFormat="1" hidden="1" x14ac:dyDescent="0.25">
      <c r="A64" s="108" t="str">
        <f t="shared" si="19"/>
        <v>COST</v>
      </c>
      <c r="B64" s="126">
        <v>2033</v>
      </c>
      <c r="C64" s="108" t="str">
        <f t="shared" si="20"/>
        <v>EXPCOABIC0*</v>
      </c>
      <c r="D64" s="108" t="str">
        <f t="shared" si="21"/>
        <v>*COABIC</v>
      </c>
      <c r="E64" s="161">
        <f>VLOOKUP(C64,Worldprices!$B$49:$AN$92,INPUTtoVEDA_Coal!AK64,FALSE)</f>
        <v>2.1283619409631251</v>
      </c>
      <c r="F64" s="161"/>
      <c r="G64" s="108" t="str">
        <f t="shared" si="22"/>
        <v>COST</v>
      </c>
      <c r="H64" s="126">
        <v>2033</v>
      </c>
      <c r="I64" s="108" t="str">
        <f t="shared" si="23"/>
        <v>EXPCOASUB0*</v>
      </c>
      <c r="J64" s="108" t="str">
        <f t="shared" si="24"/>
        <v>*COASUB</v>
      </c>
      <c r="K64" s="161">
        <f>VLOOKUP(I64,Worldprices!$B$49:$AN$92,INPUTtoVEDA_Coal!AK64,FALSE)</f>
        <v>2.1283619409631251</v>
      </c>
      <c r="L64" s="161"/>
      <c r="M64" s="108" t="str">
        <f t="shared" si="25"/>
        <v>COST</v>
      </c>
      <c r="N64" s="126">
        <v>2033</v>
      </c>
      <c r="O64" s="108" t="str">
        <f t="shared" ref="O64:P64" si="47">O63</f>
        <v>EXPCOABCO0*</v>
      </c>
      <c r="P64" s="108" t="str">
        <f t="shared" si="47"/>
        <v>*COABCO</v>
      </c>
      <c r="Q64" s="161">
        <f>VLOOKUP(O64,Worldprices!$B$49:$AN$92,INPUTtoVEDA_Coal!AK64,FALSE)</f>
        <v>2.0219438439149688</v>
      </c>
      <c r="R64" s="161"/>
      <c r="S64" s="108" t="str">
        <f t="shared" si="27"/>
        <v>COST</v>
      </c>
      <c r="T64" s="126">
        <v>2033</v>
      </c>
      <c r="U64" s="108" t="str">
        <f t="shared" si="28"/>
        <v>EXPCOABKB0*</v>
      </c>
      <c r="V64" s="108" t="str">
        <f t="shared" si="28"/>
        <v>*COABKB</v>
      </c>
      <c r="W64" s="161">
        <f>VLOOKUP(U64,Worldprices!$B$49:$AN$92,INPUTtoVEDA_Coal!AK64,FALSE)</f>
        <v>2.0219438439149688</v>
      </c>
      <c r="X64" s="161"/>
      <c r="Y64" s="108" t="str">
        <f t="shared" si="29"/>
        <v>COST</v>
      </c>
      <c r="Z64" s="126">
        <v>2033</v>
      </c>
      <c r="AA64" s="108" t="str">
        <f t="shared" si="30"/>
        <v>EXPCOACOK0*</v>
      </c>
      <c r="AB64" s="108" t="str">
        <f t="shared" si="30"/>
        <v>*COACOK</v>
      </c>
      <c r="AC64" s="161">
        <f>VLOOKUP(AA64,Worldprices!$B$49:$AN$92,INPUTtoVEDA_Coal!AK64,FALSE)</f>
        <v>2.7030196650231688</v>
      </c>
      <c r="AD64" s="161"/>
      <c r="AE64" s="108" t="str">
        <f t="shared" si="31"/>
        <v>COST</v>
      </c>
      <c r="AF64" s="126">
        <v>2033</v>
      </c>
      <c r="AG64" s="108" t="e">
        <f t="shared" si="32"/>
        <v>#REF!</v>
      </c>
      <c r="AH64" s="108" t="e">
        <f t="shared" si="32"/>
        <v>#REF!</v>
      </c>
      <c r="AI64" s="161" t="e">
        <f>VLOOKUP(AG64,Worldprices!$B$49:$AN$92,INPUTtoVEDA_Coal!AK64,FALSE)</f>
        <v>#REF!</v>
      </c>
      <c r="AJ64" s="161"/>
      <c r="AK64" s="108">
        <f t="shared" si="33"/>
        <v>22</v>
      </c>
    </row>
    <row r="65" spans="1:37" s="109" customFormat="1" hidden="1" x14ac:dyDescent="0.25">
      <c r="A65" s="108" t="str">
        <f t="shared" si="19"/>
        <v>COST</v>
      </c>
      <c r="B65" s="126">
        <v>2034</v>
      </c>
      <c r="C65" s="108" t="str">
        <f t="shared" si="20"/>
        <v>EXPCOABIC0*</v>
      </c>
      <c r="D65" s="108" t="str">
        <f t="shared" si="21"/>
        <v>*COABIC</v>
      </c>
      <c r="E65" s="161">
        <f>VLOOKUP(C65,Worldprices!$B$49:$AN$92,INPUTtoVEDA_Coal!AK65,FALSE)</f>
        <v>2.0964365118486779</v>
      </c>
      <c r="F65" s="161"/>
      <c r="G65" s="108" t="str">
        <f t="shared" si="22"/>
        <v>COST</v>
      </c>
      <c r="H65" s="126">
        <v>2034</v>
      </c>
      <c r="I65" s="108" t="str">
        <f t="shared" si="23"/>
        <v>EXPCOASUB0*</v>
      </c>
      <c r="J65" s="108" t="str">
        <f t="shared" si="24"/>
        <v>*COASUB</v>
      </c>
      <c r="K65" s="161">
        <f>VLOOKUP(I65,Worldprices!$B$49:$AN$92,INPUTtoVEDA_Coal!AK65,FALSE)</f>
        <v>2.0964365118486779</v>
      </c>
      <c r="L65" s="161"/>
      <c r="M65" s="108" t="str">
        <f t="shared" si="25"/>
        <v>COST</v>
      </c>
      <c r="N65" s="126">
        <v>2034</v>
      </c>
      <c r="O65" s="108" t="str">
        <f t="shared" ref="O65:P65" si="48">O64</f>
        <v>EXPCOABCO0*</v>
      </c>
      <c r="P65" s="108" t="str">
        <f t="shared" si="48"/>
        <v>*COABCO</v>
      </c>
      <c r="Q65" s="161">
        <f>VLOOKUP(O65,Worldprices!$B$49:$AN$92,INPUTtoVEDA_Coal!AK65,FALSE)</f>
        <v>1.9916146862562438</v>
      </c>
      <c r="R65" s="161"/>
      <c r="S65" s="108" t="str">
        <f t="shared" si="27"/>
        <v>COST</v>
      </c>
      <c r="T65" s="126">
        <v>2034</v>
      </c>
      <c r="U65" s="108" t="str">
        <f t="shared" si="28"/>
        <v>EXPCOABKB0*</v>
      </c>
      <c r="V65" s="108" t="str">
        <f t="shared" si="28"/>
        <v>*COABKB</v>
      </c>
      <c r="W65" s="161">
        <f>VLOOKUP(U65,Worldprices!$B$49:$AN$92,INPUTtoVEDA_Coal!AK65,FALSE)</f>
        <v>1.9916146862562438</v>
      </c>
      <c r="X65" s="161"/>
      <c r="Y65" s="108" t="str">
        <f t="shared" si="29"/>
        <v>COST</v>
      </c>
      <c r="Z65" s="126">
        <v>2034</v>
      </c>
      <c r="AA65" s="108" t="str">
        <f t="shared" si="30"/>
        <v>EXPCOACOK0*</v>
      </c>
      <c r="AB65" s="108" t="str">
        <f t="shared" si="30"/>
        <v>*COACOK</v>
      </c>
      <c r="AC65" s="161">
        <f>VLOOKUP(AA65,Worldprices!$B$49:$AN$92,INPUTtoVEDA_Coal!AK65,FALSE)</f>
        <v>2.6624743700478208</v>
      </c>
      <c r="AD65" s="161"/>
      <c r="AE65" s="108" t="str">
        <f t="shared" si="31"/>
        <v>COST</v>
      </c>
      <c r="AF65" s="126">
        <v>2034</v>
      </c>
      <c r="AG65" s="108" t="e">
        <f t="shared" si="32"/>
        <v>#REF!</v>
      </c>
      <c r="AH65" s="108" t="e">
        <f t="shared" si="32"/>
        <v>#REF!</v>
      </c>
      <c r="AI65" s="161" t="e">
        <f>VLOOKUP(AG65,Worldprices!$B$49:$AN$92,INPUTtoVEDA_Coal!AK65,FALSE)</f>
        <v>#REF!</v>
      </c>
      <c r="AJ65" s="161"/>
      <c r="AK65" s="108">
        <f t="shared" si="33"/>
        <v>23</v>
      </c>
    </row>
    <row r="66" spans="1:37" s="109" customFormat="1" x14ac:dyDescent="0.25">
      <c r="A66" s="108" t="str">
        <f t="shared" si="19"/>
        <v>COST</v>
      </c>
      <c r="B66" s="126">
        <v>2035</v>
      </c>
      <c r="C66" s="108" t="str">
        <f t="shared" si="20"/>
        <v>EXPCOABIC0*</v>
      </c>
      <c r="D66" s="108" t="str">
        <f t="shared" si="21"/>
        <v>*COABIC</v>
      </c>
      <c r="E66" s="161">
        <f>VLOOKUP(C66,Worldprices!$B$49:$AN$92,INPUTtoVEDA_Coal!AK66,FALSE)</f>
        <v>2.0649899641709477</v>
      </c>
      <c r="F66" s="161"/>
      <c r="G66" s="108" t="str">
        <f t="shared" si="22"/>
        <v>COST</v>
      </c>
      <c r="H66" s="126">
        <v>2035</v>
      </c>
      <c r="I66" s="108" t="str">
        <f t="shared" si="23"/>
        <v>EXPCOASUB0*</v>
      </c>
      <c r="J66" s="108" t="str">
        <f t="shared" si="24"/>
        <v>*COASUB</v>
      </c>
      <c r="K66" s="161">
        <f>VLOOKUP(I66,Worldprices!$B$49:$AN$92,INPUTtoVEDA_Coal!AK66,FALSE)</f>
        <v>2.0649899641709477</v>
      </c>
      <c r="L66" s="161"/>
      <c r="M66" s="108" t="str">
        <f t="shared" si="25"/>
        <v>COST</v>
      </c>
      <c r="N66" s="126">
        <v>2035</v>
      </c>
      <c r="O66" s="108" t="str">
        <f t="shared" ref="O66:P66" si="49">O65</f>
        <v>EXPCOABCO0*</v>
      </c>
      <c r="P66" s="108" t="str">
        <f t="shared" si="49"/>
        <v>*COABCO</v>
      </c>
      <c r="Q66" s="161">
        <f>VLOOKUP(O66,Worldprices!$B$49:$AN$92,INPUTtoVEDA_Coal!AK66,FALSE)</f>
        <v>1.9617404659624003</v>
      </c>
      <c r="R66" s="161"/>
      <c r="S66" s="108" t="str">
        <f t="shared" si="27"/>
        <v>COST</v>
      </c>
      <c r="T66" s="126">
        <v>2035</v>
      </c>
      <c r="U66" s="108" t="str">
        <f t="shared" ref="U66:V81" si="50">U65</f>
        <v>EXPCOABKB0*</v>
      </c>
      <c r="V66" s="108" t="str">
        <f t="shared" si="50"/>
        <v>*COABKB</v>
      </c>
      <c r="W66" s="161">
        <f>VLOOKUP(U66,Worldprices!$B$49:$AN$92,INPUTtoVEDA_Coal!AK66,FALSE)</f>
        <v>1.9617404659624003</v>
      </c>
      <c r="X66" s="161"/>
      <c r="Y66" s="108" t="str">
        <f t="shared" si="29"/>
        <v>COST</v>
      </c>
      <c r="Z66" s="126">
        <v>2035</v>
      </c>
      <c r="AA66" s="108" t="str">
        <f t="shared" ref="AA66:AB81" si="51">AA65</f>
        <v>EXPCOACOK0*</v>
      </c>
      <c r="AB66" s="108" t="str">
        <f t="shared" si="51"/>
        <v>*COACOK</v>
      </c>
      <c r="AC66" s="161">
        <f>VLOOKUP(AA66,Worldprices!$B$49:$AN$92,INPUTtoVEDA_Coal!AK66,FALSE)</f>
        <v>2.6225372544971037</v>
      </c>
      <c r="AD66" s="161"/>
      <c r="AE66" s="108" t="str">
        <f t="shared" si="31"/>
        <v>COST</v>
      </c>
      <c r="AF66" s="126">
        <v>2035</v>
      </c>
      <c r="AG66" s="108" t="e">
        <f t="shared" ref="AG66:AH81" si="52">AG65</f>
        <v>#REF!</v>
      </c>
      <c r="AH66" s="108" t="e">
        <f t="shared" si="52"/>
        <v>#REF!</v>
      </c>
      <c r="AI66" s="161" t="e">
        <f>VLOOKUP(AG66,Worldprices!$B$49:$AN$92,INPUTtoVEDA_Coal!AK66,FALSE)</f>
        <v>#REF!</v>
      </c>
      <c r="AJ66" s="161"/>
      <c r="AK66" s="108">
        <f t="shared" si="33"/>
        <v>24</v>
      </c>
    </row>
    <row r="67" spans="1:37" s="109" customFormat="1" hidden="1" x14ac:dyDescent="0.25">
      <c r="A67" s="108" t="str">
        <f t="shared" si="19"/>
        <v>COST</v>
      </c>
      <c r="B67" s="126">
        <v>2036</v>
      </c>
      <c r="C67" s="108" t="str">
        <f t="shared" si="20"/>
        <v>EXPCOABIC0*</v>
      </c>
      <c r="D67" s="108" t="str">
        <f t="shared" si="21"/>
        <v>*COABIC</v>
      </c>
      <c r="E67" s="161">
        <f>VLOOKUP(C67,Worldprices!$B$49:$AN$92,INPUTtoVEDA_Coal!AK67,FALSE)</f>
        <v>2.0340151147083834</v>
      </c>
      <c r="F67" s="161"/>
      <c r="G67" s="108" t="str">
        <f t="shared" si="22"/>
        <v>COST</v>
      </c>
      <c r="H67" s="126">
        <v>2036</v>
      </c>
      <c r="I67" s="108" t="str">
        <f t="shared" si="23"/>
        <v>EXPCOASUB0*</v>
      </c>
      <c r="J67" s="108" t="str">
        <f t="shared" si="24"/>
        <v>*COASUB</v>
      </c>
      <c r="K67" s="161">
        <f>VLOOKUP(I67,Worldprices!$B$49:$AN$92,INPUTtoVEDA_Coal!AK67,FALSE)</f>
        <v>2.0340151147083834</v>
      </c>
      <c r="L67" s="161"/>
      <c r="M67" s="108" t="str">
        <f t="shared" si="25"/>
        <v>COST</v>
      </c>
      <c r="N67" s="126">
        <v>2036</v>
      </c>
      <c r="O67" s="108" t="str">
        <f t="shared" ref="O67:P67" si="53">O66</f>
        <v>EXPCOABCO0*</v>
      </c>
      <c r="P67" s="108" t="str">
        <f t="shared" si="53"/>
        <v>*COABCO</v>
      </c>
      <c r="Q67" s="161">
        <f>VLOOKUP(O67,Worldprices!$B$49:$AN$92,INPUTtoVEDA_Coal!AK67,FALSE)</f>
        <v>1.9323143589729641</v>
      </c>
      <c r="R67" s="161"/>
      <c r="S67" s="108" t="str">
        <f t="shared" si="27"/>
        <v>COST</v>
      </c>
      <c r="T67" s="126">
        <v>2036</v>
      </c>
      <c r="U67" s="108" t="str">
        <f t="shared" si="50"/>
        <v>EXPCOABKB0*</v>
      </c>
      <c r="V67" s="108" t="str">
        <f t="shared" si="50"/>
        <v>*COABKB</v>
      </c>
      <c r="W67" s="161">
        <f>VLOOKUP(U67,Worldprices!$B$49:$AN$92,INPUTtoVEDA_Coal!AK67,FALSE)</f>
        <v>1.9323143589729641</v>
      </c>
      <c r="X67" s="161"/>
      <c r="Y67" s="108" t="str">
        <f t="shared" si="29"/>
        <v>COST</v>
      </c>
      <c r="Z67" s="126">
        <v>2036</v>
      </c>
      <c r="AA67" s="108" t="str">
        <f t="shared" si="51"/>
        <v>EXPCOACOK0*</v>
      </c>
      <c r="AB67" s="108" t="str">
        <f t="shared" si="51"/>
        <v>*COACOK</v>
      </c>
      <c r="AC67" s="161">
        <f>VLOOKUP(AA67,Worldprices!$B$49:$AN$92,INPUTtoVEDA_Coal!AK67,FALSE)</f>
        <v>2.5831991956796472</v>
      </c>
      <c r="AD67" s="161"/>
      <c r="AE67" s="108" t="str">
        <f t="shared" si="31"/>
        <v>COST</v>
      </c>
      <c r="AF67" s="126">
        <v>2036</v>
      </c>
      <c r="AG67" s="108" t="e">
        <f t="shared" si="52"/>
        <v>#REF!</v>
      </c>
      <c r="AH67" s="108" t="e">
        <f t="shared" si="52"/>
        <v>#REF!</v>
      </c>
      <c r="AI67" s="161" t="e">
        <f>VLOOKUP(AG67,Worldprices!$B$49:$AN$92,INPUTtoVEDA_Coal!AK67,FALSE)</f>
        <v>#REF!</v>
      </c>
      <c r="AJ67" s="161"/>
      <c r="AK67" s="108">
        <f t="shared" si="33"/>
        <v>25</v>
      </c>
    </row>
    <row r="68" spans="1:37" s="109" customFormat="1" hidden="1" x14ac:dyDescent="0.25">
      <c r="A68" s="108" t="str">
        <f t="shared" si="19"/>
        <v>COST</v>
      </c>
      <c r="B68" s="126">
        <v>2037</v>
      </c>
      <c r="C68" s="108" t="str">
        <f t="shared" si="20"/>
        <v>EXPCOABIC0*</v>
      </c>
      <c r="D68" s="108" t="str">
        <f t="shared" si="21"/>
        <v>*COABIC</v>
      </c>
      <c r="E68" s="161">
        <f>VLOOKUP(C68,Worldprices!$B$49:$AN$92,INPUTtoVEDA_Coal!AK68,FALSE)</f>
        <v>2.0035048879877579</v>
      </c>
      <c r="F68" s="161"/>
      <c r="G68" s="108" t="str">
        <f t="shared" si="22"/>
        <v>COST</v>
      </c>
      <c r="H68" s="126">
        <v>2037</v>
      </c>
      <c r="I68" s="108" t="str">
        <f t="shared" si="23"/>
        <v>EXPCOASUB0*</v>
      </c>
      <c r="J68" s="108" t="str">
        <f t="shared" si="24"/>
        <v>*COASUB</v>
      </c>
      <c r="K68" s="161">
        <f>VLOOKUP(I68,Worldprices!$B$49:$AN$92,INPUTtoVEDA_Coal!AK68,FALSE)</f>
        <v>2.0035048879877579</v>
      </c>
      <c r="L68" s="161"/>
      <c r="M68" s="108" t="str">
        <f t="shared" si="25"/>
        <v>COST</v>
      </c>
      <c r="N68" s="126">
        <v>2037</v>
      </c>
      <c r="O68" s="108" t="str">
        <f t="shared" ref="O68:P68" si="54">O67</f>
        <v>EXPCOABCO0*</v>
      </c>
      <c r="P68" s="108" t="str">
        <f t="shared" si="54"/>
        <v>*COABCO</v>
      </c>
      <c r="Q68" s="161">
        <f>VLOOKUP(O68,Worldprices!$B$49:$AN$92,INPUTtoVEDA_Coal!AK68,FALSE)</f>
        <v>1.90332964358837</v>
      </c>
      <c r="R68" s="161"/>
      <c r="S68" s="108" t="str">
        <f t="shared" si="27"/>
        <v>COST</v>
      </c>
      <c r="T68" s="126">
        <v>2037</v>
      </c>
      <c r="U68" s="108" t="str">
        <f t="shared" si="50"/>
        <v>EXPCOABKB0*</v>
      </c>
      <c r="V68" s="108" t="str">
        <f t="shared" si="50"/>
        <v>*COABKB</v>
      </c>
      <c r="W68" s="161">
        <f>VLOOKUP(U68,Worldprices!$B$49:$AN$92,INPUTtoVEDA_Coal!AK68,FALSE)</f>
        <v>1.90332964358837</v>
      </c>
      <c r="X68" s="161"/>
      <c r="Y68" s="108" t="str">
        <f t="shared" si="29"/>
        <v>COST</v>
      </c>
      <c r="Z68" s="126">
        <v>2037</v>
      </c>
      <c r="AA68" s="108" t="str">
        <f t="shared" si="51"/>
        <v>EXPCOACOK0*</v>
      </c>
      <c r="AB68" s="108" t="str">
        <f t="shared" si="51"/>
        <v>*COACOK</v>
      </c>
      <c r="AC68" s="161">
        <f>VLOOKUP(AA68,Worldprices!$B$49:$AN$92,INPUTtoVEDA_Coal!AK68,FALSE)</f>
        <v>2.5444512077444523</v>
      </c>
      <c r="AD68" s="161"/>
      <c r="AE68" s="108" t="str">
        <f t="shared" si="31"/>
        <v>COST</v>
      </c>
      <c r="AF68" s="126">
        <v>2037</v>
      </c>
      <c r="AG68" s="108" t="e">
        <f t="shared" si="52"/>
        <v>#REF!</v>
      </c>
      <c r="AH68" s="108" t="e">
        <f t="shared" si="52"/>
        <v>#REF!</v>
      </c>
      <c r="AI68" s="161" t="e">
        <f>VLOOKUP(AG68,Worldprices!$B$49:$AN$92,INPUTtoVEDA_Coal!AK68,FALSE)</f>
        <v>#REF!</v>
      </c>
      <c r="AJ68" s="161"/>
      <c r="AK68" s="108">
        <f t="shared" si="33"/>
        <v>26</v>
      </c>
    </row>
    <row r="69" spans="1:37" s="109" customFormat="1" hidden="1" x14ac:dyDescent="0.25">
      <c r="A69" s="108" t="str">
        <f t="shared" si="19"/>
        <v>COST</v>
      </c>
      <c r="B69" s="126">
        <v>2038</v>
      </c>
      <c r="C69" s="108" t="str">
        <f t="shared" si="20"/>
        <v>EXPCOABIC0*</v>
      </c>
      <c r="D69" s="108" t="str">
        <f t="shared" si="21"/>
        <v>*COABIC</v>
      </c>
      <c r="E69" s="161">
        <f>VLOOKUP(C69,Worldprices!$B$49:$AN$92,INPUTtoVEDA_Coal!AK69,FALSE)</f>
        <v>1.9734523146679412</v>
      </c>
      <c r="F69" s="161"/>
      <c r="G69" s="108" t="str">
        <f t="shared" si="22"/>
        <v>COST</v>
      </c>
      <c r="H69" s="126">
        <v>2038</v>
      </c>
      <c r="I69" s="108" t="str">
        <f t="shared" si="23"/>
        <v>EXPCOASUB0*</v>
      </c>
      <c r="J69" s="108" t="str">
        <f t="shared" si="24"/>
        <v>*COASUB</v>
      </c>
      <c r="K69" s="161">
        <f>VLOOKUP(I69,Worldprices!$B$49:$AN$92,INPUTtoVEDA_Coal!AK69,FALSE)</f>
        <v>1.9734523146679412</v>
      </c>
      <c r="L69" s="161"/>
      <c r="M69" s="108" t="str">
        <f t="shared" si="25"/>
        <v>COST</v>
      </c>
      <c r="N69" s="126">
        <v>2038</v>
      </c>
      <c r="O69" s="108" t="str">
        <f t="shared" ref="O69:P69" si="55">O68</f>
        <v>EXPCOABCO0*</v>
      </c>
      <c r="P69" s="108" t="str">
        <f t="shared" si="55"/>
        <v>*COABCO</v>
      </c>
      <c r="Q69" s="161">
        <f>VLOOKUP(O69,Worldprices!$B$49:$AN$92,INPUTtoVEDA_Coal!AK69,FALSE)</f>
        <v>1.874779698934544</v>
      </c>
      <c r="R69" s="161"/>
      <c r="S69" s="108" t="str">
        <f t="shared" si="27"/>
        <v>COST</v>
      </c>
      <c r="T69" s="126">
        <v>2038</v>
      </c>
      <c r="U69" s="108" t="str">
        <f t="shared" si="50"/>
        <v>EXPCOABKB0*</v>
      </c>
      <c r="V69" s="108" t="str">
        <f t="shared" si="50"/>
        <v>*COABKB</v>
      </c>
      <c r="W69" s="161">
        <f>VLOOKUP(U69,Worldprices!$B$49:$AN$92,INPUTtoVEDA_Coal!AK69,FALSE)</f>
        <v>1.874779698934544</v>
      </c>
      <c r="X69" s="161"/>
      <c r="Y69" s="108" t="str">
        <f t="shared" si="29"/>
        <v>COST</v>
      </c>
      <c r="Z69" s="126">
        <v>2038</v>
      </c>
      <c r="AA69" s="108" t="str">
        <f t="shared" si="51"/>
        <v>EXPCOACOK0*</v>
      </c>
      <c r="AB69" s="108" t="str">
        <f t="shared" si="51"/>
        <v>*COACOK</v>
      </c>
      <c r="AC69" s="161">
        <f>VLOOKUP(AA69,Worldprices!$B$49:$AN$92,INPUTtoVEDA_Coal!AK69,FALSE)</f>
        <v>2.5062844396282857</v>
      </c>
      <c r="AD69" s="161"/>
      <c r="AE69" s="108" t="str">
        <f t="shared" si="31"/>
        <v>COST</v>
      </c>
      <c r="AF69" s="126">
        <v>2038</v>
      </c>
      <c r="AG69" s="108" t="e">
        <f t="shared" si="52"/>
        <v>#REF!</v>
      </c>
      <c r="AH69" s="108" t="e">
        <f t="shared" si="52"/>
        <v>#REF!</v>
      </c>
      <c r="AI69" s="161" t="e">
        <f>VLOOKUP(AG69,Worldprices!$B$49:$AN$92,INPUTtoVEDA_Coal!AK69,FALSE)</f>
        <v>#REF!</v>
      </c>
      <c r="AJ69" s="161"/>
      <c r="AK69" s="108">
        <f t="shared" si="33"/>
        <v>27</v>
      </c>
    </row>
    <row r="70" spans="1:37" s="109" customFormat="1" hidden="1" x14ac:dyDescent="0.25">
      <c r="A70" s="108" t="str">
        <f t="shared" si="19"/>
        <v>COST</v>
      </c>
      <c r="B70" s="126">
        <v>2039</v>
      </c>
      <c r="C70" s="108" t="str">
        <f t="shared" si="20"/>
        <v>EXPCOABIC0*</v>
      </c>
      <c r="D70" s="108" t="str">
        <f t="shared" si="21"/>
        <v>*COABIC</v>
      </c>
      <c r="E70" s="161">
        <f>VLOOKUP(C70,Worldprices!$B$49:$AN$92,INPUTtoVEDA_Coal!AK70,FALSE)</f>
        <v>1.9438505299479221</v>
      </c>
      <c r="F70" s="161"/>
      <c r="G70" s="108" t="str">
        <f t="shared" si="22"/>
        <v>COST</v>
      </c>
      <c r="H70" s="126">
        <v>2039</v>
      </c>
      <c r="I70" s="108" t="str">
        <f t="shared" si="23"/>
        <v>EXPCOASUB0*</v>
      </c>
      <c r="J70" s="108" t="str">
        <f t="shared" si="24"/>
        <v>*COASUB</v>
      </c>
      <c r="K70" s="161">
        <f>VLOOKUP(I70,Worldprices!$B$49:$AN$92,INPUTtoVEDA_Coal!AK70,FALSE)</f>
        <v>1.9438505299479221</v>
      </c>
      <c r="L70" s="161"/>
      <c r="M70" s="108" t="str">
        <f t="shared" si="25"/>
        <v>COST</v>
      </c>
      <c r="N70" s="126">
        <v>2039</v>
      </c>
      <c r="O70" s="108" t="str">
        <f t="shared" ref="O70:P70" si="56">O69</f>
        <v>EXPCOABCO0*</v>
      </c>
      <c r="P70" s="108" t="str">
        <f t="shared" si="56"/>
        <v>*COABCO</v>
      </c>
      <c r="Q70" s="161">
        <f>VLOOKUP(O70,Worldprices!$B$49:$AN$92,INPUTtoVEDA_Coal!AK70,FALSE)</f>
        <v>1.8466580034505258</v>
      </c>
      <c r="R70" s="161"/>
      <c r="S70" s="108" t="str">
        <f t="shared" si="27"/>
        <v>COST</v>
      </c>
      <c r="T70" s="126">
        <v>2039</v>
      </c>
      <c r="U70" s="108" t="str">
        <f t="shared" si="50"/>
        <v>EXPCOABKB0*</v>
      </c>
      <c r="V70" s="108" t="str">
        <f t="shared" si="50"/>
        <v>*COABKB</v>
      </c>
      <c r="W70" s="161">
        <f>VLOOKUP(U70,Worldprices!$B$49:$AN$92,INPUTtoVEDA_Coal!AK70,FALSE)</f>
        <v>1.8466580034505258</v>
      </c>
      <c r="X70" s="161"/>
      <c r="Y70" s="108" t="str">
        <f t="shared" si="29"/>
        <v>COST</v>
      </c>
      <c r="Z70" s="126">
        <v>2039</v>
      </c>
      <c r="AA70" s="108" t="str">
        <f t="shared" si="51"/>
        <v>EXPCOACOK0*</v>
      </c>
      <c r="AB70" s="108" t="str">
        <f t="shared" si="51"/>
        <v>*COACOK</v>
      </c>
      <c r="AC70" s="161">
        <f>VLOOKUP(AA70,Worldprices!$B$49:$AN$92,INPUTtoVEDA_Coal!AK70,FALSE)</f>
        <v>2.4686901730338611</v>
      </c>
      <c r="AD70" s="161"/>
      <c r="AE70" s="108" t="str">
        <f t="shared" si="31"/>
        <v>COST</v>
      </c>
      <c r="AF70" s="126">
        <v>2039</v>
      </c>
      <c r="AG70" s="108" t="e">
        <f t="shared" si="52"/>
        <v>#REF!</v>
      </c>
      <c r="AH70" s="108" t="e">
        <f t="shared" si="52"/>
        <v>#REF!</v>
      </c>
      <c r="AI70" s="161" t="e">
        <f>VLOOKUP(AG70,Worldprices!$B$49:$AN$92,INPUTtoVEDA_Coal!AK70,FALSE)</f>
        <v>#REF!</v>
      </c>
      <c r="AJ70" s="161"/>
      <c r="AK70" s="108">
        <f t="shared" si="33"/>
        <v>28</v>
      </c>
    </row>
    <row r="71" spans="1:37" s="109" customFormat="1" x14ac:dyDescent="0.25">
      <c r="A71" s="108" t="str">
        <f t="shared" si="19"/>
        <v>COST</v>
      </c>
      <c r="B71" s="126">
        <v>2040</v>
      </c>
      <c r="C71" s="108" t="str">
        <f t="shared" si="20"/>
        <v>EXPCOABIC0*</v>
      </c>
      <c r="D71" s="108" t="str">
        <f t="shared" si="21"/>
        <v>*COABIC</v>
      </c>
      <c r="E71" s="161">
        <f>VLOOKUP(C71,Worldprices!$B$49:$AN$92,INPUTtoVEDA_Coal!AK71,FALSE)</f>
        <v>1.914692771998703</v>
      </c>
      <c r="F71" s="161"/>
      <c r="G71" s="108" t="str">
        <f t="shared" si="22"/>
        <v>COST</v>
      </c>
      <c r="H71" s="126">
        <v>2040</v>
      </c>
      <c r="I71" s="108" t="str">
        <f t="shared" si="23"/>
        <v>EXPCOASUB0*</v>
      </c>
      <c r="J71" s="108" t="str">
        <f t="shared" si="24"/>
        <v>*COASUB</v>
      </c>
      <c r="K71" s="161">
        <f>VLOOKUP(I71,Worldprices!$B$49:$AN$92,INPUTtoVEDA_Coal!AK71,FALSE)</f>
        <v>1.914692771998703</v>
      </c>
      <c r="L71" s="161"/>
      <c r="M71" s="108" t="str">
        <f t="shared" si="25"/>
        <v>COST</v>
      </c>
      <c r="N71" s="126">
        <v>2040</v>
      </c>
      <c r="O71" s="108" t="str">
        <f t="shared" ref="O71:P71" si="57">O70</f>
        <v>EXPCOABCO0*</v>
      </c>
      <c r="P71" s="108" t="str">
        <f t="shared" si="57"/>
        <v>*COABCO</v>
      </c>
      <c r="Q71" s="161">
        <f>VLOOKUP(O71,Worldprices!$B$49:$AN$92,INPUTtoVEDA_Coal!AK71,FALSE)</f>
        <v>1.8189581333987679</v>
      </c>
      <c r="R71" s="161"/>
      <c r="S71" s="108" t="str">
        <f t="shared" si="27"/>
        <v>COST</v>
      </c>
      <c r="T71" s="126">
        <v>2040</v>
      </c>
      <c r="U71" s="108" t="str">
        <f t="shared" si="50"/>
        <v>EXPCOABKB0*</v>
      </c>
      <c r="V71" s="108" t="str">
        <f t="shared" si="50"/>
        <v>*COABKB</v>
      </c>
      <c r="W71" s="161">
        <f>VLOOKUP(U71,Worldprices!$B$49:$AN$92,INPUTtoVEDA_Coal!AK71,FALSE)</f>
        <v>1.8189581333987679</v>
      </c>
      <c r="X71" s="161"/>
      <c r="Y71" s="108" t="str">
        <f t="shared" si="29"/>
        <v>COST</v>
      </c>
      <c r="Z71" s="126">
        <v>2040</v>
      </c>
      <c r="AA71" s="108" t="str">
        <f t="shared" si="51"/>
        <v>EXPCOACOK0*</v>
      </c>
      <c r="AB71" s="108" t="str">
        <f t="shared" si="51"/>
        <v>*COACOK</v>
      </c>
      <c r="AC71" s="161">
        <f>VLOOKUP(AA71,Worldprices!$B$49:$AN$92,INPUTtoVEDA_Coal!AK71,FALSE)</f>
        <v>2.431659820438353</v>
      </c>
      <c r="AD71" s="161"/>
      <c r="AE71" s="108" t="str">
        <f t="shared" si="31"/>
        <v>COST</v>
      </c>
      <c r="AF71" s="126">
        <v>2040</v>
      </c>
      <c r="AG71" s="108" t="e">
        <f t="shared" si="52"/>
        <v>#REF!</v>
      </c>
      <c r="AH71" s="108" t="e">
        <f t="shared" si="52"/>
        <v>#REF!</v>
      </c>
      <c r="AI71" s="161" t="e">
        <f>VLOOKUP(AG71,Worldprices!$B$49:$AN$92,INPUTtoVEDA_Coal!AK71,FALSE)</f>
        <v>#REF!</v>
      </c>
      <c r="AJ71" s="161"/>
      <c r="AK71" s="108">
        <f t="shared" si="33"/>
        <v>29</v>
      </c>
    </row>
    <row r="72" spans="1:37" s="109" customFormat="1" hidden="1" x14ac:dyDescent="0.25">
      <c r="A72" s="108" t="str">
        <f t="shared" si="19"/>
        <v>COST</v>
      </c>
      <c r="B72" s="126">
        <v>2041</v>
      </c>
      <c r="C72" s="108" t="str">
        <f t="shared" si="20"/>
        <v>EXPCOABIC0*</v>
      </c>
      <c r="D72" s="108" t="str">
        <f t="shared" si="21"/>
        <v>*COABIC</v>
      </c>
      <c r="E72" s="161">
        <f>VLOOKUP(C72,Worldprices!$B$49:$AN$92,INPUTtoVEDA_Coal!AK72,FALSE)</f>
        <v>1.8859723804187225</v>
      </c>
      <c r="F72" s="161"/>
      <c r="G72" s="108" t="str">
        <f t="shared" si="22"/>
        <v>COST</v>
      </c>
      <c r="H72" s="126">
        <v>2041</v>
      </c>
      <c r="I72" s="108" t="str">
        <f t="shared" si="23"/>
        <v>EXPCOASUB0*</v>
      </c>
      <c r="J72" s="108" t="str">
        <f t="shared" si="24"/>
        <v>*COASUB</v>
      </c>
      <c r="K72" s="161">
        <f>VLOOKUP(I72,Worldprices!$B$49:$AN$92,INPUTtoVEDA_Coal!AK72,FALSE)</f>
        <v>1.8859723804187225</v>
      </c>
      <c r="L72" s="161"/>
      <c r="M72" s="108" t="str">
        <f t="shared" si="25"/>
        <v>COST</v>
      </c>
      <c r="N72" s="126">
        <v>2041</v>
      </c>
      <c r="O72" s="108" t="str">
        <f t="shared" ref="O72:P72" si="58">O71</f>
        <v>EXPCOABCO0*</v>
      </c>
      <c r="P72" s="108" t="str">
        <f t="shared" si="58"/>
        <v>*COABCO</v>
      </c>
      <c r="Q72" s="161">
        <f>VLOOKUP(O72,Worldprices!$B$49:$AN$92,INPUTtoVEDA_Coal!AK72,FALSE)</f>
        <v>1.7916737613977862</v>
      </c>
      <c r="R72" s="161"/>
      <c r="S72" s="108" t="str">
        <f t="shared" si="27"/>
        <v>COST</v>
      </c>
      <c r="T72" s="126">
        <v>2041</v>
      </c>
      <c r="U72" s="108" t="str">
        <f t="shared" si="50"/>
        <v>EXPCOABKB0*</v>
      </c>
      <c r="V72" s="108" t="str">
        <f t="shared" si="50"/>
        <v>*COABKB</v>
      </c>
      <c r="W72" s="161">
        <f>VLOOKUP(U72,Worldprices!$B$49:$AN$92,INPUTtoVEDA_Coal!AK72,FALSE)</f>
        <v>1.7916737613977862</v>
      </c>
      <c r="X72" s="161"/>
      <c r="Y72" s="108" t="str">
        <f t="shared" si="29"/>
        <v>COST</v>
      </c>
      <c r="Z72" s="126">
        <v>2041</v>
      </c>
      <c r="AA72" s="108" t="str">
        <f t="shared" si="51"/>
        <v>EXPCOACOK0*</v>
      </c>
      <c r="AB72" s="108" t="str">
        <f t="shared" si="51"/>
        <v>*COACOK</v>
      </c>
      <c r="AC72" s="161">
        <f>VLOOKUP(AA72,Worldprices!$B$49:$AN$92,INPUTtoVEDA_Coal!AK72,FALSE)</f>
        <v>2.3951849231317781</v>
      </c>
      <c r="AD72" s="161"/>
      <c r="AE72" s="108" t="str">
        <f t="shared" si="31"/>
        <v>COST</v>
      </c>
      <c r="AF72" s="126">
        <v>2041</v>
      </c>
      <c r="AG72" s="108" t="e">
        <f t="shared" si="52"/>
        <v>#REF!</v>
      </c>
      <c r="AH72" s="108" t="e">
        <f t="shared" si="52"/>
        <v>#REF!</v>
      </c>
      <c r="AI72" s="161" t="e">
        <f>VLOOKUP(AG72,Worldprices!$B$49:$AN$92,INPUTtoVEDA_Coal!AK72,FALSE)</f>
        <v>#REF!</v>
      </c>
      <c r="AJ72" s="161"/>
      <c r="AK72" s="108">
        <f t="shared" si="33"/>
        <v>30</v>
      </c>
    </row>
    <row r="73" spans="1:37" s="109" customFormat="1" hidden="1" x14ac:dyDescent="0.25">
      <c r="A73" s="108" t="str">
        <f t="shared" si="19"/>
        <v>COST</v>
      </c>
      <c r="B73" s="126">
        <v>2042</v>
      </c>
      <c r="C73" s="108" t="str">
        <f t="shared" si="20"/>
        <v>EXPCOABIC0*</v>
      </c>
      <c r="D73" s="108" t="str">
        <f t="shared" si="21"/>
        <v>*COABIC</v>
      </c>
      <c r="E73" s="161">
        <f>VLOOKUP(C73,Worldprices!$B$49:$AN$92,INPUTtoVEDA_Coal!AK73,FALSE)</f>
        <v>1.8576827947124417</v>
      </c>
      <c r="F73" s="161"/>
      <c r="G73" s="108" t="str">
        <f t="shared" si="22"/>
        <v>COST</v>
      </c>
      <c r="H73" s="126">
        <v>2042</v>
      </c>
      <c r="I73" s="108" t="str">
        <f t="shared" si="23"/>
        <v>EXPCOASUB0*</v>
      </c>
      <c r="J73" s="108" t="str">
        <f t="shared" si="24"/>
        <v>*COASUB</v>
      </c>
      <c r="K73" s="161">
        <f>VLOOKUP(I73,Worldprices!$B$49:$AN$92,INPUTtoVEDA_Coal!AK73,FALSE)</f>
        <v>1.8576827947124417</v>
      </c>
      <c r="L73" s="161"/>
      <c r="M73" s="108" t="str">
        <f t="shared" si="25"/>
        <v>COST</v>
      </c>
      <c r="N73" s="126">
        <v>2042</v>
      </c>
      <c r="O73" s="108" t="str">
        <f t="shared" ref="O73:P73" si="59">O72</f>
        <v>EXPCOABCO0*</v>
      </c>
      <c r="P73" s="108" t="str">
        <f t="shared" si="59"/>
        <v>*COABCO</v>
      </c>
      <c r="Q73" s="161">
        <f>VLOOKUP(O73,Worldprices!$B$49:$AN$92,INPUTtoVEDA_Coal!AK73,FALSE)</f>
        <v>1.7647986549768195</v>
      </c>
      <c r="R73" s="161"/>
      <c r="S73" s="108" t="str">
        <f t="shared" si="27"/>
        <v>COST</v>
      </c>
      <c r="T73" s="126">
        <v>2042</v>
      </c>
      <c r="U73" s="108" t="str">
        <f t="shared" si="50"/>
        <v>EXPCOABKB0*</v>
      </c>
      <c r="V73" s="108" t="str">
        <f t="shared" si="50"/>
        <v>*COABKB</v>
      </c>
      <c r="W73" s="161">
        <f>VLOOKUP(U73,Worldprices!$B$49:$AN$92,INPUTtoVEDA_Coal!AK73,FALSE)</f>
        <v>1.7647986549768195</v>
      </c>
      <c r="X73" s="161"/>
      <c r="Y73" s="108" t="str">
        <f t="shared" si="29"/>
        <v>COST</v>
      </c>
      <c r="Z73" s="126">
        <v>2042</v>
      </c>
      <c r="AA73" s="108" t="str">
        <f t="shared" si="51"/>
        <v>EXPCOACOK0*</v>
      </c>
      <c r="AB73" s="108" t="str">
        <f t="shared" si="51"/>
        <v>*COACOK</v>
      </c>
      <c r="AC73" s="161">
        <f>VLOOKUP(AA73,Worldprices!$B$49:$AN$92,INPUTtoVEDA_Coal!AK73,FALSE)</f>
        <v>2.3592571492848013</v>
      </c>
      <c r="AD73" s="161"/>
      <c r="AE73" s="108" t="str">
        <f t="shared" si="31"/>
        <v>COST</v>
      </c>
      <c r="AF73" s="126">
        <v>2042</v>
      </c>
      <c r="AG73" s="108" t="e">
        <f t="shared" si="52"/>
        <v>#REF!</v>
      </c>
      <c r="AH73" s="108" t="e">
        <f t="shared" si="52"/>
        <v>#REF!</v>
      </c>
      <c r="AI73" s="161" t="e">
        <f>VLOOKUP(AG73,Worldprices!$B$49:$AN$92,INPUTtoVEDA_Coal!AK73,FALSE)</f>
        <v>#REF!</v>
      </c>
      <c r="AJ73" s="161"/>
      <c r="AK73" s="108">
        <f t="shared" si="33"/>
        <v>31</v>
      </c>
    </row>
    <row r="74" spans="1:37" s="109" customFormat="1" hidden="1" x14ac:dyDescent="0.25">
      <c r="A74" s="108" t="str">
        <f t="shared" si="19"/>
        <v>COST</v>
      </c>
      <c r="B74" s="126">
        <v>2043</v>
      </c>
      <c r="C74" s="108" t="str">
        <f t="shared" si="20"/>
        <v>EXPCOABIC0*</v>
      </c>
      <c r="D74" s="108" t="str">
        <f t="shared" si="21"/>
        <v>*COABIC</v>
      </c>
      <c r="E74" s="161">
        <f>VLOOKUP(C74,Worldprices!$B$49:$AN$92,INPUTtoVEDA_Coal!AK74,FALSE)</f>
        <v>1.8298175527917551</v>
      </c>
      <c r="F74" s="161"/>
      <c r="G74" s="108" t="str">
        <f t="shared" si="22"/>
        <v>COST</v>
      </c>
      <c r="H74" s="126">
        <v>2043</v>
      </c>
      <c r="I74" s="108" t="str">
        <f t="shared" si="23"/>
        <v>EXPCOASUB0*</v>
      </c>
      <c r="J74" s="108" t="str">
        <f t="shared" si="24"/>
        <v>*COASUB</v>
      </c>
      <c r="K74" s="161">
        <f>VLOOKUP(I74,Worldprices!$B$49:$AN$92,INPUTtoVEDA_Coal!AK74,FALSE)</f>
        <v>1.8298175527917551</v>
      </c>
      <c r="L74" s="161"/>
      <c r="M74" s="108" t="str">
        <f t="shared" si="25"/>
        <v>COST</v>
      </c>
      <c r="N74" s="126">
        <v>2043</v>
      </c>
      <c r="O74" s="108" t="str">
        <f t="shared" ref="O74:P74" si="60">O73</f>
        <v>EXPCOABCO0*</v>
      </c>
      <c r="P74" s="108" t="str">
        <f t="shared" si="60"/>
        <v>*COABCO</v>
      </c>
      <c r="Q74" s="161">
        <f>VLOOKUP(O74,Worldprices!$B$49:$AN$92,INPUTtoVEDA_Coal!AK74,FALSE)</f>
        <v>1.7383266751521673</v>
      </c>
      <c r="R74" s="161"/>
      <c r="S74" s="108" t="str">
        <f t="shared" si="27"/>
        <v>COST</v>
      </c>
      <c r="T74" s="126">
        <v>2043</v>
      </c>
      <c r="U74" s="108" t="str">
        <f t="shared" si="50"/>
        <v>EXPCOABKB0*</v>
      </c>
      <c r="V74" s="108" t="str">
        <f t="shared" si="50"/>
        <v>*COABKB</v>
      </c>
      <c r="W74" s="161">
        <f>VLOOKUP(U74,Worldprices!$B$49:$AN$92,INPUTtoVEDA_Coal!AK74,FALSE)</f>
        <v>1.7383266751521673</v>
      </c>
      <c r="X74" s="161"/>
      <c r="Y74" s="108" t="str">
        <f t="shared" si="29"/>
        <v>COST</v>
      </c>
      <c r="Z74" s="126">
        <v>2043</v>
      </c>
      <c r="AA74" s="108" t="str">
        <f t="shared" si="51"/>
        <v>EXPCOACOK0*</v>
      </c>
      <c r="AB74" s="108" t="str">
        <f t="shared" si="51"/>
        <v>*COACOK</v>
      </c>
      <c r="AC74" s="161">
        <f>VLOOKUP(AA74,Worldprices!$B$49:$AN$92,INPUTtoVEDA_Coal!AK74,FALSE)</f>
        <v>2.3238682920455287</v>
      </c>
      <c r="AD74" s="161"/>
      <c r="AE74" s="108" t="str">
        <f t="shared" si="31"/>
        <v>COST</v>
      </c>
      <c r="AF74" s="126">
        <v>2043</v>
      </c>
      <c r="AG74" s="108" t="e">
        <f t="shared" si="52"/>
        <v>#REF!</v>
      </c>
      <c r="AH74" s="108" t="e">
        <f t="shared" si="52"/>
        <v>#REF!</v>
      </c>
      <c r="AI74" s="161" t="e">
        <f>VLOOKUP(AG74,Worldprices!$B$49:$AN$92,INPUTtoVEDA_Coal!AK74,FALSE)</f>
        <v>#REF!</v>
      </c>
      <c r="AJ74" s="161"/>
      <c r="AK74" s="108">
        <f t="shared" si="33"/>
        <v>32</v>
      </c>
    </row>
    <row r="75" spans="1:37" s="109" customFormat="1" hidden="1" x14ac:dyDescent="0.25">
      <c r="A75" s="108" t="str">
        <f t="shared" si="19"/>
        <v>COST</v>
      </c>
      <c r="B75" s="126">
        <v>2044</v>
      </c>
      <c r="C75" s="108" t="str">
        <f t="shared" si="20"/>
        <v>EXPCOABIC0*</v>
      </c>
      <c r="D75" s="108" t="str">
        <f t="shared" si="21"/>
        <v>*COABIC</v>
      </c>
      <c r="E75" s="161">
        <f>VLOOKUP(C75,Worldprices!$B$49:$AN$92,INPUTtoVEDA_Coal!AK75,FALSE)</f>
        <v>1.8023702894998788</v>
      </c>
      <c r="F75" s="161"/>
      <c r="G75" s="108" t="str">
        <f t="shared" si="22"/>
        <v>COST</v>
      </c>
      <c r="H75" s="126">
        <v>2044</v>
      </c>
      <c r="I75" s="108" t="str">
        <f t="shared" si="23"/>
        <v>EXPCOASUB0*</v>
      </c>
      <c r="J75" s="108" t="str">
        <f t="shared" si="24"/>
        <v>*COASUB</v>
      </c>
      <c r="K75" s="161">
        <f>VLOOKUP(I75,Worldprices!$B$49:$AN$92,INPUTtoVEDA_Coal!AK75,FALSE)</f>
        <v>1.8023702894998788</v>
      </c>
      <c r="L75" s="161"/>
      <c r="M75" s="108" t="str">
        <f t="shared" si="25"/>
        <v>COST</v>
      </c>
      <c r="N75" s="126">
        <v>2044</v>
      </c>
      <c r="O75" s="108" t="str">
        <f t="shared" ref="O75:P75" si="61">O74</f>
        <v>EXPCOABCO0*</v>
      </c>
      <c r="P75" s="108" t="str">
        <f t="shared" si="61"/>
        <v>*COABCO</v>
      </c>
      <c r="Q75" s="161">
        <f>VLOOKUP(O75,Worldprices!$B$49:$AN$92,INPUTtoVEDA_Coal!AK75,FALSE)</f>
        <v>1.7122517750248847</v>
      </c>
      <c r="R75" s="161"/>
      <c r="S75" s="108" t="str">
        <f t="shared" si="27"/>
        <v>COST</v>
      </c>
      <c r="T75" s="126">
        <v>2044</v>
      </c>
      <c r="U75" s="108" t="str">
        <f t="shared" si="50"/>
        <v>EXPCOABKB0*</v>
      </c>
      <c r="V75" s="108" t="str">
        <f t="shared" si="50"/>
        <v>*COABKB</v>
      </c>
      <c r="W75" s="161">
        <f>VLOOKUP(U75,Worldprices!$B$49:$AN$92,INPUTtoVEDA_Coal!AK75,FALSE)</f>
        <v>1.7122517750248847</v>
      </c>
      <c r="X75" s="161"/>
      <c r="Y75" s="108" t="str">
        <f t="shared" si="29"/>
        <v>COST</v>
      </c>
      <c r="Z75" s="126">
        <v>2044</v>
      </c>
      <c r="AA75" s="108" t="str">
        <f t="shared" si="51"/>
        <v>EXPCOACOK0*</v>
      </c>
      <c r="AB75" s="108" t="str">
        <f t="shared" si="51"/>
        <v>*COACOK</v>
      </c>
      <c r="AC75" s="161">
        <f>VLOOKUP(AA75,Worldprices!$B$49:$AN$92,INPUTtoVEDA_Coal!AK75,FALSE)</f>
        <v>2.2890102676648461</v>
      </c>
      <c r="AD75" s="161"/>
      <c r="AE75" s="108" t="str">
        <f t="shared" si="31"/>
        <v>COST</v>
      </c>
      <c r="AF75" s="126">
        <v>2044</v>
      </c>
      <c r="AG75" s="108" t="e">
        <f t="shared" si="52"/>
        <v>#REF!</v>
      </c>
      <c r="AH75" s="108" t="e">
        <f t="shared" si="52"/>
        <v>#REF!</v>
      </c>
      <c r="AI75" s="161" t="e">
        <f>VLOOKUP(AG75,Worldprices!$B$49:$AN$92,INPUTtoVEDA_Coal!AK75,FALSE)</f>
        <v>#REF!</v>
      </c>
      <c r="AJ75" s="161"/>
      <c r="AK75" s="108">
        <f t="shared" si="33"/>
        <v>33</v>
      </c>
    </row>
    <row r="76" spans="1:37" s="109" customFormat="1" x14ac:dyDescent="0.25">
      <c r="A76" s="108" t="str">
        <f t="shared" si="19"/>
        <v>COST</v>
      </c>
      <c r="B76" s="126">
        <v>2045</v>
      </c>
      <c r="C76" s="108" t="str">
        <f t="shared" si="20"/>
        <v>EXPCOABIC0*</v>
      </c>
      <c r="D76" s="108" t="str">
        <f t="shared" si="21"/>
        <v>*COABIC</v>
      </c>
      <c r="E76" s="161">
        <f>VLOOKUP(C76,Worldprices!$B$49:$AN$92,INPUTtoVEDA_Coal!AK76,FALSE)</f>
        <v>1.7753347351573805</v>
      </c>
      <c r="F76" s="161"/>
      <c r="G76" s="108" t="str">
        <f t="shared" si="22"/>
        <v>COST</v>
      </c>
      <c r="H76" s="126">
        <v>2045</v>
      </c>
      <c r="I76" s="108" t="str">
        <f t="shared" si="23"/>
        <v>EXPCOASUB0*</v>
      </c>
      <c r="J76" s="108" t="str">
        <f t="shared" si="24"/>
        <v>*COASUB</v>
      </c>
      <c r="K76" s="161">
        <f>VLOOKUP(I76,Worldprices!$B$49:$AN$92,INPUTtoVEDA_Coal!AK76,FALSE)</f>
        <v>1.7753347351573805</v>
      </c>
      <c r="L76" s="161"/>
      <c r="M76" s="108" t="str">
        <f t="shared" si="25"/>
        <v>COST</v>
      </c>
      <c r="N76" s="126">
        <v>2045</v>
      </c>
      <c r="O76" s="108" t="str">
        <f t="shared" ref="O76:P76" si="62">O75</f>
        <v>EXPCOABCO0*</v>
      </c>
      <c r="P76" s="108" t="str">
        <f t="shared" si="62"/>
        <v>*COABCO</v>
      </c>
      <c r="Q76" s="161">
        <f>VLOOKUP(O76,Worldprices!$B$49:$AN$92,INPUTtoVEDA_Coal!AK76,FALSE)</f>
        <v>1.6865679983995114</v>
      </c>
      <c r="R76" s="161"/>
      <c r="S76" s="108" t="str">
        <f t="shared" si="27"/>
        <v>COST</v>
      </c>
      <c r="T76" s="126">
        <v>2045</v>
      </c>
      <c r="U76" s="108" t="str">
        <f t="shared" si="50"/>
        <v>EXPCOABKB0*</v>
      </c>
      <c r="V76" s="108" t="str">
        <f t="shared" si="50"/>
        <v>*COABKB</v>
      </c>
      <c r="W76" s="161">
        <f>VLOOKUP(U76,Worldprices!$B$49:$AN$92,INPUTtoVEDA_Coal!AK76,FALSE)</f>
        <v>1.6865679983995114</v>
      </c>
      <c r="X76" s="161"/>
      <c r="Y76" s="108" t="str">
        <f t="shared" si="29"/>
        <v>COST</v>
      </c>
      <c r="Z76" s="126">
        <v>2045</v>
      </c>
      <c r="AA76" s="108" t="str">
        <f t="shared" si="51"/>
        <v>EXPCOACOK0*</v>
      </c>
      <c r="AB76" s="108" t="str">
        <f t="shared" si="51"/>
        <v>*COACOK</v>
      </c>
      <c r="AC76" s="161">
        <f>VLOOKUP(AA76,Worldprices!$B$49:$AN$92,INPUTtoVEDA_Coal!AK76,FALSE)</f>
        <v>2.2546751136498733</v>
      </c>
      <c r="AD76" s="161"/>
      <c r="AE76" s="108" t="str">
        <f t="shared" si="31"/>
        <v>COST</v>
      </c>
      <c r="AF76" s="126">
        <v>2045</v>
      </c>
      <c r="AG76" s="108" t="e">
        <f t="shared" si="52"/>
        <v>#REF!</v>
      </c>
      <c r="AH76" s="108" t="e">
        <f t="shared" si="52"/>
        <v>#REF!</v>
      </c>
      <c r="AI76" s="161" t="e">
        <f>VLOOKUP(AG76,Worldprices!$B$49:$AN$92,INPUTtoVEDA_Coal!AK76,FALSE)</f>
        <v>#REF!</v>
      </c>
      <c r="AJ76" s="161"/>
      <c r="AK76" s="108">
        <f t="shared" si="33"/>
        <v>34</v>
      </c>
    </row>
    <row r="77" spans="1:37" s="109" customFormat="1" hidden="1" x14ac:dyDescent="0.25">
      <c r="A77" s="108" t="str">
        <f t="shared" si="19"/>
        <v>COST</v>
      </c>
      <c r="B77" s="126">
        <v>2046</v>
      </c>
      <c r="C77" s="108" t="str">
        <f t="shared" si="20"/>
        <v>EXPCOABIC0*</v>
      </c>
      <c r="D77" s="108" t="str">
        <f t="shared" si="21"/>
        <v>*COABIC</v>
      </c>
      <c r="E77" s="161">
        <f>VLOOKUP(C77,Worldprices!$B$49:$AN$92,INPUTtoVEDA_Coal!AK77,FALSE)</f>
        <v>1.7487047141300198</v>
      </c>
      <c r="F77" s="161"/>
      <c r="G77" s="108" t="str">
        <f t="shared" si="22"/>
        <v>COST</v>
      </c>
      <c r="H77" s="126">
        <v>2046</v>
      </c>
      <c r="I77" s="108" t="str">
        <f t="shared" si="23"/>
        <v>EXPCOASUB0*</v>
      </c>
      <c r="J77" s="108" t="str">
        <f t="shared" si="24"/>
        <v>*COASUB</v>
      </c>
      <c r="K77" s="161">
        <f>VLOOKUP(I77,Worldprices!$B$49:$AN$92,INPUTtoVEDA_Coal!AK77,FALSE)</f>
        <v>1.7487047141300198</v>
      </c>
      <c r="L77" s="161"/>
      <c r="M77" s="108" t="str">
        <f t="shared" si="25"/>
        <v>COST</v>
      </c>
      <c r="N77" s="126">
        <v>2046</v>
      </c>
      <c r="O77" s="108" t="str">
        <f t="shared" ref="O77:P77" si="63">O76</f>
        <v>EXPCOABCO0*</v>
      </c>
      <c r="P77" s="108" t="str">
        <f t="shared" si="63"/>
        <v>*COABCO</v>
      </c>
      <c r="Q77" s="161">
        <f>VLOOKUP(O77,Worldprices!$B$49:$AN$92,INPUTtoVEDA_Coal!AK77,FALSE)</f>
        <v>1.6612694784235187</v>
      </c>
      <c r="R77" s="161"/>
      <c r="S77" s="108" t="str">
        <f t="shared" si="27"/>
        <v>COST</v>
      </c>
      <c r="T77" s="126">
        <v>2046</v>
      </c>
      <c r="U77" s="108" t="str">
        <f t="shared" si="50"/>
        <v>EXPCOABKB0*</v>
      </c>
      <c r="V77" s="108" t="str">
        <f t="shared" si="50"/>
        <v>*COABKB</v>
      </c>
      <c r="W77" s="161">
        <f>VLOOKUP(U77,Worldprices!$B$49:$AN$92,INPUTtoVEDA_Coal!AK77,FALSE)</f>
        <v>1.6612694784235187</v>
      </c>
      <c r="X77" s="161"/>
      <c r="Y77" s="108" t="str">
        <f t="shared" si="29"/>
        <v>COST</v>
      </c>
      <c r="Z77" s="126">
        <v>2046</v>
      </c>
      <c r="AA77" s="108" t="str">
        <f t="shared" si="51"/>
        <v>EXPCOACOK0*</v>
      </c>
      <c r="AB77" s="108" t="str">
        <f t="shared" si="51"/>
        <v>*COACOK</v>
      </c>
      <c r="AC77" s="161">
        <f>VLOOKUP(AA77,Worldprices!$B$49:$AN$92,INPUTtoVEDA_Coal!AK77,FALSE)</f>
        <v>2.2208549869451253</v>
      </c>
      <c r="AD77" s="161"/>
      <c r="AE77" s="108" t="str">
        <f t="shared" si="31"/>
        <v>COST</v>
      </c>
      <c r="AF77" s="126">
        <v>2046</v>
      </c>
      <c r="AG77" s="108" t="e">
        <f t="shared" si="52"/>
        <v>#REF!</v>
      </c>
      <c r="AH77" s="108" t="e">
        <f t="shared" si="52"/>
        <v>#REF!</v>
      </c>
      <c r="AI77" s="161" t="e">
        <f>VLOOKUP(AG77,Worldprices!$B$49:$AN$92,INPUTtoVEDA_Coal!AK77,FALSE)</f>
        <v>#REF!</v>
      </c>
      <c r="AJ77" s="161"/>
      <c r="AK77" s="108">
        <f t="shared" si="33"/>
        <v>35</v>
      </c>
    </row>
    <row r="78" spans="1:37" s="109" customFormat="1" hidden="1" x14ac:dyDescent="0.25">
      <c r="A78" s="108" t="str">
        <f t="shared" si="19"/>
        <v>COST</v>
      </c>
      <c r="B78" s="126">
        <v>2047</v>
      </c>
      <c r="C78" s="108" t="str">
        <f t="shared" si="20"/>
        <v>EXPCOABIC0*</v>
      </c>
      <c r="D78" s="108" t="str">
        <f t="shared" si="21"/>
        <v>*COABIC</v>
      </c>
      <c r="E78" s="161">
        <f>VLOOKUP(C78,Worldprices!$B$49:$AN$92,INPUTtoVEDA_Coal!AK78,FALSE)</f>
        <v>1.7224741434180695</v>
      </c>
      <c r="F78" s="161"/>
      <c r="G78" s="108" t="str">
        <f t="shared" si="22"/>
        <v>COST</v>
      </c>
      <c r="H78" s="126">
        <v>2047</v>
      </c>
      <c r="I78" s="108" t="str">
        <f t="shared" si="23"/>
        <v>EXPCOASUB0*</v>
      </c>
      <c r="J78" s="108" t="str">
        <f t="shared" si="24"/>
        <v>*COASUB</v>
      </c>
      <c r="K78" s="161">
        <f>VLOOKUP(I78,Worldprices!$B$49:$AN$92,INPUTtoVEDA_Coal!AK78,FALSE)</f>
        <v>1.7224741434180695</v>
      </c>
      <c r="L78" s="161"/>
      <c r="M78" s="108" t="str">
        <f t="shared" si="25"/>
        <v>COST</v>
      </c>
      <c r="N78" s="126">
        <v>2047</v>
      </c>
      <c r="O78" s="108" t="str">
        <f t="shared" ref="O78:P78" si="64">O77</f>
        <v>EXPCOABCO0*</v>
      </c>
      <c r="P78" s="108" t="str">
        <f t="shared" si="64"/>
        <v>*COABCO</v>
      </c>
      <c r="Q78" s="161">
        <f>VLOOKUP(O78,Worldprices!$B$49:$AN$92,INPUTtoVEDA_Coal!AK78,FALSE)</f>
        <v>1.6363504362471659</v>
      </c>
      <c r="R78" s="161"/>
      <c r="S78" s="108" t="str">
        <f t="shared" si="27"/>
        <v>COST</v>
      </c>
      <c r="T78" s="126">
        <v>2047</v>
      </c>
      <c r="U78" s="108" t="str">
        <f t="shared" si="50"/>
        <v>EXPCOABKB0*</v>
      </c>
      <c r="V78" s="108" t="str">
        <f t="shared" si="50"/>
        <v>*COABKB</v>
      </c>
      <c r="W78" s="161">
        <f>VLOOKUP(U78,Worldprices!$B$49:$AN$92,INPUTtoVEDA_Coal!AK78,FALSE)</f>
        <v>1.6363504362471659</v>
      </c>
      <c r="X78" s="161"/>
      <c r="Y78" s="108" t="str">
        <f t="shared" si="29"/>
        <v>COST</v>
      </c>
      <c r="Z78" s="126">
        <v>2047</v>
      </c>
      <c r="AA78" s="108" t="str">
        <f t="shared" si="51"/>
        <v>EXPCOACOK0*</v>
      </c>
      <c r="AB78" s="108" t="str">
        <f t="shared" si="51"/>
        <v>*COACOK</v>
      </c>
      <c r="AC78" s="161">
        <f>VLOOKUP(AA78,Worldprices!$B$49:$AN$92,INPUTtoVEDA_Coal!AK78,FALSE)</f>
        <v>2.1875421621409483</v>
      </c>
      <c r="AD78" s="161"/>
      <c r="AE78" s="108" t="str">
        <f t="shared" si="31"/>
        <v>COST</v>
      </c>
      <c r="AF78" s="126">
        <v>2047</v>
      </c>
      <c r="AG78" s="108" t="e">
        <f t="shared" si="52"/>
        <v>#REF!</v>
      </c>
      <c r="AH78" s="108" t="e">
        <f t="shared" si="52"/>
        <v>#REF!</v>
      </c>
      <c r="AI78" s="161" t="e">
        <f>VLOOKUP(AG78,Worldprices!$B$49:$AN$92,INPUTtoVEDA_Coal!AK78,FALSE)</f>
        <v>#REF!</v>
      </c>
      <c r="AJ78" s="161"/>
      <c r="AK78" s="108">
        <f t="shared" si="33"/>
        <v>36</v>
      </c>
    </row>
    <row r="79" spans="1:37" s="109" customFormat="1" hidden="1" x14ac:dyDescent="0.25">
      <c r="A79" s="108" t="str">
        <f t="shared" si="19"/>
        <v>COST</v>
      </c>
      <c r="B79" s="126">
        <v>2048</v>
      </c>
      <c r="C79" s="108" t="str">
        <f t="shared" si="20"/>
        <v>EXPCOABIC0*</v>
      </c>
      <c r="D79" s="108" t="str">
        <f t="shared" si="21"/>
        <v>*COABIC</v>
      </c>
      <c r="E79" s="161">
        <f>VLOOKUP(C79,Worldprices!$B$49:$AN$92,INPUTtoVEDA_Coal!AK79,FALSE)</f>
        <v>1.6966370312667982</v>
      </c>
      <c r="F79" s="161"/>
      <c r="G79" s="108" t="str">
        <f t="shared" si="22"/>
        <v>COST</v>
      </c>
      <c r="H79" s="126">
        <v>2048</v>
      </c>
      <c r="I79" s="108" t="str">
        <f t="shared" si="23"/>
        <v>EXPCOASUB0*</v>
      </c>
      <c r="J79" s="108" t="str">
        <f t="shared" si="24"/>
        <v>*COASUB</v>
      </c>
      <c r="K79" s="161">
        <f>VLOOKUP(I79,Worldprices!$B$49:$AN$92,INPUTtoVEDA_Coal!AK79,FALSE)</f>
        <v>1.6966370312667982</v>
      </c>
      <c r="L79" s="161"/>
      <c r="M79" s="108" t="str">
        <f t="shared" si="25"/>
        <v>COST</v>
      </c>
      <c r="N79" s="126">
        <v>2048</v>
      </c>
      <c r="O79" s="108" t="str">
        <f t="shared" ref="O79:P79" si="65">O78</f>
        <v>EXPCOABCO0*</v>
      </c>
      <c r="P79" s="108" t="str">
        <f t="shared" si="65"/>
        <v>*COABCO</v>
      </c>
      <c r="Q79" s="161">
        <f>VLOOKUP(O79,Worldprices!$B$49:$AN$92,INPUTtoVEDA_Coal!AK79,FALSE)</f>
        <v>1.6118051797034583</v>
      </c>
      <c r="R79" s="161"/>
      <c r="S79" s="108" t="str">
        <f t="shared" si="27"/>
        <v>COST</v>
      </c>
      <c r="T79" s="126">
        <v>2048</v>
      </c>
      <c r="U79" s="108" t="str">
        <f t="shared" si="50"/>
        <v>EXPCOABKB0*</v>
      </c>
      <c r="V79" s="108" t="str">
        <f t="shared" si="50"/>
        <v>*COABKB</v>
      </c>
      <c r="W79" s="161">
        <f>VLOOKUP(U79,Worldprices!$B$49:$AN$92,INPUTtoVEDA_Coal!AK79,FALSE)</f>
        <v>1.6118051797034583</v>
      </c>
      <c r="X79" s="161"/>
      <c r="Y79" s="108" t="str">
        <f t="shared" si="29"/>
        <v>COST</v>
      </c>
      <c r="Z79" s="126">
        <v>2048</v>
      </c>
      <c r="AA79" s="108" t="str">
        <f t="shared" si="51"/>
        <v>EXPCOACOK0*</v>
      </c>
      <c r="AB79" s="108" t="str">
        <f t="shared" si="51"/>
        <v>*COACOK</v>
      </c>
      <c r="AC79" s="161">
        <f>VLOOKUP(AA79,Worldprices!$B$49:$AN$92,INPUTtoVEDA_Coal!AK79,FALSE)</f>
        <v>2.1547290297088337</v>
      </c>
      <c r="AD79" s="161"/>
      <c r="AE79" s="108" t="str">
        <f t="shared" si="31"/>
        <v>COST</v>
      </c>
      <c r="AF79" s="126">
        <v>2048</v>
      </c>
      <c r="AG79" s="108" t="e">
        <f t="shared" si="52"/>
        <v>#REF!</v>
      </c>
      <c r="AH79" s="108" t="e">
        <f t="shared" si="52"/>
        <v>#REF!</v>
      </c>
      <c r="AI79" s="161" t="e">
        <f>VLOOKUP(AG79,Worldprices!$B$49:$AN$92,INPUTtoVEDA_Coal!AK79,FALSE)</f>
        <v>#REF!</v>
      </c>
      <c r="AJ79" s="161"/>
      <c r="AK79" s="108">
        <f t="shared" si="33"/>
        <v>37</v>
      </c>
    </row>
    <row r="80" spans="1:37" s="109" customFormat="1" hidden="1" x14ac:dyDescent="0.25">
      <c r="A80" s="108" t="str">
        <f t="shared" si="19"/>
        <v>COST</v>
      </c>
      <c r="B80" s="126">
        <v>2049</v>
      </c>
      <c r="C80" s="108" t="str">
        <f t="shared" si="20"/>
        <v>EXPCOABIC0*</v>
      </c>
      <c r="D80" s="108" t="str">
        <f t="shared" si="21"/>
        <v>*COABIC</v>
      </c>
      <c r="E80" s="161">
        <f>VLOOKUP(C80,Worldprices!$B$49:$AN$92,INPUTtoVEDA_Coal!AK80,FALSE)</f>
        <v>1.6711874757977963</v>
      </c>
      <c r="F80" s="161"/>
      <c r="G80" s="108" t="str">
        <f t="shared" si="22"/>
        <v>COST</v>
      </c>
      <c r="H80" s="126">
        <v>2049</v>
      </c>
      <c r="I80" s="108" t="str">
        <f t="shared" si="23"/>
        <v>EXPCOASUB0*</v>
      </c>
      <c r="J80" s="108" t="str">
        <f t="shared" si="24"/>
        <v>*COASUB</v>
      </c>
      <c r="K80" s="161">
        <f>VLOOKUP(I80,Worldprices!$B$49:$AN$92,INPUTtoVEDA_Coal!AK80,FALSE)</f>
        <v>1.6711874757977963</v>
      </c>
      <c r="L80" s="161"/>
      <c r="M80" s="108" t="str">
        <f t="shared" si="25"/>
        <v>COST</v>
      </c>
      <c r="N80" s="126">
        <v>2049</v>
      </c>
      <c r="O80" s="108" t="str">
        <f t="shared" ref="O80:P80" si="66">O79</f>
        <v>EXPCOABCO0*</v>
      </c>
      <c r="P80" s="108" t="str">
        <f t="shared" si="66"/>
        <v>*COABCO</v>
      </c>
      <c r="Q80" s="161">
        <f>VLOOKUP(O80,Worldprices!$B$49:$AN$92,INPUTtoVEDA_Coal!AK80,FALSE)</f>
        <v>1.5876281020079064</v>
      </c>
      <c r="R80" s="161"/>
      <c r="S80" s="108" t="str">
        <f t="shared" si="27"/>
        <v>COST</v>
      </c>
      <c r="T80" s="126">
        <v>2049</v>
      </c>
      <c r="U80" s="108" t="str">
        <f t="shared" si="50"/>
        <v>EXPCOABKB0*</v>
      </c>
      <c r="V80" s="108" t="str">
        <f t="shared" si="50"/>
        <v>*COABKB</v>
      </c>
      <c r="W80" s="161">
        <f>VLOOKUP(U80,Worldprices!$B$49:$AN$92,INPUTtoVEDA_Coal!AK80,FALSE)</f>
        <v>1.5876281020079064</v>
      </c>
      <c r="X80" s="161"/>
      <c r="Y80" s="108" t="str">
        <f t="shared" si="29"/>
        <v>COST</v>
      </c>
      <c r="Z80" s="126">
        <v>2049</v>
      </c>
      <c r="AA80" s="108" t="str">
        <f t="shared" si="51"/>
        <v>EXPCOACOK0*</v>
      </c>
      <c r="AB80" s="108" t="str">
        <f t="shared" si="51"/>
        <v>*COACOK</v>
      </c>
      <c r="AC80" s="161">
        <f>VLOOKUP(AA80,Worldprices!$B$49:$AN$92,INPUTtoVEDA_Coal!AK80,FALSE)</f>
        <v>2.1224080942632013</v>
      </c>
      <c r="AD80" s="161"/>
      <c r="AE80" s="108" t="str">
        <f t="shared" si="31"/>
        <v>COST</v>
      </c>
      <c r="AF80" s="126">
        <v>2049</v>
      </c>
      <c r="AG80" s="108" t="e">
        <f t="shared" si="52"/>
        <v>#REF!</v>
      </c>
      <c r="AH80" s="108" t="e">
        <f t="shared" si="52"/>
        <v>#REF!</v>
      </c>
      <c r="AI80" s="161" t="e">
        <f>VLOOKUP(AG80,Worldprices!$B$49:$AN$92,INPUTtoVEDA_Coal!AK80,FALSE)</f>
        <v>#REF!</v>
      </c>
      <c r="AJ80" s="161"/>
      <c r="AK80" s="108">
        <f t="shared" si="33"/>
        <v>38</v>
      </c>
    </row>
    <row r="81" spans="1:84" x14ac:dyDescent="0.25">
      <c r="A81" s="108" t="str">
        <f t="shared" si="19"/>
        <v>COST</v>
      </c>
      <c r="B81" s="126">
        <v>2050</v>
      </c>
      <c r="C81" s="108" t="str">
        <f t="shared" si="20"/>
        <v>EXPCOABIC0*</v>
      </c>
      <c r="D81" s="108" t="str">
        <f t="shared" si="21"/>
        <v>*COABIC</v>
      </c>
      <c r="E81" s="161">
        <f>VLOOKUP(C81,Worldprices!$B$49:$AN$92,INPUTtoVEDA_Coal!AK81,FALSE)</f>
        <v>1.6711874757977963</v>
      </c>
      <c r="F81" s="161"/>
      <c r="G81" s="108" t="str">
        <f t="shared" si="22"/>
        <v>COST</v>
      </c>
      <c r="H81" s="126">
        <v>2050</v>
      </c>
      <c r="I81" s="108" t="str">
        <f t="shared" si="23"/>
        <v>EXPCOASUB0*</v>
      </c>
      <c r="J81" s="108" t="str">
        <f t="shared" si="24"/>
        <v>*COASUB</v>
      </c>
      <c r="K81" s="161">
        <f>VLOOKUP(I81,Worldprices!$B$49:$AN$92,INPUTtoVEDA_Coal!AK81,FALSE)</f>
        <v>1.6711874757977963</v>
      </c>
      <c r="L81" s="161"/>
      <c r="M81" s="108" t="str">
        <f t="shared" si="25"/>
        <v>COST</v>
      </c>
      <c r="N81" s="126">
        <v>2050</v>
      </c>
      <c r="O81" s="108" t="str">
        <f t="shared" ref="O81:P81" si="67">O80</f>
        <v>EXPCOABCO0*</v>
      </c>
      <c r="P81" s="108" t="str">
        <f t="shared" si="67"/>
        <v>*COABCO</v>
      </c>
      <c r="Q81" s="161">
        <f>VLOOKUP(O81,Worldprices!$B$49:$AN$92,INPUTtoVEDA_Coal!AK81,FALSE)</f>
        <v>1.5876281020079064</v>
      </c>
      <c r="R81" s="161"/>
      <c r="S81" s="108" t="str">
        <f t="shared" si="27"/>
        <v>COST</v>
      </c>
      <c r="T81" s="126">
        <v>2050</v>
      </c>
      <c r="U81" s="108" t="str">
        <f t="shared" si="50"/>
        <v>EXPCOABKB0*</v>
      </c>
      <c r="V81" s="108" t="str">
        <f t="shared" si="50"/>
        <v>*COABKB</v>
      </c>
      <c r="W81" s="161">
        <f>VLOOKUP(U81,Worldprices!$B$49:$AN$92,INPUTtoVEDA_Coal!AK81,FALSE)</f>
        <v>1.5876281020079064</v>
      </c>
      <c r="X81" s="161"/>
      <c r="Y81" s="108" t="str">
        <f t="shared" si="29"/>
        <v>COST</v>
      </c>
      <c r="Z81" s="126">
        <v>2050</v>
      </c>
      <c r="AA81" s="108" t="str">
        <f t="shared" si="51"/>
        <v>EXPCOACOK0*</v>
      </c>
      <c r="AB81" s="108" t="str">
        <f t="shared" si="51"/>
        <v>*COACOK</v>
      </c>
      <c r="AC81" s="161">
        <f>VLOOKUP(AA81,Worldprices!$B$49:$AN$92,INPUTtoVEDA_Coal!AK81,FALSE)</f>
        <v>2.1224080942632013</v>
      </c>
      <c r="AD81" s="161"/>
      <c r="AE81" s="108" t="str">
        <f t="shared" si="31"/>
        <v>COST</v>
      </c>
      <c r="AF81" s="126">
        <v>2050</v>
      </c>
      <c r="AG81" s="108" t="e">
        <f t="shared" si="52"/>
        <v>#REF!</v>
      </c>
      <c r="AH81" s="108" t="e">
        <f t="shared" si="52"/>
        <v>#REF!</v>
      </c>
      <c r="AI81" s="161" t="e">
        <f>VLOOKUP(AG81,Worldprices!$B$49:$AN$92,INPUTtoVEDA_Coal!AK81,FALSE)</f>
        <v>#REF!</v>
      </c>
      <c r="AJ81" s="161"/>
      <c r="AK81" s="108">
        <f t="shared" si="33"/>
        <v>39</v>
      </c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</row>
    <row r="82" spans="1:84" x14ac:dyDescent="0.25"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</row>
    <row r="83" spans="1:84" x14ac:dyDescent="0.25">
      <c r="BV83" s="108"/>
      <c r="BW83" s="108"/>
      <c r="BX83" s="108"/>
      <c r="BY83" s="108"/>
      <c r="BZ83" s="108"/>
      <c r="CA83" s="108"/>
      <c r="CB83" s="108"/>
      <c r="CC83" s="108"/>
      <c r="CD83" s="108"/>
      <c r="CE83" s="108"/>
      <c r="CF83" s="108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AO87"/>
  <sheetViews>
    <sheetView topLeftCell="A26" zoomScale="85" zoomScaleNormal="85" workbookViewId="0">
      <selection activeCell="A26" sqref="A1:XFD1048576"/>
    </sheetView>
  </sheetViews>
  <sheetFormatPr defaultRowHeight="13.2" x14ac:dyDescent="0.25"/>
  <cols>
    <col min="1" max="1" width="28.5546875" style="109" bestFit="1" customWidth="1"/>
    <col min="2" max="2" width="18.6640625" style="109" customWidth="1"/>
    <col min="3" max="3" width="19.44140625" style="109" bestFit="1" customWidth="1"/>
    <col min="4" max="4" width="32.6640625" style="109" bestFit="1" customWidth="1"/>
    <col min="5" max="5" width="13" style="116" customWidth="1"/>
    <col min="6" max="6" width="27.109375" style="109" bestFit="1" customWidth="1"/>
    <col min="7" max="7" width="8.88671875" style="109"/>
    <col min="8" max="8" width="26.44140625" style="109" customWidth="1"/>
    <col min="9" max="16384" width="8.88671875" style="109"/>
  </cols>
  <sheetData>
    <row r="1" spans="1:41" ht="17.399999999999999" x14ac:dyDescent="0.3">
      <c r="A1" s="111" t="s">
        <v>279</v>
      </c>
      <c r="B1" s="111"/>
      <c r="C1" s="111"/>
      <c r="I1" s="116"/>
    </row>
    <row r="2" spans="1:41" x14ac:dyDescent="0.25">
      <c r="I2" s="117" t="s">
        <v>357</v>
      </c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</row>
    <row r="3" spans="1:41" s="117" customFormat="1" x14ac:dyDescent="0.25">
      <c r="A3" s="134"/>
      <c r="B3" s="134"/>
      <c r="C3" s="134" t="s">
        <v>51</v>
      </c>
      <c r="D3" s="134"/>
      <c r="E3" s="134"/>
      <c r="F3" s="134"/>
      <c r="G3" s="134"/>
      <c r="H3" s="134"/>
      <c r="I3" s="117" t="s">
        <v>358</v>
      </c>
    </row>
    <row r="4" spans="1:41" s="117" customFormat="1" x14ac:dyDescent="0.25">
      <c r="A4" s="164" t="s">
        <v>104</v>
      </c>
      <c r="B4" s="164" t="s">
        <v>191</v>
      </c>
      <c r="C4" s="164" t="s">
        <v>192</v>
      </c>
      <c r="D4" s="164" t="s">
        <v>314</v>
      </c>
      <c r="E4" s="164" t="s">
        <v>354</v>
      </c>
      <c r="F4" s="164" t="s">
        <v>219</v>
      </c>
      <c r="G4" s="164"/>
      <c r="H4" s="164"/>
      <c r="I4" s="117" t="s">
        <v>359</v>
      </c>
      <c r="J4" s="117" t="s">
        <v>360</v>
      </c>
      <c r="K4" s="117" t="s">
        <v>361</v>
      </c>
      <c r="L4" s="117" t="s">
        <v>362</v>
      </c>
      <c r="M4" s="117" t="s">
        <v>363</v>
      </c>
      <c r="N4" s="117" t="s">
        <v>364</v>
      </c>
      <c r="O4" s="117" t="s">
        <v>365</v>
      </c>
      <c r="P4" s="117" t="s">
        <v>366</v>
      </c>
      <c r="Q4" s="117" t="s">
        <v>367</v>
      </c>
      <c r="R4" s="117" t="s">
        <v>368</v>
      </c>
      <c r="S4" s="117" t="s">
        <v>369</v>
      </c>
      <c r="T4" s="117" t="s">
        <v>370</v>
      </c>
      <c r="U4" s="117" t="s">
        <v>371</v>
      </c>
      <c r="V4" s="117" t="s">
        <v>372</v>
      </c>
      <c r="W4" s="117" t="s">
        <v>373</v>
      </c>
      <c r="X4" s="117" t="s">
        <v>374</v>
      </c>
      <c r="Y4" s="117" t="s">
        <v>375</v>
      </c>
      <c r="Z4" s="117" t="s">
        <v>376</v>
      </c>
      <c r="AA4" s="117" t="s">
        <v>377</v>
      </c>
      <c r="AB4" s="117" t="s">
        <v>378</v>
      </c>
      <c r="AC4" s="117" t="s">
        <v>379</v>
      </c>
      <c r="AD4" s="117" t="s">
        <v>380</v>
      </c>
      <c r="AE4" s="117" t="s">
        <v>381</v>
      </c>
      <c r="AF4" s="117" t="s">
        <v>382</v>
      </c>
      <c r="AG4" s="117" t="s">
        <v>383</v>
      </c>
      <c r="AH4" s="117" t="s">
        <v>384</v>
      </c>
      <c r="AI4" s="117" t="s">
        <v>385</v>
      </c>
      <c r="AJ4" s="117" t="s">
        <v>386</v>
      </c>
      <c r="AK4" s="117" t="s">
        <v>387</v>
      </c>
      <c r="AL4" s="117" t="s">
        <v>388</v>
      </c>
      <c r="AM4" s="117" t="s">
        <v>389</v>
      </c>
      <c r="AN4" s="117" t="s">
        <v>390</v>
      </c>
    </row>
    <row r="5" spans="1:41" s="117" customFormat="1" x14ac:dyDescent="0.25">
      <c r="A5" s="134" t="s">
        <v>194</v>
      </c>
      <c r="B5" s="117" t="s">
        <v>25</v>
      </c>
      <c r="C5" s="161"/>
      <c r="D5" s="165"/>
      <c r="E5" s="166">
        <f>E7</f>
        <v>2.2999999999999998</v>
      </c>
      <c r="F5" s="117" t="str">
        <f>G5&amp;H5</f>
        <v>RSDOILDSL</v>
      </c>
      <c r="G5" s="117" t="s">
        <v>201</v>
      </c>
      <c r="H5" s="117" t="s">
        <v>202</v>
      </c>
      <c r="I5" s="117" t="s">
        <v>306</v>
      </c>
      <c r="J5" s="117" t="s">
        <v>391</v>
      </c>
      <c r="K5" s="117" t="s">
        <v>392</v>
      </c>
      <c r="L5" s="142">
        <v>1.41315633273318</v>
      </c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</row>
    <row r="6" spans="1:41" s="117" customFormat="1" x14ac:dyDescent="0.25">
      <c r="A6" s="134"/>
      <c r="B6" s="117" t="s">
        <v>35</v>
      </c>
      <c r="C6" s="161"/>
      <c r="D6" s="165"/>
      <c r="E6" s="166">
        <f>E7</f>
        <v>2.2999999999999998</v>
      </c>
      <c r="F6" s="117" t="str">
        <f t="shared" ref="F6:F8" si="0">G6&amp;H6</f>
        <v>RSDOILLPG</v>
      </c>
      <c r="G6" s="117" t="s">
        <v>201</v>
      </c>
      <c r="H6" s="117" t="s">
        <v>203</v>
      </c>
      <c r="I6" s="117" t="s">
        <v>306</v>
      </c>
      <c r="J6" s="117" t="s">
        <v>391</v>
      </c>
      <c r="K6" s="117" t="s">
        <v>393</v>
      </c>
      <c r="L6" s="142"/>
      <c r="M6" s="142"/>
      <c r="N6" s="142">
        <v>10.7260360992261</v>
      </c>
      <c r="O6" s="142">
        <v>10.7260360992261</v>
      </c>
      <c r="P6" s="142">
        <v>10.7260367629833</v>
      </c>
      <c r="Q6" s="142">
        <v>10.7260386615173</v>
      </c>
      <c r="R6" s="142">
        <v>10.7260367629833</v>
      </c>
      <c r="S6" s="142">
        <v>10.7260367629833</v>
      </c>
      <c r="T6" s="142"/>
      <c r="U6" s="142">
        <v>10.7260373862102</v>
      </c>
      <c r="V6" s="142">
        <v>10.7260373862102</v>
      </c>
      <c r="W6" s="142">
        <v>10.7260373862102</v>
      </c>
      <c r="X6" s="142">
        <v>10.726038583105501</v>
      </c>
      <c r="Y6" s="142">
        <v>10.7260373862102</v>
      </c>
      <c r="Z6" s="142">
        <v>10.7260360992261</v>
      </c>
      <c r="AA6" s="142"/>
      <c r="AB6" s="142">
        <v>10.726036763018699</v>
      </c>
      <c r="AC6" s="142">
        <v>10.726036763018699</v>
      </c>
      <c r="AD6" s="142">
        <v>10.726036763018699</v>
      </c>
      <c r="AE6" s="142">
        <v>10.7260374073946</v>
      </c>
      <c r="AF6" s="142">
        <v>10.726036763018699</v>
      </c>
      <c r="AG6" s="142">
        <v>10.7260360992261</v>
      </c>
      <c r="AH6" s="142"/>
      <c r="AI6" s="142">
        <v>10.7260374073946</v>
      </c>
      <c r="AJ6" s="142">
        <v>10.7260373863542</v>
      </c>
      <c r="AK6" s="142">
        <v>10.7260373863542</v>
      </c>
      <c r="AL6" s="142">
        <v>10.7260385830874</v>
      </c>
      <c r="AM6" s="142">
        <v>10.7260374073946</v>
      </c>
      <c r="AN6" s="142">
        <v>10.7260373863542</v>
      </c>
    </row>
    <row r="7" spans="1:41" s="117" customFormat="1" x14ac:dyDescent="0.25">
      <c r="A7" s="134"/>
      <c r="B7" s="117" t="s">
        <v>198</v>
      </c>
      <c r="C7" s="167">
        <v>2.5</v>
      </c>
      <c r="D7" s="167">
        <v>0.2</v>
      </c>
      <c r="E7" s="168">
        <f t="shared" ref="E7:E69" si="1">(C7-D7)</f>
        <v>2.2999999999999998</v>
      </c>
      <c r="F7" s="117" t="str">
        <f t="shared" si="0"/>
        <v>RSDGASNAT</v>
      </c>
      <c r="G7" s="117" t="s">
        <v>201</v>
      </c>
      <c r="H7" s="117" t="s">
        <v>205</v>
      </c>
      <c r="I7" s="117" t="s">
        <v>306</v>
      </c>
      <c r="J7" s="117" t="s">
        <v>391</v>
      </c>
      <c r="K7" s="117" t="s">
        <v>394</v>
      </c>
      <c r="L7" s="142"/>
      <c r="M7" s="142">
        <v>1.0899386819961401</v>
      </c>
      <c r="N7" s="142"/>
      <c r="O7" s="142"/>
      <c r="P7" s="142"/>
      <c r="Q7" s="142"/>
      <c r="R7" s="142"/>
      <c r="S7" s="142"/>
      <c r="T7" s="142">
        <v>1.08993888647689</v>
      </c>
      <c r="U7" s="142"/>
      <c r="V7" s="142"/>
      <c r="W7" s="142"/>
      <c r="X7" s="142"/>
      <c r="Y7" s="142"/>
      <c r="Z7" s="142"/>
      <c r="AA7" s="142">
        <v>1.0899386820077299</v>
      </c>
      <c r="AB7" s="142"/>
      <c r="AC7" s="142"/>
      <c r="AD7" s="142"/>
      <c r="AE7" s="142"/>
      <c r="AF7" s="142"/>
      <c r="AG7" s="142"/>
      <c r="AH7" s="142">
        <v>1.08993888652413</v>
      </c>
      <c r="AI7" s="142"/>
      <c r="AJ7" s="142"/>
      <c r="AK7" s="142"/>
      <c r="AL7" s="142"/>
      <c r="AM7" s="142"/>
      <c r="AN7" s="142"/>
    </row>
    <row r="8" spans="1:41" s="117" customFormat="1" x14ac:dyDescent="0.25">
      <c r="A8" s="134"/>
      <c r="B8" s="117" t="s">
        <v>36</v>
      </c>
      <c r="C8" s="161"/>
      <c r="D8" s="161"/>
      <c r="E8" s="166">
        <f>E7/3</f>
        <v>0.76666666666666661</v>
      </c>
      <c r="F8" s="117" t="str">
        <f t="shared" si="0"/>
        <v>RSDCOABIC</v>
      </c>
      <c r="G8" s="117" t="s">
        <v>201</v>
      </c>
      <c r="H8" s="117" t="s">
        <v>227</v>
      </c>
      <c r="I8" s="117" t="s">
        <v>306</v>
      </c>
      <c r="J8" s="117" t="s">
        <v>391</v>
      </c>
      <c r="K8" s="117" t="s">
        <v>395</v>
      </c>
      <c r="L8" s="142"/>
      <c r="M8" s="142"/>
      <c r="N8" s="142">
        <v>2.55668801215081</v>
      </c>
      <c r="O8" s="142">
        <v>2.55668801215081</v>
      </c>
      <c r="P8" s="142">
        <v>2.55668801215081</v>
      </c>
      <c r="Q8" s="142">
        <v>2.55668801215081</v>
      </c>
      <c r="R8" s="142">
        <v>2.55668801215081</v>
      </c>
      <c r="S8" s="142">
        <v>2.55668801215081</v>
      </c>
      <c r="T8" s="142"/>
      <c r="U8" s="142">
        <v>2.55668801215081</v>
      </c>
      <c r="V8" s="142">
        <v>2.55668801215081</v>
      </c>
      <c r="W8" s="142">
        <v>2.55668801215081</v>
      </c>
      <c r="X8" s="142">
        <v>2.55668801215081</v>
      </c>
      <c r="Y8" s="142">
        <v>2.55668801215081</v>
      </c>
      <c r="Z8" s="142">
        <v>2.55668801215081</v>
      </c>
      <c r="AA8" s="142"/>
      <c r="AB8" s="142">
        <v>2.5566878861289601</v>
      </c>
      <c r="AC8" s="142">
        <v>2.55668801215081</v>
      </c>
      <c r="AD8" s="142">
        <v>2.55668801215081</v>
      </c>
      <c r="AE8" s="142">
        <v>2.55668801215081</v>
      </c>
      <c r="AF8" s="142">
        <v>2.55668801215081</v>
      </c>
      <c r="AG8" s="142">
        <v>2.55668801215081</v>
      </c>
      <c r="AH8" s="142"/>
      <c r="AI8" s="142">
        <v>2.55668801215081</v>
      </c>
      <c r="AJ8" s="142">
        <v>2.55668801215081</v>
      </c>
      <c r="AK8" s="142">
        <v>2.55668801215081</v>
      </c>
      <c r="AL8" s="142">
        <v>12.419321456597499</v>
      </c>
      <c r="AM8" s="142">
        <v>2.55668801215081</v>
      </c>
      <c r="AN8" s="142">
        <v>2.55668801215081</v>
      </c>
    </row>
    <row r="9" spans="1:41" s="117" customFormat="1" x14ac:dyDescent="0.25">
      <c r="A9" s="134"/>
      <c r="B9" s="117" t="s">
        <v>199</v>
      </c>
      <c r="C9" s="161"/>
      <c r="D9" s="161"/>
      <c r="E9" s="166">
        <f>E7/3</f>
        <v>0.76666666666666661</v>
      </c>
      <c r="F9" s="117" t="str">
        <f t="shared" ref="F9:F14" si="2">G9&amp;H9</f>
        <v>RSDCOABCO</v>
      </c>
      <c r="G9" s="117" t="s">
        <v>201</v>
      </c>
      <c r="H9" s="117" t="s">
        <v>303</v>
      </c>
      <c r="I9" s="117" t="s">
        <v>306</v>
      </c>
      <c r="J9" s="117" t="s">
        <v>391</v>
      </c>
      <c r="K9" s="117" t="s">
        <v>396</v>
      </c>
      <c r="L9" s="142">
        <v>18.4740912977921</v>
      </c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</row>
    <row r="10" spans="1:41" s="117" customFormat="1" x14ac:dyDescent="0.25">
      <c r="A10" s="134"/>
      <c r="B10" s="117" t="s">
        <v>319</v>
      </c>
      <c r="C10" s="161"/>
      <c r="D10" s="161"/>
      <c r="E10" s="166">
        <f t="shared" si="1"/>
        <v>0</v>
      </c>
      <c r="F10" s="117" t="str">
        <f t="shared" si="2"/>
        <v>RSDBIOCHR</v>
      </c>
      <c r="G10" s="117" t="s">
        <v>201</v>
      </c>
      <c r="H10" s="117" t="s">
        <v>226</v>
      </c>
      <c r="I10" s="117" t="s">
        <v>306</v>
      </c>
      <c r="J10" s="117" t="s">
        <v>397</v>
      </c>
      <c r="K10" s="117" t="s">
        <v>392</v>
      </c>
      <c r="L10" s="142">
        <v>1.4594025088295699</v>
      </c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</row>
    <row r="11" spans="1:41" s="117" customFormat="1" x14ac:dyDescent="0.25">
      <c r="A11" s="134"/>
      <c r="B11" s="117" t="s">
        <v>200</v>
      </c>
      <c r="C11" s="161"/>
      <c r="D11" s="161"/>
      <c r="E11" s="166">
        <f t="shared" si="1"/>
        <v>0</v>
      </c>
      <c r="F11" s="117" t="str">
        <f t="shared" si="2"/>
        <v>RSDBIOLOG</v>
      </c>
      <c r="G11" s="117" t="s">
        <v>201</v>
      </c>
      <c r="H11" s="117" t="s">
        <v>204</v>
      </c>
      <c r="I11" s="117" t="s">
        <v>306</v>
      </c>
      <c r="J11" s="117" t="s">
        <v>397</v>
      </c>
      <c r="K11" s="117" t="s">
        <v>393</v>
      </c>
      <c r="L11" s="142"/>
      <c r="M11" s="142"/>
      <c r="N11" s="142">
        <v>11.1769552131877</v>
      </c>
      <c r="O11" s="142">
        <v>11.1769552131877</v>
      </c>
      <c r="P11" s="142">
        <v>11.176955211416301</v>
      </c>
      <c r="Q11" s="142">
        <v>11.176955211416301</v>
      </c>
      <c r="R11" s="142">
        <v>11.1769552131877</v>
      </c>
      <c r="S11" s="142">
        <v>11.1769552131877</v>
      </c>
      <c r="T11" s="142"/>
      <c r="U11" s="142">
        <v>11.1769552131877</v>
      </c>
      <c r="V11" s="142">
        <v>11.1769552114162</v>
      </c>
      <c r="W11" s="142">
        <v>11.1769552114162</v>
      </c>
      <c r="X11" s="142">
        <v>11.1769552131877</v>
      </c>
      <c r="Y11" s="142">
        <v>11.1769552131877</v>
      </c>
      <c r="Z11" s="142">
        <v>11.1769552131877</v>
      </c>
      <c r="AA11" s="142"/>
      <c r="AB11" s="142">
        <v>11.1769552131877</v>
      </c>
      <c r="AC11" s="142">
        <v>11.1769552131877</v>
      </c>
      <c r="AD11" s="142">
        <v>11.1769552131877</v>
      </c>
      <c r="AE11" s="142">
        <v>11.1769552114162</v>
      </c>
      <c r="AF11" s="142">
        <v>11.1769552105304</v>
      </c>
      <c r="AG11" s="142">
        <v>11.1769552131877</v>
      </c>
      <c r="AH11" s="142"/>
      <c r="AI11" s="142">
        <v>11.1769552131877</v>
      </c>
      <c r="AJ11" s="142">
        <v>11.1769552131877</v>
      </c>
      <c r="AK11" s="142">
        <v>11.1769552131877</v>
      </c>
      <c r="AL11" s="142">
        <v>11.1769756934392</v>
      </c>
      <c r="AM11" s="142">
        <v>11.1769552131877</v>
      </c>
      <c r="AN11" s="142">
        <v>11.1769552113551</v>
      </c>
    </row>
    <row r="12" spans="1:41" s="117" customFormat="1" x14ac:dyDescent="0.25">
      <c r="A12" s="134"/>
      <c r="B12" s="117" t="s">
        <v>235</v>
      </c>
      <c r="C12" s="161"/>
      <c r="D12" s="161"/>
      <c r="E12" s="166">
        <f t="shared" si="1"/>
        <v>0</v>
      </c>
      <c r="F12" s="117" t="str">
        <f t="shared" si="2"/>
        <v>RSDBIOPLT</v>
      </c>
      <c r="G12" s="117" t="s">
        <v>201</v>
      </c>
      <c r="H12" s="117" t="s">
        <v>236</v>
      </c>
      <c r="I12" s="117" t="s">
        <v>306</v>
      </c>
      <c r="J12" s="117" t="s">
        <v>397</v>
      </c>
      <c r="K12" s="117" t="s">
        <v>394</v>
      </c>
      <c r="L12" s="142"/>
      <c r="M12" s="142">
        <v>1.14340265247977</v>
      </c>
      <c r="N12" s="142"/>
      <c r="O12" s="142"/>
      <c r="P12" s="142"/>
      <c r="Q12" s="142"/>
      <c r="R12" s="142"/>
      <c r="S12" s="142"/>
      <c r="T12" s="142">
        <v>1.1434026524797201</v>
      </c>
      <c r="U12" s="142"/>
      <c r="V12" s="142"/>
      <c r="W12" s="142"/>
      <c r="X12" s="142"/>
      <c r="Y12" s="142"/>
      <c r="Z12" s="142"/>
      <c r="AA12" s="142">
        <v>1.1434026524797201</v>
      </c>
      <c r="AB12" s="142"/>
      <c r="AC12" s="142"/>
      <c r="AD12" s="142"/>
      <c r="AE12" s="142"/>
      <c r="AF12" s="142"/>
      <c r="AG12" s="142"/>
      <c r="AH12" s="142">
        <v>1.14340265306097</v>
      </c>
      <c r="AI12" s="142"/>
      <c r="AJ12" s="142"/>
      <c r="AK12" s="142"/>
      <c r="AL12" s="142"/>
      <c r="AM12" s="142"/>
      <c r="AN12" s="142"/>
    </row>
    <row r="13" spans="1:41" s="117" customFormat="1" x14ac:dyDescent="0.25">
      <c r="A13" s="134"/>
      <c r="B13" s="117" t="s">
        <v>229</v>
      </c>
      <c r="C13" s="167">
        <v>2.2999999999999998</v>
      </c>
      <c r="D13" s="167">
        <v>2</v>
      </c>
      <c r="E13" s="168">
        <f t="shared" si="1"/>
        <v>0.29999999999999982</v>
      </c>
      <c r="F13" s="117" t="str">
        <f t="shared" si="2"/>
        <v>RSDLTH</v>
      </c>
      <c r="G13" s="117" t="s">
        <v>201</v>
      </c>
      <c r="H13" s="117" t="s">
        <v>224</v>
      </c>
      <c r="I13" s="117" t="s">
        <v>306</v>
      </c>
      <c r="J13" s="117" t="s">
        <v>397</v>
      </c>
      <c r="K13" s="117" t="s">
        <v>395</v>
      </c>
      <c r="L13" s="142"/>
      <c r="M13" s="142"/>
      <c r="N13" s="142">
        <v>2.64570091932264</v>
      </c>
      <c r="O13" s="142">
        <v>2.64570091932264</v>
      </c>
      <c r="P13" s="142">
        <v>2.64570091932264</v>
      </c>
      <c r="Q13" s="142">
        <v>2.64570091932264</v>
      </c>
      <c r="R13" s="142">
        <v>2.64570091932264</v>
      </c>
      <c r="S13" s="142">
        <v>2.64570091932264</v>
      </c>
      <c r="T13" s="142"/>
      <c r="U13" s="142">
        <v>2.64570091932264</v>
      </c>
      <c r="V13" s="142">
        <v>2.64570091932264</v>
      </c>
      <c r="W13" s="142">
        <v>2.64570091932264</v>
      </c>
      <c r="X13" s="142">
        <v>2.64570091932264</v>
      </c>
      <c r="Y13" s="142">
        <v>2.64570091932264</v>
      </c>
      <c r="Z13" s="142">
        <v>2.64570091932264</v>
      </c>
      <c r="AA13" s="142"/>
      <c r="AB13" s="142">
        <v>2.64570091932264</v>
      </c>
      <c r="AC13" s="142">
        <v>2.64570091932264</v>
      </c>
      <c r="AD13" s="142">
        <v>2.64570091932264</v>
      </c>
      <c r="AE13" s="142">
        <v>2.64570091932264</v>
      </c>
      <c r="AF13" s="142">
        <v>2.64570091932264</v>
      </c>
      <c r="AG13" s="142">
        <v>2.64570091932264</v>
      </c>
      <c r="AH13" s="142"/>
      <c r="AI13" s="142">
        <v>2.64570091932264</v>
      </c>
      <c r="AJ13" s="142">
        <v>2.64570091932264</v>
      </c>
      <c r="AK13" s="142">
        <v>2.64570091932264</v>
      </c>
      <c r="AL13" s="142">
        <v>2.64570091932264</v>
      </c>
      <c r="AM13" s="142">
        <v>2.64570091932264</v>
      </c>
      <c r="AN13" s="142">
        <v>2.64570091932264</v>
      </c>
    </row>
    <row r="14" spans="1:41" s="117" customFormat="1" x14ac:dyDescent="0.25">
      <c r="A14" s="164"/>
      <c r="B14" s="169" t="s">
        <v>217</v>
      </c>
      <c r="C14" s="170">
        <v>11.5</v>
      </c>
      <c r="D14" s="170">
        <v>5</v>
      </c>
      <c r="E14" s="171">
        <f t="shared" si="1"/>
        <v>6.5</v>
      </c>
      <c r="F14" s="169" t="str">
        <f t="shared" si="2"/>
        <v>RSDELC</v>
      </c>
      <c r="G14" s="169" t="s">
        <v>201</v>
      </c>
      <c r="H14" s="169" t="s">
        <v>225</v>
      </c>
      <c r="I14" s="117" t="s">
        <v>306</v>
      </c>
      <c r="J14" s="117" t="s">
        <v>397</v>
      </c>
      <c r="K14" s="117" t="s">
        <v>396</v>
      </c>
      <c r="L14" s="142">
        <v>14.0920212437386</v>
      </c>
    </row>
    <row r="15" spans="1:41" s="117" customFormat="1" x14ac:dyDescent="0.25">
      <c r="A15" s="134" t="s">
        <v>195</v>
      </c>
      <c r="B15" s="117" t="s">
        <v>25</v>
      </c>
      <c r="C15" s="161"/>
      <c r="D15" s="161"/>
      <c r="E15" s="166">
        <f>E18</f>
        <v>3.3</v>
      </c>
      <c r="F15" s="117" t="str">
        <f>G15&amp;H15</f>
        <v>TEROILDSL</v>
      </c>
      <c r="G15" s="117" t="s">
        <v>315</v>
      </c>
      <c r="H15" s="117" t="s">
        <v>202</v>
      </c>
    </row>
    <row r="16" spans="1:41" s="117" customFormat="1" x14ac:dyDescent="0.25">
      <c r="A16" s="134"/>
      <c r="B16" s="117" t="s">
        <v>71</v>
      </c>
      <c r="C16" s="161"/>
      <c r="D16" s="161"/>
      <c r="E16" s="166">
        <f>E18</f>
        <v>3.3</v>
      </c>
      <c r="F16" s="117" t="str">
        <f>G16&amp;H16</f>
        <v>TEROILHFO</v>
      </c>
      <c r="G16" s="117" t="s">
        <v>315</v>
      </c>
      <c r="H16" s="117" t="s">
        <v>267</v>
      </c>
    </row>
    <row r="17" spans="1:8" s="117" customFormat="1" x14ac:dyDescent="0.25">
      <c r="A17" s="134"/>
      <c r="B17" s="117" t="s">
        <v>35</v>
      </c>
      <c r="C17" s="161"/>
      <c r="D17" s="161"/>
      <c r="E17" s="166">
        <f>E18</f>
        <v>3.3</v>
      </c>
      <c r="F17" s="117" t="str">
        <f t="shared" ref="F17:F69" si="3">G17&amp;H17</f>
        <v>TEROILLPG</v>
      </c>
      <c r="G17" s="117" t="s">
        <v>315</v>
      </c>
      <c r="H17" s="117" t="s">
        <v>203</v>
      </c>
    </row>
    <row r="18" spans="1:8" s="117" customFormat="1" x14ac:dyDescent="0.25">
      <c r="A18" s="134"/>
      <c r="B18" s="117" t="s">
        <v>198</v>
      </c>
      <c r="C18" s="167">
        <v>3.5</v>
      </c>
      <c r="D18" s="167">
        <v>0.2</v>
      </c>
      <c r="E18" s="166">
        <f t="shared" si="1"/>
        <v>3.3</v>
      </c>
      <c r="F18" s="117" t="str">
        <f t="shared" si="3"/>
        <v>TERGASNAT</v>
      </c>
      <c r="G18" s="117" t="s">
        <v>315</v>
      </c>
      <c r="H18" s="117" t="s">
        <v>205</v>
      </c>
    </row>
    <row r="19" spans="1:8" s="117" customFormat="1" x14ac:dyDescent="0.25">
      <c r="A19" s="134"/>
      <c r="B19" s="117" t="s">
        <v>36</v>
      </c>
      <c r="C19" s="161"/>
      <c r="D19" s="161"/>
      <c r="E19" s="166">
        <f>E18/3</f>
        <v>1.0999999999999999</v>
      </c>
      <c r="F19" s="117" t="str">
        <f t="shared" si="3"/>
        <v>TERCOABIC</v>
      </c>
      <c r="G19" s="117" t="s">
        <v>315</v>
      </c>
      <c r="H19" s="117" t="s">
        <v>227</v>
      </c>
    </row>
    <row r="20" spans="1:8" s="117" customFormat="1" x14ac:dyDescent="0.25">
      <c r="A20" s="134"/>
      <c r="B20" s="117" t="s">
        <v>199</v>
      </c>
      <c r="C20" s="161"/>
      <c r="D20" s="161"/>
      <c r="E20" s="166">
        <f>E18/3</f>
        <v>1.0999999999999999</v>
      </c>
      <c r="F20" s="117" t="str">
        <f t="shared" si="3"/>
        <v>TERCOABCO</v>
      </c>
      <c r="G20" s="117" t="s">
        <v>315</v>
      </c>
      <c r="H20" s="117" t="s">
        <v>303</v>
      </c>
    </row>
    <row r="21" spans="1:8" s="117" customFormat="1" x14ac:dyDescent="0.25">
      <c r="A21" s="134"/>
      <c r="B21" s="117" t="s">
        <v>319</v>
      </c>
      <c r="C21" s="161"/>
      <c r="D21" s="161"/>
      <c r="E21" s="166">
        <f t="shared" si="1"/>
        <v>0</v>
      </c>
      <c r="F21" s="117" t="str">
        <f t="shared" si="3"/>
        <v>TERBIOCHR</v>
      </c>
      <c r="G21" s="117" t="s">
        <v>315</v>
      </c>
      <c r="H21" s="117" t="s">
        <v>226</v>
      </c>
    </row>
    <row r="22" spans="1:8" s="117" customFormat="1" x14ac:dyDescent="0.25">
      <c r="A22" s="134"/>
      <c r="B22" s="117" t="s">
        <v>200</v>
      </c>
      <c r="C22" s="161"/>
      <c r="D22" s="161"/>
      <c r="E22" s="166">
        <f t="shared" si="1"/>
        <v>0</v>
      </c>
      <c r="F22" s="117" t="str">
        <f t="shared" si="3"/>
        <v>TERBIOLOG</v>
      </c>
      <c r="G22" s="117" t="s">
        <v>315</v>
      </c>
      <c r="H22" s="117" t="s">
        <v>204</v>
      </c>
    </row>
    <row r="23" spans="1:8" s="117" customFormat="1" x14ac:dyDescent="0.25">
      <c r="A23" s="134"/>
      <c r="B23" s="117" t="s">
        <v>235</v>
      </c>
      <c r="C23" s="161"/>
      <c r="D23" s="161"/>
      <c r="E23" s="166">
        <f t="shared" si="1"/>
        <v>0</v>
      </c>
      <c r="F23" s="117" t="str">
        <f t="shared" si="3"/>
        <v>TERBIOPLT</v>
      </c>
      <c r="G23" s="117" t="s">
        <v>315</v>
      </c>
      <c r="H23" s="117" t="s">
        <v>236</v>
      </c>
    </row>
    <row r="24" spans="1:8" s="117" customFormat="1" x14ac:dyDescent="0.25">
      <c r="A24" s="134"/>
      <c r="C24" s="161"/>
      <c r="D24" s="161"/>
      <c r="E24" s="166"/>
    </row>
    <row r="25" spans="1:8" s="117" customFormat="1" x14ac:dyDescent="0.25">
      <c r="A25" s="134"/>
      <c r="B25" s="117" t="s">
        <v>229</v>
      </c>
      <c r="C25" s="167">
        <v>2.5</v>
      </c>
      <c r="D25" s="167">
        <v>2</v>
      </c>
      <c r="E25" s="166">
        <f t="shared" si="1"/>
        <v>0.5</v>
      </c>
      <c r="F25" s="117" t="str">
        <f t="shared" si="3"/>
        <v>TERLTH</v>
      </c>
      <c r="G25" s="117" t="s">
        <v>315</v>
      </c>
      <c r="H25" s="117" t="s">
        <v>224</v>
      </c>
    </row>
    <row r="26" spans="1:8" s="117" customFormat="1" x14ac:dyDescent="0.25">
      <c r="A26" s="164"/>
      <c r="B26" s="169" t="s">
        <v>217</v>
      </c>
      <c r="C26" s="170">
        <v>12.8</v>
      </c>
      <c r="D26" s="170">
        <v>5</v>
      </c>
      <c r="E26" s="170">
        <f t="shared" si="1"/>
        <v>7.8000000000000007</v>
      </c>
      <c r="F26" s="169" t="str">
        <f t="shared" si="3"/>
        <v>TERELC</v>
      </c>
      <c r="G26" s="169" t="s">
        <v>315</v>
      </c>
      <c r="H26" s="169" t="s">
        <v>225</v>
      </c>
    </row>
    <row r="27" spans="1:8" s="117" customFormat="1" x14ac:dyDescent="0.25">
      <c r="A27" s="134" t="s">
        <v>218</v>
      </c>
      <c r="B27" s="117" t="s">
        <v>25</v>
      </c>
      <c r="C27" s="161"/>
      <c r="D27" s="161"/>
      <c r="E27" s="166">
        <f>E31</f>
        <v>4.0999999999999996</v>
      </c>
      <c r="F27" s="117" t="str">
        <f t="shared" si="3"/>
        <v>INDOILDSL</v>
      </c>
      <c r="G27" s="117" t="s">
        <v>206</v>
      </c>
      <c r="H27" s="117" t="s">
        <v>202</v>
      </c>
    </row>
    <row r="28" spans="1:8" s="117" customFormat="1" x14ac:dyDescent="0.25">
      <c r="A28" s="134"/>
      <c r="B28" s="117" t="s">
        <v>197</v>
      </c>
      <c r="C28" s="161"/>
      <c r="D28" s="161"/>
      <c r="E28" s="166">
        <f>E31</f>
        <v>4.0999999999999996</v>
      </c>
      <c r="F28" s="117" t="str">
        <f t="shared" si="3"/>
        <v>INDOILHFO</v>
      </c>
      <c r="G28" s="117" t="s">
        <v>206</v>
      </c>
      <c r="H28" s="117" t="s">
        <v>267</v>
      </c>
    </row>
    <row r="29" spans="1:8" s="117" customFormat="1" x14ac:dyDescent="0.25">
      <c r="A29" s="134"/>
      <c r="B29" s="117" t="s">
        <v>35</v>
      </c>
      <c r="C29" s="161"/>
      <c r="D29" s="161"/>
      <c r="E29" s="166">
        <f>E31</f>
        <v>4.0999999999999996</v>
      </c>
      <c r="F29" s="117" t="str">
        <f>G29&amp;H29</f>
        <v>INDOILLPG</v>
      </c>
      <c r="G29" s="117" t="s">
        <v>206</v>
      </c>
      <c r="H29" s="117" t="s">
        <v>203</v>
      </c>
    </row>
    <row r="30" spans="1:8" s="117" customFormat="1" x14ac:dyDescent="0.25">
      <c r="A30" s="134"/>
      <c r="B30" s="117" t="s">
        <v>24</v>
      </c>
      <c r="C30" s="161"/>
      <c r="D30" s="161"/>
      <c r="E30" s="166">
        <f>E31</f>
        <v>4.0999999999999996</v>
      </c>
      <c r="F30" s="117" t="str">
        <f t="shared" ref="F30:F51" si="4">G30&amp;H30</f>
        <v>INDOILGSL</v>
      </c>
      <c r="G30" s="117" t="s">
        <v>206</v>
      </c>
      <c r="H30" s="117" t="s">
        <v>208</v>
      </c>
    </row>
    <row r="31" spans="1:8" s="117" customFormat="1" x14ac:dyDescent="0.25">
      <c r="A31" s="134"/>
      <c r="B31" s="117" t="s">
        <v>198</v>
      </c>
      <c r="C31" s="167">
        <v>4.3</v>
      </c>
      <c r="D31" s="167">
        <v>0.2</v>
      </c>
      <c r="E31" s="166">
        <f t="shared" si="1"/>
        <v>4.0999999999999996</v>
      </c>
      <c r="F31" s="117" t="str">
        <f t="shared" si="4"/>
        <v>INDGASNAT</v>
      </c>
      <c r="G31" s="117" t="s">
        <v>206</v>
      </c>
      <c r="H31" s="117" t="s">
        <v>205</v>
      </c>
    </row>
    <row r="32" spans="1:8" s="117" customFormat="1" x14ac:dyDescent="0.25">
      <c r="A32" s="134"/>
      <c r="B32" s="117" t="s">
        <v>36</v>
      </c>
      <c r="C32" s="161"/>
      <c r="D32" s="161"/>
      <c r="E32" s="166">
        <f>E31/3</f>
        <v>1.3666666666666665</v>
      </c>
      <c r="F32" s="117" t="str">
        <f t="shared" si="4"/>
        <v>INDCOASUB</v>
      </c>
      <c r="G32" s="117" t="s">
        <v>206</v>
      </c>
      <c r="H32" s="117" t="s">
        <v>304</v>
      </c>
    </row>
    <row r="33" spans="1:8" s="117" customFormat="1" x14ac:dyDescent="0.25">
      <c r="A33" s="134"/>
      <c r="B33" s="117" t="s">
        <v>199</v>
      </c>
      <c r="C33" s="161"/>
      <c r="D33" s="161"/>
      <c r="E33" s="166">
        <f>E32</f>
        <v>1.3666666666666665</v>
      </c>
      <c r="F33" s="117" t="str">
        <f t="shared" si="4"/>
        <v>INDCOABCO</v>
      </c>
      <c r="G33" s="117" t="s">
        <v>206</v>
      </c>
      <c r="H33" s="117" t="s">
        <v>303</v>
      </c>
    </row>
    <row r="34" spans="1:8" s="117" customFormat="1" x14ac:dyDescent="0.25">
      <c r="A34" s="134"/>
      <c r="B34" s="117" t="s">
        <v>322</v>
      </c>
      <c r="C34" s="161"/>
      <c r="D34" s="161"/>
      <c r="E34" s="166">
        <f>E33</f>
        <v>1.3666666666666665</v>
      </c>
      <c r="F34" s="117" t="str">
        <f t="shared" si="4"/>
        <v>INDCOABIC</v>
      </c>
      <c r="G34" s="117" t="s">
        <v>206</v>
      </c>
      <c r="H34" s="117" t="s">
        <v>227</v>
      </c>
    </row>
    <row r="35" spans="1:8" s="117" customFormat="1" x14ac:dyDescent="0.25">
      <c r="A35" s="134"/>
      <c r="B35" s="117" t="s">
        <v>88</v>
      </c>
      <c r="C35" s="161"/>
      <c r="D35" s="161"/>
      <c r="E35" s="166">
        <f t="shared" si="1"/>
        <v>0</v>
      </c>
      <c r="F35" s="117" t="str">
        <f t="shared" si="4"/>
        <v>INDCOACOK</v>
      </c>
      <c r="G35" s="117" t="s">
        <v>206</v>
      </c>
      <c r="H35" s="117" t="s">
        <v>305</v>
      </c>
    </row>
    <row r="36" spans="1:8" s="117" customFormat="1" x14ac:dyDescent="0.25">
      <c r="A36" s="134"/>
      <c r="B36" s="117" t="s">
        <v>148</v>
      </c>
      <c r="C36" s="161"/>
      <c r="D36" s="161"/>
      <c r="E36" s="166">
        <f t="shared" si="1"/>
        <v>0</v>
      </c>
      <c r="F36" s="117" t="str">
        <f t="shared" si="4"/>
        <v>INDCOABKB</v>
      </c>
      <c r="G36" s="117" t="s">
        <v>206</v>
      </c>
      <c r="H36" s="117" t="s">
        <v>223</v>
      </c>
    </row>
    <row r="37" spans="1:8" s="117" customFormat="1" x14ac:dyDescent="0.25">
      <c r="A37" s="134"/>
      <c r="B37" s="117" t="s">
        <v>200</v>
      </c>
      <c r="C37" s="161"/>
      <c r="D37" s="161"/>
      <c r="E37" s="166">
        <f t="shared" si="1"/>
        <v>0</v>
      </c>
      <c r="F37" s="117" t="str">
        <f t="shared" si="4"/>
        <v>INDBIOLOG</v>
      </c>
      <c r="G37" s="117" t="s">
        <v>206</v>
      </c>
      <c r="H37" s="117" t="s">
        <v>204</v>
      </c>
    </row>
    <row r="38" spans="1:8" s="117" customFormat="1" x14ac:dyDescent="0.25">
      <c r="A38" s="134"/>
      <c r="B38" s="117" t="s">
        <v>229</v>
      </c>
      <c r="C38" s="167">
        <v>2.5</v>
      </c>
      <c r="D38" s="167">
        <v>2</v>
      </c>
      <c r="E38" s="166">
        <f t="shared" si="1"/>
        <v>0.5</v>
      </c>
      <c r="F38" s="117" t="str">
        <f t="shared" si="4"/>
        <v>INDHTH</v>
      </c>
      <c r="G38" s="117" t="s">
        <v>206</v>
      </c>
      <c r="H38" s="117" t="s">
        <v>228</v>
      </c>
    </row>
    <row r="39" spans="1:8" s="117" customFormat="1" x14ac:dyDescent="0.25">
      <c r="A39" s="164"/>
      <c r="B39" s="169" t="s">
        <v>217</v>
      </c>
      <c r="C39" s="170">
        <v>14.5</v>
      </c>
      <c r="D39" s="170">
        <v>5</v>
      </c>
      <c r="E39" s="170">
        <f t="shared" si="1"/>
        <v>9.5</v>
      </c>
      <c r="F39" s="169" t="str">
        <f t="shared" si="4"/>
        <v>INDELC</v>
      </c>
      <c r="G39" s="169" t="s">
        <v>206</v>
      </c>
      <c r="H39" s="169" t="s">
        <v>225</v>
      </c>
    </row>
    <row r="40" spans="1:8" s="117" customFormat="1" x14ac:dyDescent="0.25">
      <c r="A40" s="134" t="s">
        <v>326</v>
      </c>
      <c r="B40" s="117" t="s">
        <v>25</v>
      </c>
      <c r="C40" s="161"/>
      <c r="D40" s="161"/>
      <c r="E40" s="166">
        <f>E44</f>
        <v>1.8</v>
      </c>
      <c r="F40" s="117" t="str">
        <f t="shared" si="4"/>
        <v>SUPOILDSL</v>
      </c>
      <c r="G40" s="117" t="s">
        <v>327</v>
      </c>
      <c r="H40" s="117" t="s">
        <v>202</v>
      </c>
    </row>
    <row r="41" spans="1:8" s="117" customFormat="1" x14ac:dyDescent="0.25">
      <c r="A41" s="134"/>
      <c r="B41" s="117" t="s">
        <v>197</v>
      </c>
      <c r="C41" s="161"/>
      <c r="D41" s="161"/>
      <c r="E41" s="166">
        <f>E44</f>
        <v>1.8</v>
      </c>
      <c r="F41" s="117" t="str">
        <f t="shared" si="4"/>
        <v>SUPOILHFO</v>
      </c>
      <c r="G41" s="117" t="s">
        <v>327</v>
      </c>
      <c r="H41" s="117" t="s">
        <v>267</v>
      </c>
    </row>
    <row r="42" spans="1:8" s="117" customFormat="1" x14ac:dyDescent="0.25">
      <c r="A42" s="134"/>
      <c r="B42" s="117" t="s">
        <v>35</v>
      </c>
      <c r="C42" s="161"/>
      <c r="D42" s="161"/>
      <c r="E42" s="166">
        <f>E44</f>
        <v>1.8</v>
      </c>
      <c r="F42" s="117" t="str">
        <f t="shared" si="4"/>
        <v>SUPOILLPG</v>
      </c>
      <c r="G42" s="117" t="s">
        <v>327</v>
      </c>
      <c r="H42" s="117" t="s">
        <v>203</v>
      </c>
    </row>
    <row r="43" spans="1:8" s="117" customFormat="1" x14ac:dyDescent="0.25">
      <c r="A43" s="134"/>
      <c r="B43" s="117" t="s">
        <v>24</v>
      </c>
      <c r="C43" s="161"/>
      <c r="D43" s="161"/>
      <c r="E43" s="166">
        <f>E44</f>
        <v>1.8</v>
      </c>
      <c r="F43" s="117" t="str">
        <f t="shared" si="4"/>
        <v>SUPOILGSL</v>
      </c>
      <c r="G43" s="117" t="s">
        <v>327</v>
      </c>
      <c r="H43" s="117" t="s">
        <v>208</v>
      </c>
    </row>
    <row r="44" spans="1:8" s="117" customFormat="1" x14ac:dyDescent="0.25">
      <c r="A44" s="134"/>
      <c r="B44" s="117" t="s">
        <v>198</v>
      </c>
      <c r="C44" s="167">
        <v>2</v>
      </c>
      <c r="D44" s="167">
        <v>0.2</v>
      </c>
      <c r="E44" s="166">
        <f t="shared" si="1"/>
        <v>1.8</v>
      </c>
      <c r="F44" s="117" t="str">
        <f t="shared" si="4"/>
        <v>SUPGASNAT</v>
      </c>
      <c r="G44" s="117" t="s">
        <v>327</v>
      </c>
      <c r="H44" s="117" t="s">
        <v>205</v>
      </c>
    </row>
    <row r="45" spans="1:8" s="117" customFormat="1" x14ac:dyDescent="0.25">
      <c r="A45" s="134"/>
      <c r="B45" s="117" t="s">
        <v>36</v>
      </c>
      <c r="C45" s="161"/>
      <c r="D45" s="161"/>
      <c r="E45" s="166">
        <f>E44/3</f>
        <v>0.6</v>
      </c>
      <c r="F45" s="117" t="str">
        <f t="shared" si="4"/>
        <v>SUPCOASUB</v>
      </c>
      <c r="G45" s="117" t="s">
        <v>327</v>
      </c>
      <c r="H45" s="117" t="s">
        <v>304</v>
      </c>
    </row>
    <row r="46" spans="1:8" s="117" customFormat="1" x14ac:dyDescent="0.25">
      <c r="A46" s="134"/>
      <c r="B46" s="117" t="s">
        <v>199</v>
      </c>
      <c r="C46" s="161"/>
      <c r="D46" s="161"/>
      <c r="E46" s="166">
        <f>E44/3</f>
        <v>0.6</v>
      </c>
      <c r="F46" s="117" t="str">
        <f t="shared" si="4"/>
        <v>SUPCOABCO</v>
      </c>
      <c r="G46" s="117" t="s">
        <v>327</v>
      </c>
      <c r="H46" s="117" t="s">
        <v>303</v>
      </c>
    </row>
    <row r="47" spans="1:8" s="117" customFormat="1" x14ac:dyDescent="0.25">
      <c r="A47" s="134"/>
      <c r="B47" s="117" t="s">
        <v>322</v>
      </c>
      <c r="C47" s="161"/>
      <c r="D47" s="161"/>
      <c r="E47" s="166">
        <f>E44/3</f>
        <v>0.6</v>
      </c>
      <c r="F47" s="117" t="str">
        <f t="shared" si="4"/>
        <v>SUPCOABIC</v>
      </c>
      <c r="G47" s="117" t="s">
        <v>327</v>
      </c>
      <c r="H47" s="117" t="s">
        <v>227</v>
      </c>
    </row>
    <row r="48" spans="1:8" s="117" customFormat="1" x14ac:dyDescent="0.25">
      <c r="A48" s="134"/>
      <c r="B48" s="117" t="s">
        <v>148</v>
      </c>
      <c r="C48" s="161"/>
      <c r="D48" s="161"/>
      <c r="E48" s="166">
        <f t="shared" si="1"/>
        <v>0</v>
      </c>
      <c r="F48" s="117" t="str">
        <f t="shared" si="4"/>
        <v>SUPCOABKB</v>
      </c>
      <c r="G48" s="117" t="s">
        <v>327</v>
      </c>
      <c r="H48" s="117" t="s">
        <v>223</v>
      </c>
    </row>
    <row r="49" spans="1:20" s="117" customFormat="1" x14ac:dyDescent="0.25">
      <c r="A49" s="134"/>
      <c r="B49" s="117" t="s">
        <v>200</v>
      </c>
      <c r="C49" s="161"/>
      <c r="D49" s="161"/>
      <c r="E49" s="166">
        <f t="shared" si="1"/>
        <v>0</v>
      </c>
      <c r="F49" s="117" t="str">
        <f t="shared" si="4"/>
        <v>SUPBIOLOG</v>
      </c>
      <c r="G49" s="117" t="s">
        <v>327</v>
      </c>
      <c r="H49" s="117" t="s">
        <v>204</v>
      </c>
    </row>
    <row r="50" spans="1:20" s="117" customFormat="1" x14ac:dyDescent="0.25">
      <c r="A50" s="134"/>
      <c r="B50" s="117" t="s">
        <v>229</v>
      </c>
      <c r="C50" s="167">
        <v>2</v>
      </c>
      <c r="D50" s="167">
        <v>1.9</v>
      </c>
      <c r="E50" s="166">
        <f t="shared" si="1"/>
        <v>0.10000000000000009</v>
      </c>
      <c r="F50" s="117" t="str">
        <f t="shared" si="4"/>
        <v>SUPHTH</v>
      </c>
      <c r="G50" s="117" t="s">
        <v>327</v>
      </c>
      <c r="H50" s="117" t="s">
        <v>228</v>
      </c>
    </row>
    <row r="51" spans="1:20" s="117" customFormat="1" x14ac:dyDescent="0.25">
      <c r="A51" s="164"/>
      <c r="B51" s="169" t="s">
        <v>217</v>
      </c>
      <c r="C51" s="170">
        <v>9</v>
      </c>
      <c r="D51" s="170">
        <v>5</v>
      </c>
      <c r="E51" s="170">
        <f t="shared" si="1"/>
        <v>4</v>
      </c>
      <c r="F51" s="169" t="str">
        <f t="shared" si="4"/>
        <v>SUPELC</v>
      </c>
      <c r="G51" s="169" t="s">
        <v>327</v>
      </c>
      <c r="H51" s="169" t="s">
        <v>225</v>
      </c>
    </row>
    <row r="52" spans="1:20" s="117" customFormat="1" x14ac:dyDescent="0.25">
      <c r="A52" s="134" t="s">
        <v>196</v>
      </c>
      <c r="B52" s="117" t="s">
        <v>25</v>
      </c>
      <c r="C52" s="161"/>
      <c r="D52" s="161"/>
      <c r="E52" s="166">
        <f>E54</f>
        <v>1.8</v>
      </c>
      <c r="F52" s="117" t="str">
        <f t="shared" si="3"/>
        <v>ELEOILDSL</v>
      </c>
      <c r="G52" s="117" t="s">
        <v>207</v>
      </c>
      <c r="H52" s="117" t="s">
        <v>202</v>
      </c>
    </row>
    <row r="53" spans="1:20" s="117" customFormat="1" x14ac:dyDescent="0.25">
      <c r="A53" s="134"/>
      <c r="B53" s="117" t="s">
        <v>197</v>
      </c>
      <c r="C53" s="161"/>
      <c r="D53" s="161"/>
      <c r="E53" s="166">
        <f>E54</f>
        <v>1.8</v>
      </c>
      <c r="F53" s="117" t="str">
        <f t="shared" si="3"/>
        <v>ELEOILHFO</v>
      </c>
      <c r="G53" s="117" t="s">
        <v>207</v>
      </c>
      <c r="H53" s="117" t="s">
        <v>267</v>
      </c>
    </row>
    <row r="54" spans="1:20" s="117" customFormat="1" x14ac:dyDescent="0.25">
      <c r="A54" s="134"/>
      <c r="B54" s="117" t="s">
        <v>198</v>
      </c>
      <c r="C54" s="167">
        <v>2</v>
      </c>
      <c r="D54" s="167">
        <v>0.2</v>
      </c>
      <c r="E54" s="166">
        <f t="shared" si="1"/>
        <v>1.8</v>
      </c>
      <c r="F54" s="117" t="str">
        <f t="shared" si="3"/>
        <v>ELEGASNAT</v>
      </c>
      <c r="G54" s="117" t="s">
        <v>207</v>
      </c>
      <c r="H54" s="117" t="s">
        <v>205</v>
      </c>
    </row>
    <row r="55" spans="1:20" s="117" customFormat="1" x14ac:dyDescent="0.25">
      <c r="A55" s="134"/>
      <c r="B55" s="117" t="s">
        <v>36</v>
      </c>
      <c r="C55" s="161"/>
      <c r="D55" s="161"/>
      <c r="E55" s="166">
        <f>E54/3</f>
        <v>0.6</v>
      </c>
      <c r="F55" s="117" t="str">
        <f t="shared" si="3"/>
        <v>ELECOASUB</v>
      </c>
      <c r="G55" s="117" t="s">
        <v>207</v>
      </c>
      <c r="H55" s="117" t="s">
        <v>304</v>
      </c>
    </row>
    <row r="56" spans="1:20" s="117" customFormat="1" x14ac:dyDescent="0.25">
      <c r="A56" s="134"/>
      <c r="B56" s="117" t="s">
        <v>199</v>
      </c>
      <c r="C56" s="161"/>
      <c r="D56" s="161"/>
      <c r="E56" s="166">
        <f>E54/3</f>
        <v>0.6</v>
      </c>
      <c r="F56" s="117" t="str">
        <f t="shared" si="3"/>
        <v>ELECOABCO</v>
      </c>
      <c r="G56" s="117" t="s">
        <v>207</v>
      </c>
      <c r="H56" s="117" t="s">
        <v>303</v>
      </c>
    </row>
    <row r="57" spans="1:20" s="117" customFormat="1" x14ac:dyDescent="0.25">
      <c r="A57" s="164"/>
      <c r="B57" s="169" t="s">
        <v>200</v>
      </c>
      <c r="C57" s="172"/>
      <c r="D57" s="172"/>
      <c r="E57" s="170">
        <f>E54/3</f>
        <v>0.6</v>
      </c>
      <c r="F57" s="169" t="str">
        <f t="shared" si="3"/>
        <v>ELEBIOLOG</v>
      </c>
      <c r="G57" s="169" t="s">
        <v>207</v>
      </c>
      <c r="H57" s="169" t="s">
        <v>204</v>
      </c>
    </row>
    <row r="58" spans="1:20" s="117" customFormat="1" x14ac:dyDescent="0.25">
      <c r="A58" s="134" t="s">
        <v>124</v>
      </c>
      <c r="B58" s="117" t="s">
        <v>211</v>
      </c>
      <c r="C58" s="167">
        <v>10.5</v>
      </c>
      <c r="D58" s="167">
        <v>10</v>
      </c>
      <c r="E58" s="166">
        <f t="shared" si="1"/>
        <v>0.5</v>
      </c>
      <c r="F58" s="117" t="str">
        <f t="shared" si="3"/>
        <v>TRAOILDSL</v>
      </c>
      <c r="G58" s="117" t="s">
        <v>210</v>
      </c>
      <c r="H58" s="117" t="s">
        <v>202</v>
      </c>
      <c r="I58" s="117" t="s">
        <v>357</v>
      </c>
    </row>
    <row r="59" spans="1:20" s="117" customFormat="1" x14ac:dyDescent="0.25">
      <c r="A59" s="134"/>
      <c r="B59" s="117" t="s">
        <v>212</v>
      </c>
      <c r="C59" s="161"/>
      <c r="D59" s="167"/>
      <c r="E59" s="166">
        <f>E58</f>
        <v>0.5</v>
      </c>
      <c r="F59" s="117" t="str">
        <f t="shared" si="3"/>
        <v>TRAOILDSL</v>
      </c>
      <c r="G59" s="117" t="s">
        <v>210</v>
      </c>
      <c r="H59" s="117" t="s">
        <v>202</v>
      </c>
      <c r="I59" s="117" t="s">
        <v>358</v>
      </c>
    </row>
    <row r="60" spans="1:20" s="117" customFormat="1" x14ac:dyDescent="0.25">
      <c r="A60" s="134"/>
      <c r="B60" s="117" t="s">
        <v>213</v>
      </c>
      <c r="C60" s="161"/>
      <c r="D60" s="167"/>
      <c r="E60" s="166">
        <f>E59</f>
        <v>0.5</v>
      </c>
      <c r="F60" s="117" t="str">
        <f t="shared" si="3"/>
        <v>TRAOILDSL</v>
      </c>
      <c r="G60" s="117" t="s">
        <v>210</v>
      </c>
      <c r="H60" s="117" t="s">
        <v>202</v>
      </c>
      <c r="J60" s="117" t="s">
        <v>360</v>
      </c>
      <c r="K60" s="117">
        <v>2017</v>
      </c>
      <c r="L60" s="117">
        <v>2017</v>
      </c>
      <c r="M60" s="117">
        <v>2017</v>
      </c>
      <c r="N60" s="117">
        <v>2017</v>
      </c>
      <c r="O60" s="117">
        <v>2017</v>
      </c>
      <c r="P60" s="117">
        <v>2020</v>
      </c>
      <c r="Q60" s="117">
        <v>2020</v>
      </c>
      <c r="R60" s="117">
        <v>2020</v>
      </c>
      <c r="S60" s="117">
        <v>2020</v>
      </c>
      <c r="T60" s="117">
        <v>2020</v>
      </c>
    </row>
    <row r="61" spans="1:20" s="117" customFormat="1" x14ac:dyDescent="0.25">
      <c r="A61" s="134"/>
      <c r="B61" s="117" t="s">
        <v>214</v>
      </c>
      <c r="C61" s="167">
        <v>12.5</v>
      </c>
      <c r="D61" s="167">
        <v>11</v>
      </c>
      <c r="E61" s="166">
        <f t="shared" si="1"/>
        <v>1.5</v>
      </c>
      <c r="F61" s="117" t="str">
        <f t="shared" si="3"/>
        <v>TRAOILGSL</v>
      </c>
      <c r="G61" s="117" t="s">
        <v>210</v>
      </c>
      <c r="H61" s="117" t="s">
        <v>208</v>
      </c>
      <c r="I61" s="117" t="s">
        <v>359</v>
      </c>
      <c r="J61" s="117" t="s">
        <v>361</v>
      </c>
      <c r="K61" s="142" t="s">
        <v>362</v>
      </c>
      <c r="L61" s="142" t="s">
        <v>363</v>
      </c>
      <c r="M61" s="142" t="s">
        <v>370</v>
      </c>
      <c r="N61" s="142" t="s">
        <v>377</v>
      </c>
      <c r="O61" s="142" t="s">
        <v>384</v>
      </c>
      <c r="P61" s="142" t="s">
        <v>362</v>
      </c>
      <c r="Q61" s="142" t="s">
        <v>363</v>
      </c>
      <c r="R61" s="142" t="s">
        <v>370</v>
      </c>
      <c r="S61" s="142" t="s">
        <v>377</v>
      </c>
      <c r="T61" s="142" t="s">
        <v>384</v>
      </c>
    </row>
    <row r="62" spans="1:20" s="117" customFormat="1" x14ac:dyDescent="0.25">
      <c r="A62" s="134"/>
      <c r="B62" s="117" t="s">
        <v>215</v>
      </c>
      <c r="C62" s="167">
        <v>12.5</v>
      </c>
      <c r="D62" s="167">
        <v>11</v>
      </c>
      <c r="E62" s="166">
        <f t="shared" si="1"/>
        <v>1.5</v>
      </c>
      <c r="F62" s="117" t="str">
        <f t="shared" si="3"/>
        <v>TRAOILLPG</v>
      </c>
      <c r="G62" s="117" t="s">
        <v>210</v>
      </c>
      <c r="H62" s="117" t="s">
        <v>203</v>
      </c>
      <c r="I62" s="117" t="s">
        <v>306</v>
      </c>
      <c r="J62" s="117" t="s">
        <v>248</v>
      </c>
      <c r="K62" s="142"/>
      <c r="L62" s="142">
        <v>14.579938681996101</v>
      </c>
      <c r="M62" s="142">
        <v>14.579938886476899</v>
      </c>
      <c r="N62" s="142">
        <v>14.5799386820077</v>
      </c>
      <c r="O62" s="142">
        <v>14.579938886524101</v>
      </c>
      <c r="P62" s="142"/>
      <c r="Q62" s="142">
        <v>14.814529571669899</v>
      </c>
      <c r="R62" s="142">
        <v>14.8145295716698</v>
      </c>
      <c r="S62" s="142">
        <v>14.8145295716698</v>
      </c>
      <c r="T62" s="142">
        <v>14.8145295722511</v>
      </c>
    </row>
    <row r="63" spans="1:20" s="117" customFormat="1" x14ac:dyDescent="0.25">
      <c r="A63" s="134"/>
      <c r="B63" s="117" t="s">
        <v>216</v>
      </c>
      <c r="C63" s="167">
        <v>10.5</v>
      </c>
      <c r="D63" s="167">
        <v>10</v>
      </c>
      <c r="E63" s="166">
        <f t="shared" si="1"/>
        <v>0.5</v>
      </c>
      <c r="F63" s="117" t="str">
        <f t="shared" si="3"/>
        <v>TRAGASNAT</v>
      </c>
      <c r="G63" s="117" t="s">
        <v>210</v>
      </c>
      <c r="H63" s="117" t="s">
        <v>205</v>
      </c>
      <c r="I63" s="117" t="s">
        <v>306</v>
      </c>
      <c r="J63" s="117" t="s">
        <v>399</v>
      </c>
      <c r="K63" s="142">
        <v>18.464091297792098</v>
      </c>
      <c r="L63" s="142"/>
      <c r="M63" s="142"/>
      <c r="N63" s="142"/>
      <c r="O63" s="142"/>
      <c r="P63" s="142">
        <v>14.0820212437386</v>
      </c>
      <c r="Q63" s="142"/>
      <c r="R63" s="142"/>
      <c r="S63" s="142"/>
      <c r="T63" s="142"/>
    </row>
    <row r="64" spans="1:20" s="117" customFormat="1" x14ac:dyDescent="0.25">
      <c r="A64" s="134"/>
      <c r="B64" s="117" t="s">
        <v>38</v>
      </c>
      <c r="C64" s="161"/>
      <c r="D64" s="161"/>
      <c r="E64" s="166">
        <f>E62/3</f>
        <v>0.5</v>
      </c>
      <c r="F64" s="117" t="str">
        <f t="shared" si="3"/>
        <v>TRAOILKER</v>
      </c>
      <c r="G64" s="117" t="s">
        <v>210</v>
      </c>
      <c r="H64" s="117" t="s">
        <v>209</v>
      </c>
      <c r="I64" s="117" t="s">
        <v>306</v>
      </c>
      <c r="J64" s="117" t="s">
        <v>400</v>
      </c>
      <c r="K64" s="142">
        <v>1.5</v>
      </c>
      <c r="L64" s="142"/>
      <c r="M64" s="142"/>
      <c r="N64" s="142"/>
      <c r="O64" s="142"/>
      <c r="P64" s="142">
        <v>13.6147136051427</v>
      </c>
      <c r="Q64" s="142"/>
      <c r="R64" s="142"/>
      <c r="S64" s="142"/>
      <c r="T64" s="142"/>
    </row>
    <row r="65" spans="1:8" s="117" customFormat="1" x14ac:dyDescent="0.25">
      <c r="A65" s="134"/>
      <c r="B65" s="117" t="s">
        <v>90</v>
      </c>
      <c r="C65" s="161"/>
      <c r="D65" s="161"/>
      <c r="E65" s="166">
        <f>E62/3</f>
        <v>0.5</v>
      </c>
      <c r="F65" s="117" t="str">
        <f t="shared" si="3"/>
        <v>TRABIOE*</v>
      </c>
      <c r="G65" s="117" t="s">
        <v>210</v>
      </c>
      <c r="H65" s="117" t="s">
        <v>239</v>
      </c>
    </row>
    <row r="66" spans="1:8" s="117" customFormat="1" x14ac:dyDescent="0.25">
      <c r="A66" s="134"/>
      <c r="B66" s="117" t="s">
        <v>91</v>
      </c>
      <c r="C66" s="161"/>
      <c r="D66" s="161"/>
      <c r="E66" s="166">
        <f>E65</f>
        <v>0.5</v>
      </c>
      <c r="F66" s="117" t="str">
        <f t="shared" ref="F66" si="5">G66&amp;H66</f>
        <v>TRABIODSL*</v>
      </c>
      <c r="G66" s="117" t="s">
        <v>210</v>
      </c>
      <c r="H66" s="117" t="s">
        <v>240</v>
      </c>
    </row>
    <row r="67" spans="1:8" s="117" customFormat="1" x14ac:dyDescent="0.25">
      <c r="A67" s="134"/>
      <c r="B67" s="117" t="s">
        <v>230</v>
      </c>
      <c r="C67" s="167">
        <f>C26</f>
        <v>12.8</v>
      </c>
      <c r="D67" s="161">
        <v>5</v>
      </c>
      <c r="E67" s="166">
        <f t="shared" si="1"/>
        <v>7.8000000000000007</v>
      </c>
      <c r="F67" s="117" t="str">
        <f t="shared" ref="F67" si="6">G67&amp;H67</f>
        <v>TRAELC</v>
      </c>
      <c r="G67" s="117" t="s">
        <v>210</v>
      </c>
      <c r="H67" s="117" t="s">
        <v>225</v>
      </c>
    </row>
    <row r="68" spans="1:8" s="117" customFormat="1" x14ac:dyDescent="0.25">
      <c r="A68" s="164"/>
      <c r="B68" s="169" t="s">
        <v>231</v>
      </c>
      <c r="C68" s="172"/>
      <c r="D68" s="172"/>
      <c r="E68" s="170">
        <f>E51</f>
        <v>4</v>
      </c>
      <c r="F68" s="169" t="str">
        <f t="shared" si="3"/>
        <v>TRAELC</v>
      </c>
      <c r="G68" s="169" t="s">
        <v>210</v>
      </c>
      <c r="H68" s="169" t="s">
        <v>225</v>
      </c>
    </row>
    <row r="69" spans="1:8" s="117" customFormat="1" x14ac:dyDescent="0.25">
      <c r="A69" s="134" t="s">
        <v>237</v>
      </c>
      <c r="B69" s="117" t="s">
        <v>217</v>
      </c>
      <c r="C69" s="167">
        <f>C26</f>
        <v>12.8</v>
      </c>
      <c r="D69" s="167">
        <v>5</v>
      </c>
      <c r="E69" s="166">
        <f t="shared" si="1"/>
        <v>7.8000000000000007</v>
      </c>
      <c r="F69" s="117" t="str">
        <f t="shared" si="3"/>
        <v>AGRELC</v>
      </c>
      <c r="G69" s="117" t="s">
        <v>238</v>
      </c>
      <c r="H69" s="117" t="s">
        <v>225</v>
      </c>
    </row>
    <row r="70" spans="1:8" s="117" customFormat="1" x14ac:dyDescent="0.25">
      <c r="A70" s="134"/>
      <c r="B70" s="117" t="s">
        <v>25</v>
      </c>
      <c r="C70" s="161"/>
      <c r="D70" s="161"/>
      <c r="E70" s="166">
        <f>E58</f>
        <v>0.5</v>
      </c>
      <c r="F70" s="117" t="str">
        <f t="shared" ref="F70:F72" si="7">G70&amp;H70</f>
        <v>AGROILDSL</v>
      </c>
      <c r="G70" s="117" t="s">
        <v>238</v>
      </c>
      <c r="H70" s="117" t="s">
        <v>202</v>
      </c>
    </row>
    <row r="71" spans="1:8" s="117" customFormat="1" x14ac:dyDescent="0.25">
      <c r="A71" s="134"/>
      <c r="B71" s="117" t="s">
        <v>198</v>
      </c>
      <c r="C71" s="167">
        <v>3.5</v>
      </c>
      <c r="D71" s="167">
        <v>0.2</v>
      </c>
      <c r="E71" s="166">
        <f t="shared" ref="E71" si="8">(C71-D71)</f>
        <v>3.3</v>
      </c>
      <c r="F71" s="117" t="str">
        <f t="shared" si="7"/>
        <v>AGRGASNAT</v>
      </c>
      <c r="G71" s="117" t="s">
        <v>238</v>
      </c>
      <c r="H71" s="117" t="s">
        <v>205</v>
      </c>
    </row>
    <row r="72" spans="1:8" s="117" customFormat="1" x14ac:dyDescent="0.25">
      <c r="A72" s="134"/>
      <c r="B72" s="117" t="s">
        <v>322</v>
      </c>
      <c r="C72" s="161"/>
      <c r="D72" s="161"/>
      <c r="E72" s="166">
        <f>E71/3</f>
        <v>1.0999999999999999</v>
      </c>
      <c r="F72" s="117" t="str">
        <f t="shared" si="7"/>
        <v>AGRCOABIC</v>
      </c>
      <c r="G72" s="117" t="s">
        <v>238</v>
      </c>
      <c r="H72" s="117" t="s">
        <v>227</v>
      </c>
    </row>
    <row r="73" spans="1:8" s="117" customFormat="1" x14ac:dyDescent="0.25">
      <c r="C73" s="142"/>
      <c r="E73" s="173"/>
    </row>
    <row r="74" spans="1:8" x14ac:dyDescent="0.25">
      <c r="C74" s="127"/>
    </row>
    <row r="75" spans="1:8" x14ac:dyDescent="0.25">
      <c r="C75" s="127"/>
    </row>
    <row r="76" spans="1:8" x14ac:dyDescent="0.25">
      <c r="C76" s="127"/>
    </row>
    <row r="77" spans="1:8" x14ac:dyDescent="0.25">
      <c r="C77" s="127"/>
    </row>
    <row r="78" spans="1:8" x14ac:dyDescent="0.25">
      <c r="C78" s="127"/>
    </row>
    <row r="79" spans="1:8" x14ac:dyDescent="0.25">
      <c r="C79" s="127"/>
    </row>
    <row r="80" spans="1:8" x14ac:dyDescent="0.25">
      <c r="C80" s="127"/>
    </row>
    <row r="81" spans="3:3" x14ac:dyDescent="0.25">
      <c r="C81" s="127"/>
    </row>
    <row r="82" spans="3:3" x14ac:dyDescent="0.25">
      <c r="C82" s="127"/>
    </row>
    <row r="83" spans="3:3" x14ac:dyDescent="0.25">
      <c r="C83" s="127"/>
    </row>
    <row r="84" spans="3:3" x14ac:dyDescent="0.25">
      <c r="C84" s="127"/>
    </row>
    <row r="85" spans="3:3" x14ac:dyDescent="0.25">
      <c r="C85" s="127"/>
    </row>
    <row r="86" spans="3:3" x14ac:dyDescent="0.25">
      <c r="C86" s="127"/>
    </row>
    <row r="87" spans="3:3" x14ac:dyDescent="0.25">
      <c r="C87" s="1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13DB-419E-4D67-8E68-380D03881CA5}">
  <dimension ref="A1:AN87"/>
  <sheetViews>
    <sheetView zoomScale="85" zoomScaleNormal="85" workbookViewId="0">
      <selection sqref="A1:XFD1048576"/>
    </sheetView>
  </sheetViews>
  <sheetFormatPr defaultColWidth="9.109375" defaultRowHeight="13.2" x14ac:dyDescent="0.25"/>
  <cols>
    <col min="1" max="1" width="28.5546875" style="109" bestFit="1" customWidth="1"/>
    <col min="2" max="2" width="18.6640625" style="109" customWidth="1"/>
    <col min="3" max="3" width="19.44140625" style="109" bestFit="1" customWidth="1"/>
    <col min="4" max="4" width="14.6640625" style="109" customWidth="1"/>
    <col min="5" max="5" width="13" style="109" customWidth="1"/>
    <col min="6" max="6" width="27.109375" style="109" bestFit="1" customWidth="1"/>
    <col min="7" max="7" width="9.109375" style="109"/>
    <col min="8" max="8" width="26.44140625" style="109" customWidth="1"/>
    <col min="9" max="10" width="9.109375" style="109"/>
    <col min="11" max="16" width="9.6640625" style="109" bestFit="1" customWidth="1"/>
    <col min="17" max="16384" width="9.109375" style="109"/>
  </cols>
  <sheetData>
    <row r="1" spans="1:40" ht="17.399999999999999" x14ac:dyDescent="0.3">
      <c r="A1" s="111" t="s">
        <v>279</v>
      </c>
      <c r="B1" s="111"/>
      <c r="C1" s="111"/>
      <c r="I1" s="116"/>
    </row>
    <row r="3" spans="1:40" s="117" customFormat="1" x14ac:dyDescent="0.25">
      <c r="A3" s="134"/>
      <c r="B3" s="134"/>
      <c r="C3" s="134" t="s">
        <v>51</v>
      </c>
      <c r="D3" s="134"/>
      <c r="E3" s="134"/>
      <c r="F3" s="134"/>
      <c r="G3" s="134"/>
      <c r="H3" s="134"/>
      <c r="I3" s="117" t="s">
        <v>357</v>
      </c>
    </row>
    <row r="4" spans="1:40" s="117" customFormat="1" x14ac:dyDescent="0.25">
      <c r="A4" s="164" t="s">
        <v>104</v>
      </c>
      <c r="B4" s="164" t="s">
        <v>191</v>
      </c>
      <c r="C4" s="164" t="s">
        <v>192</v>
      </c>
      <c r="D4" s="164" t="s">
        <v>314</v>
      </c>
      <c r="E4" s="164" t="s">
        <v>354</v>
      </c>
      <c r="F4" s="164" t="s">
        <v>219</v>
      </c>
      <c r="G4" s="164"/>
      <c r="H4" s="164"/>
      <c r="I4" s="117" t="s">
        <v>358</v>
      </c>
    </row>
    <row r="5" spans="1:40" s="117" customFormat="1" x14ac:dyDescent="0.25">
      <c r="A5" s="134" t="s">
        <v>194</v>
      </c>
      <c r="B5" s="117" t="s">
        <v>25</v>
      </c>
      <c r="C5" s="161"/>
      <c r="D5" s="165"/>
      <c r="E5" s="166">
        <f>E7</f>
        <v>0.20000000000000018</v>
      </c>
      <c r="F5" s="117" t="str">
        <f>G5&amp;H5</f>
        <v>RSDOILDSL</v>
      </c>
      <c r="G5" s="117" t="s">
        <v>201</v>
      </c>
      <c r="H5" s="117" t="s">
        <v>202</v>
      </c>
      <c r="I5" s="117" t="s">
        <v>359</v>
      </c>
      <c r="J5" s="117" t="s">
        <v>360</v>
      </c>
      <c r="K5" s="117" t="s">
        <v>361</v>
      </c>
      <c r="L5" s="117" t="s">
        <v>362</v>
      </c>
      <c r="M5" s="117" t="s">
        <v>363</v>
      </c>
      <c r="N5" s="117" t="s">
        <v>364</v>
      </c>
      <c r="O5" s="117" t="s">
        <v>365</v>
      </c>
      <c r="P5" s="117" t="s">
        <v>366</v>
      </c>
      <c r="Q5" s="117" t="s">
        <v>367</v>
      </c>
      <c r="R5" s="117" t="s">
        <v>368</v>
      </c>
      <c r="S5" s="117" t="s">
        <v>369</v>
      </c>
      <c r="T5" s="117" t="s">
        <v>370</v>
      </c>
      <c r="U5" s="117" t="s">
        <v>371</v>
      </c>
      <c r="V5" s="117" t="s">
        <v>372</v>
      </c>
      <c r="W5" s="117" t="s">
        <v>373</v>
      </c>
      <c r="X5" s="117" t="s">
        <v>374</v>
      </c>
      <c r="Y5" s="117" t="s">
        <v>375</v>
      </c>
      <c r="Z5" s="117" t="s">
        <v>376</v>
      </c>
      <c r="AA5" s="117" t="s">
        <v>377</v>
      </c>
      <c r="AB5" s="117" t="s">
        <v>378</v>
      </c>
      <c r="AC5" s="117" t="s">
        <v>379</v>
      </c>
      <c r="AD5" s="117" t="s">
        <v>380</v>
      </c>
      <c r="AE5" s="117" t="s">
        <v>381</v>
      </c>
      <c r="AF5" s="117" t="s">
        <v>382</v>
      </c>
      <c r="AG5" s="117" t="s">
        <v>383</v>
      </c>
      <c r="AH5" s="117" t="s">
        <v>384</v>
      </c>
      <c r="AI5" s="117" t="s">
        <v>385</v>
      </c>
      <c r="AJ5" s="117" t="s">
        <v>386</v>
      </c>
      <c r="AK5" s="117" t="s">
        <v>387</v>
      </c>
      <c r="AL5" s="117" t="s">
        <v>388</v>
      </c>
      <c r="AM5" s="117" t="s">
        <v>389</v>
      </c>
      <c r="AN5" s="117" t="s">
        <v>390</v>
      </c>
    </row>
    <row r="6" spans="1:40" s="117" customFormat="1" x14ac:dyDescent="0.25">
      <c r="A6" s="134"/>
      <c r="B6" s="117" t="s">
        <v>35</v>
      </c>
      <c r="C6" s="161"/>
      <c r="D6" s="165"/>
      <c r="E6" s="166">
        <f>E7</f>
        <v>0.20000000000000018</v>
      </c>
      <c r="F6" s="117" t="str">
        <f t="shared" ref="F6:F14" si="0">G6&amp;H6</f>
        <v>RSDOILLPG</v>
      </c>
      <c r="G6" s="117" t="s">
        <v>201</v>
      </c>
      <c r="H6" s="117" t="s">
        <v>203</v>
      </c>
      <c r="I6" s="117" t="s">
        <v>307</v>
      </c>
      <c r="J6" s="117" t="s">
        <v>391</v>
      </c>
      <c r="K6" s="117" t="s">
        <v>393</v>
      </c>
      <c r="L6" s="142"/>
      <c r="M6" s="142"/>
      <c r="N6" s="142">
        <v>16.500679793027999</v>
      </c>
      <c r="O6" s="142">
        <v>16.500679793027999</v>
      </c>
      <c r="P6" s="142">
        <v>16.500679793027999</v>
      </c>
      <c r="Q6" s="142">
        <v>16.500679793027999</v>
      </c>
      <c r="R6" s="142">
        <v>16.500679793027999</v>
      </c>
      <c r="S6" s="142">
        <v>16.500679793027999</v>
      </c>
      <c r="T6" s="142"/>
      <c r="U6" s="142">
        <v>16.500679793027999</v>
      </c>
      <c r="V6" s="142">
        <v>16.500679793027999</v>
      </c>
      <c r="W6" s="142">
        <v>16.500679793027999</v>
      </c>
      <c r="X6" s="142">
        <v>16.500679793027999</v>
      </c>
      <c r="Y6" s="142">
        <v>16.500679793027999</v>
      </c>
      <c r="Z6" s="142">
        <v>16.500679793027999</v>
      </c>
      <c r="AA6" s="142"/>
      <c r="AB6" s="142">
        <v>16.500679793027999</v>
      </c>
      <c r="AC6" s="142">
        <v>16.500679793027999</v>
      </c>
      <c r="AD6" s="142">
        <v>16.500679793027999</v>
      </c>
      <c r="AE6" s="142">
        <v>16.500679793027999</v>
      </c>
      <c r="AF6" s="142">
        <v>16.500679793027999</v>
      </c>
      <c r="AG6" s="142">
        <v>16.500679793027999</v>
      </c>
      <c r="AH6" s="142"/>
      <c r="AI6" s="142">
        <v>16.500679793027899</v>
      </c>
      <c r="AJ6" s="142">
        <v>16.500679793027899</v>
      </c>
      <c r="AK6" s="142">
        <v>16.500679793027899</v>
      </c>
      <c r="AL6" s="142">
        <v>16.500781655180099</v>
      </c>
      <c r="AM6" s="142">
        <v>16.500679793027999</v>
      </c>
      <c r="AN6" s="142">
        <v>16.500679793027999</v>
      </c>
    </row>
    <row r="7" spans="1:40" s="117" customFormat="1" x14ac:dyDescent="0.25">
      <c r="A7" s="134"/>
      <c r="B7" s="117" t="s">
        <v>198</v>
      </c>
      <c r="C7" s="167">
        <v>3</v>
      </c>
      <c r="D7" s="167">
        <v>2.8</v>
      </c>
      <c r="E7" s="168">
        <f t="shared" ref="E7:E69" si="1">(C7-D7)</f>
        <v>0.20000000000000018</v>
      </c>
      <c r="F7" s="117" t="str">
        <f t="shared" si="0"/>
        <v>RSDGASNAT</v>
      </c>
      <c r="G7" s="117" t="s">
        <v>201</v>
      </c>
      <c r="H7" s="117" t="s">
        <v>205</v>
      </c>
      <c r="I7" s="117" t="s">
        <v>307</v>
      </c>
      <c r="J7" s="117" t="s">
        <v>391</v>
      </c>
      <c r="K7" s="117" t="s">
        <v>394</v>
      </c>
      <c r="L7" s="142"/>
      <c r="M7" s="142">
        <v>4.82106605533082</v>
      </c>
      <c r="N7" s="142"/>
      <c r="O7" s="142"/>
      <c r="P7" s="142"/>
      <c r="Q7" s="142"/>
      <c r="R7" s="142"/>
      <c r="S7" s="142"/>
      <c r="T7" s="142">
        <v>4.82106605533082</v>
      </c>
      <c r="U7" s="142"/>
      <c r="V7" s="142"/>
      <c r="W7" s="142"/>
      <c r="X7" s="142"/>
      <c r="Y7" s="142"/>
      <c r="Z7" s="142"/>
      <c r="AA7" s="142">
        <v>4.82106605533082</v>
      </c>
      <c r="AB7" s="142"/>
      <c r="AC7" s="142"/>
      <c r="AD7" s="142"/>
      <c r="AE7" s="142"/>
      <c r="AF7" s="142"/>
      <c r="AG7" s="142"/>
      <c r="AH7" s="142">
        <v>4.8210660569554999</v>
      </c>
      <c r="AI7" s="142"/>
      <c r="AJ7" s="142"/>
      <c r="AK7" s="142"/>
      <c r="AL7" s="142"/>
      <c r="AM7" s="142"/>
      <c r="AN7" s="142"/>
    </row>
    <row r="8" spans="1:40" s="117" customFormat="1" x14ac:dyDescent="0.25">
      <c r="A8" s="134"/>
      <c r="B8" s="117" t="s">
        <v>45</v>
      </c>
      <c r="C8" s="161"/>
      <c r="D8" s="161"/>
      <c r="E8" s="166">
        <f>E7/3</f>
        <v>6.6666666666666721E-2</v>
      </c>
      <c r="F8" s="117" t="str">
        <f t="shared" si="0"/>
        <v>RSDCOABIC</v>
      </c>
      <c r="G8" s="117" t="s">
        <v>201</v>
      </c>
      <c r="H8" s="117" t="s">
        <v>227</v>
      </c>
      <c r="I8" s="117" t="s">
        <v>307</v>
      </c>
      <c r="J8" s="117" t="s">
        <v>391</v>
      </c>
      <c r="K8" s="117" t="s">
        <v>395</v>
      </c>
      <c r="L8" s="142"/>
      <c r="M8" s="142"/>
      <c r="N8" s="142">
        <v>8.1678135667187206</v>
      </c>
      <c r="O8" s="142">
        <v>8.1678135667187206</v>
      </c>
      <c r="P8" s="142">
        <v>8.1678135667187206</v>
      </c>
      <c r="Q8" s="142">
        <v>8.1678135667187206</v>
      </c>
      <c r="R8" s="142">
        <v>8.1678135667187206</v>
      </c>
      <c r="S8" s="142">
        <v>8.1678135667187206</v>
      </c>
      <c r="T8" s="142"/>
      <c r="U8" s="142">
        <v>8.1678135667187206</v>
      </c>
      <c r="V8" s="142">
        <v>8.1678135667187206</v>
      </c>
      <c r="W8" s="142">
        <v>8.1678135667187206</v>
      </c>
      <c r="X8" s="142">
        <v>8.1678135667187206</v>
      </c>
      <c r="Y8" s="142">
        <v>8.1678135667187206</v>
      </c>
      <c r="Z8" s="142">
        <v>8.1678135667187206</v>
      </c>
      <c r="AA8" s="142"/>
      <c r="AB8" s="142">
        <v>8.1678135667187206</v>
      </c>
      <c r="AC8" s="142">
        <v>8.1678135667187206</v>
      </c>
      <c r="AD8" s="142">
        <v>8.1678135667187206</v>
      </c>
      <c r="AE8" s="142">
        <v>8.1678135667187206</v>
      </c>
      <c r="AF8" s="142">
        <v>8.1678135667187206</v>
      </c>
      <c r="AG8" s="142">
        <v>8.1678135667187206</v>
      </c>
      <c r="AH8" s="142"/>
      <c r="AI8" s="142">
        <v>8.1678135667187206</v>
      </c>
      <c r="AJ8" s="142">
        <v>8.1678135667187206</v>
      </c>
      <c r="AK8" s="142">
        <v>8.1678135667187206</v>
      </c>
      <c r="AL8" s="142">
        <v>11.9088545952595</v>
      </c>
      <c r="AM8" s="142">
        <v>8.1678135667187206</v>
      </c>
      <c r="AN8" s="142">
        <v>8.1678135667187206</v>
      </c>
    </row>
    <row r="9" spans="1:40" s="117" customFormat="1" x14ac:dyDescent="0.25">
      <c r="A9" s="134"/>
      <c r="B9" s="117" t="s">
        <v>199</v>
      </c>
      <c r="C9" s="161"/>
      <c r="D9" s="161"/>
      <c r="E9" s="166">
        <f>E7/3</f>
        <v>6.6666666666666721E-2</v>
      </c>
      <c r="F9" s="117" t="str">
        <f t="shared" si="0"/>
        <v>RSDCOABCO</v>
      </c>
      <c r="G9" s="117" t="s">
        <v>201</v>
      </c>
      <c r="H9" s="117" t="s">
        <v>303</v>
      </c>
      <c r="I9" s="117" t="s">
        <v>307</v>
      </c>
      <c r="J9" s="117" t="s">
        <v>391</v>
      </c>
      <c r="K9" s="117" t="s">
        <v>396</v>
      </c>
      <c r="L9" s="142">
        <v>10.547843658686199</v>
      </c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</row>
    <row r="10" spans="1:40" s="117" customFormat="1" x14ac:dyDescent="0.25">
      <c r="A10" s="134"/>
      <c r="B10" s="117" t="s">
        <v>319</v>
      </c>
      <c r="C10" s="161"/>
      <c r="D10" s="161"/>
      <c r="E10" s="166">
        <f t="shared" si="1"/>
        <v>0</v>
      </c>
      <c r="F10" s="117" t="str">
        <f t="shared" si="0"/>
        <v>RSDBIOCHR</v>
      </c>
      <c r="G10" s="117" t="s">
        <v>201</v>
      </c>
      <c r="H10" s="117" t="s">
        <v>226</v>
      </c>
      <c r="I10" s="117" t="s">
        <v>307</v>
      </c>
      <c r="J10" s="117" t="s">
        <v>397</v>
      </c>
      <c r="K10" s="117" t="s">
        <v>393</v>
      </c>
      <c r="L10" s="142"/>
      <c r="M10" s="142"/>
      <c r="N10" s="142">
        <v>16.923385852138001</v>
      </c>
      <c r="O10" s="142">
        <v>16.923385852138001</v>
      </c>
      <c r="P10" s="142">
        <v>16.923385852138001</v>
      </c>
      <c r="Q10" s="142">
        <v>16.923385852138001</v>
      </c>
      <c r="R10" s="142">
        <v>16.923385852138001</v>
      </c>
      <c r="S10" s="142">
        <v>16.923385852138001</v>
      </c>
      <c r="T10" s="142"/>
      <c r="U10" s="142">
        <v>16.923385852138001</v>
      </c>
      <c r="V10" s="142">
        <v>16.923385852138001</v>
      </c>
      <c r="W10" s="142">
        <v>16.923385852138001</v>
      </c>
      <c r="X10" s="142">
        <v>16.923385852138001</v>
      </c>
      <c r="Y10" s="142">
        <v>16.923385852138001</v>
      </c>
      <c r="Z10" s="142">
        <v>16.923385852138001</v>
      </c>
      <c r="AA10" s="142"/>
      <c r="AB10" s="142">
        <v>16.923385852138001</v>
      </c>
      <c r="AC10" s="142">
        <v>16.923385852138001</v>
      </c>
      <c r="AD10" s="142">
        <v>16.923385852138001</v>
      </c>
      <c r="AE10" s="142">
        <v>16.923385852138001</v>
      </c>
      <c r="AF10" s="142">
        <v>16.923385852138001</v>
      </c>
      <c r="AG10" s="142">
        <v>16.923385852138001</v>
      </c>
      <c r="AH10" s="142"/>
      <c r="AI10" s="142">
        <v>16.923385852138001</v>
      </c>
      <c r="AJ10" s="142">
        <v>16.923385852138001</v>
      </c>
      <c r="AK10" s="142">
        <v>16.923385852138001</v>
      </c>
      <c r="AL10" s="142">
        <v>16.923385852138001</v>
      </c>
      <c r="AM10" s="142">
        <v>16.923385852138001</v>
      </c>
      <c r="AN10" s="142">
        <v>16.923385852138001</v>
      </c>
    </row>
    <row r="11" spans="1:40" s="117" customFormat="1" x14ac:dyDescent="0.25">
      <c r="A11" s="134"/>
      <c r="B11" s="117" t="s">
        <v>200</v>
      </c>
      <c r="C11" s="161"/>
      <c r="D11" s="161"/>
      <c r="E11" s="166">
        <f t="shared" si="1"/>
        <v>0</v>
      </c>
      <c r="F11" s="117" t="str">
        <f t="shared" si="0"/>
        <v>RSDBIOLOG</v>
      </c>
      <c r="G11" s="117" t="s">
        <v>201</v>
      </c>
      <c r="H11" s="117" t="s">
        <v>204</v>
      </c>
      <c r="I11" s="117" t="s">
        <v>307</v>
      </c>
      <c r="J11" s="117" t="s">
        <v>397</v>
      </c>
      <c r="K11" s="117" t="s">
        <v>394</v>
      </c>
      <c r="L11" s="142"/>
      <c r="M11" s="142">
        <v>4.9362890786783398</v>
      </c>
      <c r="N11" s="142"/>
      <c r="O11" s="142"/>
      <c r="P11" s="142"/>
      <c r="Q11" s="142"/>
      <c r="R11" s="142"/>
      <c r="S11" s="142"/>
      <c r="T11" s="142">
        <v>4.9362890786783398</v>
      </c>
      <c r="U11" s="142"/>
      <c r="V11" s="142"/>
      <c r="W11" s="142"/>
      <c r="X11" s="142"/>
      <c r="Y11" s="142"/>
      <c r="Z11" s="142"/>
      <c r="AA11" s="142">
        <v>4.9362890786783398</v>
      </c>
      <c r="AB11" s="142"/>
      <c r="AC11" s="142"/>
      <c r="AD11" s="142"/>
      <c r="AE11" s="142"/>
      <c r="AF11" s="142"/>
      <c r="AG11" s="142"/>
      <c r="AH11" s="142">
        <v>4.9362890786783398</v>
      </c>
      <c r="AI11" s="142"/>
      <c r="AJ11" s="142"/>
      <c r="AK11" s="142"/>
      <c r="AL11" s="142"/>
      <c r="AM11" s="142"/>
      <c r="AN11" s="142"/>
    </row>
    <row r="12" spans="1:40" s="117" customFormat="1" x14ac:dyDescent="0.25">
      <c r="A12" s="134"/>
      <c r="B12" s="117" t="s">
        <v>235</v>
      </c>
      <c r="C12" s="161"/>
      <c r="D12" s="161"/>
      <c r="E12" s="166">
        <f t="shared" si="1"/>
        <v>0</v>
      </c>
      <c r="F12" s="117" t="str">
        <f t="shared" si="0"/>
        <v>RSDBIOPLT</v>
      </c>
      <c r="G12" s="117" t="s">
        <v>201</v>
      </c>
      <c r="H12" s="117" t="s">
        <v>236</v>
      </c>
      <c r="I12" s="117" t="s">
        <v>307</v>
      </c>
      <c r="J12" s="117" t="s">
        <v>397</v>
      </c>
      <c r="K12" s="117" t="s">
        <v>395</v>
      </c>
      <c r="L12" s="142"/>
      <c r="M12" s="142"/>
      <c r="N12" s="142">
        <v>10.3389506629468</v>
      </c>
      <c r="O12" s="142">
        <v>10.3389506629468</v>
      </c>
      <c r="P12" s="142">
        <v>10.3389506629468</v>
      </c>
      <c r="Q12" s="142">
        <v>10.3389506629468</v>
      </c>
      <c r="R12" s="142">
        <v>10.3389506629468</v>
      </c>
      <c r="S12" s="142">
        <v>10.3389506629468</v>
      </c>
      <c r="T12" s="142"/>
      <c r="U12" s="142">
        <v>10.3389506629468</v>
      </c>
      <c r="V12" s="142">
        <v>10.3389506629468</v>
      </c>
      <c r="W12" s="142">
        <v>10.3389506629468</v>
      </c>
      <c r="X12" s="142">
        <v>10.3389506629468</v>
      </c>
      <c r="Y12" s="142">
        <v>10.3389506629468</v>
      </c>
      <c r="Z12" s="142">
        <v>10.3389506629468</v>
      </c>
      <c r="AA12" s="142"/>
      <c r="AB12" s="142">
        <v>10.3389506629468</v>
      </c>
      <c r="AC12" s="142">
        <v>10.3389506629468</v>
      </c>
      <c r="AD12" s="142">
        <v>10.3389506629468</v>
      </c>
      <c r="AE12" s="142">
        <v>10.3389506629468</v>
      </c>
      <c r="AF12" s="142">
        <v>10.3389506629468</v>
      </c>
      <c r="AG12" s="142">
        <v>10.3389506629468</v>
      </c>
      <c r="AH12" s="142"/>
      <c r="AI12" s="142">
        <v>10.3389506629468</v>
      </c>
      <c r="AJ12" s="142">
        <v>10.3389506629468</v>
      </c>
      <c r="AK12" s="142">
        <v>10.3389506629468</v>
      </c>
      <c r="AL12" s="142">
        <v>12.2727254968959</v>
      </c>
      <c r="AM12" s="142">
        <v>10.3389506629468</v>
      </c>
      <c r="AN12" s="142">
        <v>10.3389506629468</v>
      </c>
    </row>
    <row r="13" spans="1:40" s="117" customFormat="1" x14ac:dyDescent="0.25">
      <c r="A13" s="134"/>
      <c r="B13" s="117" t="s">
        <v>229</v>
      </c>
      <c r="C13" s="167">
        <v>4.2</v>
      </c>
      <c r="D13" s="167">
        <v>4</v>
      </c>
      <c r="E13" s="168">
        <f t="shared" si="1"/>
        <v>0.20000000000000018</v>
      </c>
      <c r="F13" s="117" t="str">
        <f t="shared" si="0"/>
        <v>RSDLTH</v>
      </c>
      <c r="G13" s="117" t="s">
        <v>201</v>
      </c>
      <c r="H13" s="117" t="s">
        <v>224</v>
      </c>
      <c r="I13" s="117" t="s">
        <v>307</v>
      </c>
      <c r="J13" s="117" t="s">
        <v>397</v>
      </c>
      <c r="K13" s="117" t="s">
        <v>396</v>
      </c>
      <c r="L13" s="142">
        <v>12.130635918254599</v>
      </c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</row>
    <row r="14" spans="1:40" s="117" customFormat="1" x14ac:dyDescent="0.25">
      <c r="A14" s="134"/>
      <c r="B14" s="117" t="s">
        <v>217</v>
      </c>
      <c r="C14" s="170">
        <v>11.5</v>
      </c>
      <c r="D14" s="170">
        <v>10</v>
      </c>
      <c r="E14" s="171">
        <f t="shared" si="1"/>
        <v>1.5</v>
      </c>
      <c r="F14" s="117" t="str">
        <f t="shared" si="0"/>
        <v>RSDELC</v>
      </c>
      <c r="G14" s="117" t="s">
        <v>201</v>
      </c>
      <c r="H14" s="117" t="s">
        <v>225</v>
      </c>
    </row>
    <row r="15" spans="1:40" s="117" customFormat="1" x14ac:dyDescent="0.25">
      <c r="A15" s="134" t="s">
        <v>195</v>
      </c>
      <c r="B15" s="117" t="s">
        <v>25</v>
      </c>
      <c r="C15" s="161"/>
      <c r="D15" s="161"/>
      <c r="E15" s="166">
        <f>E18</f>
        <v>0.70000000000000018</v>
      </c>
      <c r="F15" s="117" t="str">
        <f>G15&amp;H15</f>
        <v>TEROILDSL</v>
      </c>
      <c r="G15" s="117" t="s">
        <v>315</v>
      </c>
      <c r="H15" s="117" t="s">
        <v>202</v>
      </c>
    </row>
    <row r="16" spans="1:40" s="117" customFormat="1" x14ac:dyDescent="0.25">
      <c r="A16" s="134"/>
      <c r="B16" s="117" t="s">
        <v>71</v>
      </c>
      <c r="C16" s="161"/>
      <c r="D16" s="161"/>
      <c r="E16" s="166">
        <f>E18</f>
        <v>0.70000000000000018</v>
      </c>
      <c r="F16" s="117" t="str">
        <f>G16&amp;H16</f>
        <v>TEROILHFO</v>
      </c>
      <c r="G16" s="117" t="s">
        <v>315</v>
      </c>
      <c r="H16" s="117" t="s">
        <v>267</v>
      </c>
    </row>
    <row r="17" spans="1:8" s="117" customFormat="1" x14ac:dyDescent="0.25">
      <c r="A17" s="134"/>
      <c r="B17" s="117" t="s">
        <v>35</v>
      </c>
      <c r="C17" s="161"/>
      <c r="D17" s="161"/>
      <c r="E17" s="166">
        <f>E18</f>
        <v>0.70000000000000018</v>
      </c>
      <c r="F17" s="117" t="str">
        <f t="shared" ref="F17:F72" si="2">G17&amp;H17</f>
        <v>TEROILLPG</v>
      </c>
      <c r="G17" s="117" t="s">
        <v>315</v>
      </c>
      <c r="H17" s="117" t="s">
        <v>203</v>
      </c>
    </row>
    <row r="18" spans="1:8" s="117" customFormat="1" x14ac:dyDescent="0.25">
      <c r="A18" s="134"/>
      <c r="B18" s="117" t="s">
        <v>198</v>
      </c>
      <c r="C18" s="167">
        <v>3.5</v>
      </c>
      <c r="D18" s="167">
        <v>2.8</v>
      </c>
      <c r="E18" s="166">
        <f t="shared" si="1"/>
        <v>0.70000000000000018</v>
      </c>
      <c r="F18" s="117" t="str">
        <f t="shared" si="2"/>
        <v>TERGASNAT</v>
      </c>
      <c r="G18" s="117" t="s">
        <v>315</v>
      </c>
      <c r="H18" s="117" t="s">
        <v>205</v>
      </c>
    </row>
    <row r="19" spans="1:8" s="117" customFormat="1" x14ac:dyDescent="0.25">
      <c r="A19" s="134"/>
      <c r="B19" s="117" t="s">
        <v>45</v>
      </c>
      <c r="C19" s="161"/>
      <c r="D19" s="161"/>
      <c r="E19" s="166">
        <f>E18/3</f>
        <v>0.23333333333333339</v>
      </c>
      <c r="F19" s="117" t="str">
        <f t="shared" si="2"/>
        <v>TERCOABIC</v>
      </c>
      <c r="G19" s="117" t="s">
        <v>315</v>
      </c>
      <c r="H19" s="117" t="s">
        <v>227</v>
      </c>
    </row>
    <row r="20" spans="1:8" s="117" customFormat="1" x14ac:dyDescent="0.25">
      <c r="A20" s="134"/>
      <c r="B20" s="117" t="s">
        <v>199</v>
      </c>
      <c r="C20" s="161"/>
      <c r="D20" s="161"/>
      <c r="E20" s="166">
        <f>E18/3</f>
        <v>0.23333333333333339</v>
      </c>
      <c r="F20" s="117" t="str">
        <f t="shared" si="2"/>
        <v>TERCOABCO</v>
      </c>
      <c r="G20" s="117" t="s">
        <v>315</v>
      </c>
      <c r="H20" s="117" t="s">
        <v>303</v>
      </c>
    </row>
    <row r="21" spans="1:8" s="117" customFormat="1" x14ac:dyDescent="0.25">
      <c r="A21" s="134"/>
      <c r="B21" s="117" t="s">
        <v>319</v>
      </c>
      <c r="C21" s="161"/>
      <c r="D21" s="161"/>
      <c r="E21" s="166">
        <f t="shared" si="1"/>
        <v>0</v>
      </c>
      <c r="F21" s="117" t="str">
        <f t="shared" si="2"/>
        <v>TERBIOCHR</v>
      </c>
      <c r="G21" s="117" t="s">
        <v>315</v>
      </c>
      <c r="H21" s="117" t="s">
        <v>226</v>
      </c>
    </row>
    <row r="22" spans="1:8" s="117" customFormat="1" x14ac:dyDescent="0.25">
      <c r="A22" s="134"/>
      <c r="B22" s="117" t="s">
        <v>200</v>
      </c>
      <c r="C22" s="161"/>
      <c r="D22" s="161"/>
      <c r="E22" s="166">
        <f t="shared" si="1"/>
        <v>0</v>
      </c>
      <c r="F22" s="117" t="str">
        <f t="shared" si="2"/>
        <v>TERBIOLOG</v>
      </c>
      <c r="G22" s="117" t="s">
        <v>315</v>
      </c>
      <c r="H22" s="117" t="s">
        <v>204</v>
      </c>
    </row>
    <row r="23" spans="1:8" s="117" customFormat="1" x14ac:dyDescent="0.25">
      <c r="A23" s="134"/>
      <c r="B23" s="117" t="s">
        <v>235</v>
      </c>
      <c r="C23" s="161"/>
      <c r="D23" s="161"/>
      <c r="E23" s="166">
        <f t="shared" si="1"/>
        <v>0</v>
      </c>
      <c r="F23" s="117" t="str">
        <f t="shared" si="2"/>
        <v>TERBIOPLT</v>
      </c>
      <c r="G23" s="117" t="s">
        <v>315</v>
      </c>
      <c r="H23" s="117" t="s">
        <v>236</v>
      </c>
    </row>
    <row r="24" spans="1:8" s="117" customFormat="1" x14ac:dyDescent="0.25">
      <c r="A24" s="134"/>
      <c r="C24" s="161"/>
      <c r="D24" s="161"/>
      <c r="E24" s="166"/>
    </row>
    <row r="25" spans="1:8" s="117" customFormat="1" x14ac:dyDescent="0.25">
      <c r="A25" s="134"/>
      <c r="B25" s="117" t="s">
        <v>229</v>
      </c>
      <c r="C25" s="167">
        <f>C13</f>
        <v>4.2</v>
      </c>
      <c r="D25" s="167">
        <v>4</v>
      </c>
      <c r="E25" s="166">
        <f t="shared" si="1"/>
        <v>0.20000000000000018</v>
      </c>
      <c r="F25" s="117" t="str">
        <f t="shared" si="2"/>
        <v>TERLTH</v>
      </c>
      <c r="G25" s="117" t="s">
        <v>315</v>
      </c>
      <c r="H25" s="117" t="s">
        <v>224</v>
      </c>
    </row>
    <row r="26" spans="1:8" s="117" customFormat="1" x14ac:dyDescent="0.25">
      <c r="A26" s="134"/>
      <c r="B26" s="117" t="s">
        <v>217</v>
      </c>
      <c r="C26" s="170">
        <v>14.7</v>
      </c>
      <c r="D26" s="170">
        <v>10</v>
      </c>
      <c r="E26" s="170">
        <f t="shared" si="1"/>
        <v>4.6999999999999993</v>
      </c>
      <c r="F26" s="117" t="str">
        <f t="shared" si="2"/>
        <v>TERELC</v>
      </c>
      <c r="G26" s="117" t="s">
        <v>315</v>
      </c>
      <c r="H26" s="117" t="s">
        <v>225</v>
      </c>
    </row>
    <row r="27" spans="1:8" s="117" customFormat="1" x14ac:dyDescent="0.25">
      <c r="A27" s="134" t="s">
        <v>218</v>
      </c>
      <c r="B27" s="117" t="s">
        <v>25</v>
      </c>
      <c r="C27" s="161"/>
      <c r="D27" s="161"/>
      <c r="E27" s="166">
        <f>E31</f>
        <v>1.5</v>
      </c>
      <c r="F27" s="117" t="str">
        <f t="shared" si="2"/>
        <v>INDOILDSL</v>
      </c>
      <c r="G27" s="117" t="s">
        <v>206</v>
      </c>
      <c r="H27" s="117" t="s">
        <v>202</v>
      </c>
    </row>
    <row r="28" spans="1:8" s="117" customFormat="1" x14ac:dyDescent="0.25">
      <c r="A28" s="134"/>
      <c r="B28" s="117" t="s">
        <v>197</v>
      </c>
      <c r="C28" s="161"/>
      <c r="D28" s="161"/>
      <c r="E28" s="166">
        <f>E31</f>
        <v>1.5</v>
      </c>
      <c r="F28" s="117" t="str">
        <f t="shared" si="2"/>
        <v>INDOILHFO</v>
      </c>
      <c r="G28" s="117" t="s">
        <v>206</v>
      </c>
      <c r="H28" s="117" t="s">
        <v>267</v>
      </c>
    </row>
    <row r="29" spans="1:8" s="117" customFormat="1" x14ac:dyDescent="0.25">
      <c r="A29" s="134"/>
      <c r="B29" s="117" t="s">
        <v>35</v>
      </c>
      <c r="C29" s="161"/>
      <c r="D29" s="161"/>
      <c r="E29" s="166">
        <f>E31</f>
        <v>1.5</v>
      </c>
      <c r="F29" s="117" t="str">
        <f>G29&amp;H29</f>
        <v>INDOILLPG</v>
      </c>
      <c r="G29" s="117" t="s">
        <v>206</v>
      </c>
      <c r="H29" s="117" t="s">
        <v>203</v>
      </c>
    </row>
    <row r="30" spans="1:8" s="117" customFormat="1" x14ac:dyDescent="0.25">
      <c r="A30" s="134"/>
      <c r="B30" s="117" t="s">
        <v>24</v>
      </c>
      <c r="C30" s="161"/>
      <c r="D30" s="161"/>
      <c r="E30" s="166">
        <f>E31</f>
        <v>1.5</v>
      </c>
      <c r="F30" s="117" t="str">
        <f t="shared" ref="F30:F51" si="3">G30&amp;H30</f>
        <v>INDOILGSL</v>
      </c>
      <c r="G30" s="117" t="s">
        <v>206</v>
      </c>
      <c r="H30" s="117" t="s">
        <v>208</v>
      </c>
    </row>
    <row r="31" spans="1:8" s="117" customFormat="1" x14ac:dyDescent="0.25">
      <c r="A31" s="134"/>
      <c r="B31" s="117" t="s">
        <v>198</v>
      </c>
      <c r="C31" s="167">
        <v>4.3</v>
      </c>
      <c r="D31" s="167">
        <v>2.8</v>
      </c>
      <c r="E31" s="166">
        <f t="shared" si="1"/>
        <v>1.5</v>
      </c>
      <c r="F31" s="117" t="str">
        <f t="shared" si="3"/>
        <v>INDGASNAT</v>
      </c>
      <c r="G31" s="117" t="s">
        <v>206</v>
      </c>
      <c r="H31" s="117" t="s">
        <v>205</v>
      </c>
    </row>
    <row r="32" spans="1:8" s="117" customFormat="1" x14ac:dyDescent="0.25">
      <c r="A32" s="134"/>
      <c r="B32" s="117" t="s">
        <v>36</v>
      </c>
      <c r="C32" s="161"/>
      <c r="D32" s="161"/>
      <c r="E32" s="166">
        <f>E31/3</f>
        <v>0.5</v>
      </c>
      <c r="F32" s="117" t="str">
        <f t="shared" si="3"/>
        <v>INDCOASUB</v>
      </c>
      <c r="G32" s="117" t="s">
        <v>206</v>
      </c>
      <c r="H32" s="117" t="s">
        <v>304</v>
      </c>
    </row>
    <row r="33" spans="1:8" s="117" customFormat="1" x14ac:dyDescent="0.25">
      <c r="A33" s="134"/>
      <c r="B33" s="117" t="s">
        <v>199</v>
      </c>
      <c r="C33" s="161"/>
      <c r="D33" s="161"/>
      <c r="E33" s="166">
        <f>E32</f>
        <v>0.5</v>
      </c>
      <c r="F33" s="117" t="str">
        <f t="shared" si="3"/>
        <v>INDCOABCO</v>
      </c>
      <c r="G33" s="117" t="s">
        <v>206</v>
      </c>
      <c r="H33" s="117" t="s">
        <v>303</v>
      </c>
    </row>
    <row r="34" spans="1:8" s="117" customFormat="1" x14ac:dyDescent="0.25">
      <c r="A34" s="134"/>
      <c r="B34" s="117" t="s">
        <v>322</v>
      </c>
      <c r="C34" s="161"/>
      <c r="D34" s="161"/>
      <c r="E34" s="166">
        <f>E33</f>
        <v>0.5</v>
      </c>
      <c r="F34" s="117" t="str">
        <f t="shared" si="3"/>
        <v>INDCOABIC</v>
      </c>
      <c r="G34" s="117" t="s">
        <v>206</v>
      </c>
      <c r="H34" s="117" t="s">
        <v>227</v>
      </c>
    </row>
    <row r="35" spans="1:8" s="117" customFormat="1" x14ac:dyDescent="0.25">
      <c r="A35" s="134"/>
      <c r="B35" s="117" t="s">
        <v>88</v>
      </c>
      <c r="C35" s="161"/>
      <c r="D35" s="161"/>
      <c r="E35" s="166">
        <f t="shared" si="1"/>
        <v>0</v>
      </c>
      <c r="F35" s="117" t="str">
        <f t="shared" si="3"/>
        <v>INDCOACOK</v>
      </c>
      <c r="G35" s="117" t="s">
        <v>206</v>
      </c>
      <c r="H35" s="117" t="s">
        <v>305</v>
      </c>
    </row>
    <row r="36" spans="1:8" s="117" customFormat="1" x14ac:dyDescent="0.25">
      <c r="A36" s="134"/>
      <c r="B36" s="117" t="s">
        <v>148</v>
      </c>
      <c r="C36" s="161"/>
      <c r="D36" s="161"/>
      <c r="E36" s="166">
        <f t="shared" si="1"/>
        <v>0</v>
      </c>
      <c r="F36" s="117" t="str">
        <f t="shared" si="3"/>
        <v>INDCOABKB</v>
      </c>
      <c r="G36" s="117" t="s">
        <v>206</v>
      </c>
      <c r="H36" s="117" t="s">
        <v>223</v>
      </c>
    </row>
    <row r="37" spans="1:8" s="117" customFormat="1" x14ac:dyDescent="0.25">
      <c r="A37" s="134"/>
      <c r="B37" s="117" t="s">
        <v>200</v>
      </c>
      <c r="C37" s="161"/>
      <c r="D37" s="161"/>
      <c r="E37" s="166">
        <f t="shared" si="1"/>
        <v>0</v>
      </c>
      <c r="F37" s="117" t="str">
        <f t="shared" si="3"/>
        <v>INDBIOLOG</v>
      </c>
      <c r="G37" s="117" t="s">
        <v>206</v>
      </c>
      <c r="H37" s="117" t="s">
        <v>204</v>
      </c>
    </row>
    <row r="38" spans="1:8" s="117" customFormat="1" x14ac:dyDescent="0.25">
      <c r="A38" s="134"/>
      <c r="B38" s="117" t="s">
        <v>229</v>
      </c>
      <c r="C38" s="167">
        <v>3</v>
      </c>
      <c r="D38" s="167">
        <v>2.9</v>
      </c>
      <c r="E38" s="166">
        <f t="shared" si="1"/>
        <v>0.10000000000000009</v>
      </c>
      <c r="F38" s="117" t="str">
        <f t="shared" si="3"/>
        <v>INDHTH</v>
      </c>
      <c r="G38" s="117" t="s">
        <v>206</v>
      </c>
      <c r="H38" s="117" t="s">
        <v>228</v>
      </c>
    </row>
    <row r="39" spans="1:8" s="117" customFormat="1" x14ac:dyDescent="0.25">
      <c r="A39" s="134"/>
      <c r="B39" s="117" t="s">
        <v>217</v>
      </c>
      <c r="C39" s="170">
        <f>C26</f>
        <v>14.7</v>
      </c>
      <c r="D39" s="170">
        <v>10</v>
      </c>
      <c r="E39" s="170">
        <f t="shared" si="1"/>
        <v>4.6999999999999993</v>
      </c>
      <c r="F39" s="117" t="str">
        <f t="shared" si="3"/>
        <v>INDELC</v>
      </c>
      <c r="G39" s="117" t="s">
        <v>206</v>
      </c>
      <c r="H39" s="117" t="s">
        <v>225</v>
      </c>
    </row>
    <row r="40" spans="1:8" s="117" customFormat="1" x14ac:dyDescent="0.25">
      <c r="A40" s="134" t="s">
        <v>326</v>
      </c>
      <c r="B40" s="117" t="s">
        <v>25</v>
      </c>
      <c r="C40" s="161"/>
      <c r="D40" s="161"/>
      <c r="E40" s="166">
        <f>E44</f>
        <v>0.10000000000000009</v>
      </c>
      <c r="F40" s="117" t="str">
        <f t="shared" si="3"/>
        <v>SUPOILDSL</v>
      </c>
      <c r="G40" s="117" t="s">
        <v>327</v>
      </c>
      <c r="H40" s="117" t="s">
        <v>202</v>
      </c>
    </row>
    <row r="41" spans="1:8" s="117" customFormat="1" x14ac:dyDescent="0.25">
      <c r="A41" s="134"/>
      <c r="B41" s="117" t="s">
        <v>197</v>
      </c>
      <c r="C41" s="161"/>
      <c r="D41" s="161"/>
      <c r="E41" s="166">
        <f>E44</f>
        <v>0.10000000000000009</v>
      </c>
      <c r="F41" s="117" t="str">
        <f t="shared" si="3"/>
        <v>SUPOILHFO</v>
      </c>
      <c r="G41" s="117" t="s">
        <v>327</v>
      </c>
      <c r="H41" s="117" t="s">
        <v>267</v>
      </c>
    </row>
    <row r="42" spans="1:8" s="117" customFormat="1" x14ac:dyDescent="0.25">
      <c r="A42" s="134"/>
      <c r="B42" s="117" t="s">
        <v>35</v>
      </c>
      <c r="C42" s="161"/>
      <c r="D42" s="161"/>
      <c r="E42" s="166">
        <f>E44</f>
        <v>0.10000000000000009</v>
      </c>
      <c r="F42" s="117" t="str">
        <f t="shared" si="3"/>
        <v>SUPOILLPG</v>
      </c>
      <c r="G42" s="117" t="s">
        <v>327</v>
      </c>
      <c r="H42" s="117" t="s">
        <v>203</v>
      </c>
    </row>
    <row r="43" spans="1:8" s="117" customFormat="1" x14ac:dyDescent="0.25">
      <c r="A43" s="134"/>
      <c r="B43" s="117" t="s">
        <v>24</v>
      </c>
      <c r="C43" s="161"/>
      <c r="D43" s="161"/>
      <c r="E43" s="166">
        <f>E44</f>
        <v>0.10000000000000009</v>
      </c>
      <c r="F43" s="117" t="str">
        <f t="shared" si="3"/>
        <v>SUPOILGSL</v>
      </c>
      <c r="G43" s="117" t="s">
        <v>327</v>
      </c>
      <c r="H43" s="117" t="s">
        <v>208</v>
      </c>
    </row>
    <row r="44" spans="1:8" s="117" customFormat="1" x14ac:dyDescent="0.25">
      <c r="A44" s="134"/>
      <c r="B44" s="117" t="s">
        <v>198</v>
      </c>
      <c r="C44" s="167">
        <v>2</v>
      </c>
      <c r="D44" s="167">
        <v>1.9</v>
      </c>
      <c r="E44" s="166">
        <f t="shared" si="1"/>
        <v>0.10000000000000009</v>
      </c>
      <c r="F44" s="117" t="str">
        <f t="shared" si="3"/>
        <v>SUPGASNAT</v>
      </c>
      <c r="G44" s="117" t="s">
        <v>327</v>
      </c>
      <c r="H44" s="117" t="s">
        <v>205</v>
      </c>
    </row>
    <row r="45" spans="1:8" s="117" customFormat="1" x14ac:dyDescent="0.25">
      <c r="A45" s="134"/>
      <c r="B45" s="117" t="s">
        <v>36</v>
      </c>
      <c r="C45" s="161"/>
      <c r="D45" s="161"/>
      <c r="E45" s="166">
        <f>E44/3</f>
        <v>3.3333333333333361E-2</v>
      </c>
      <c r="F45" s="117" t="str">
        <f t="shared" si="3"/>
        <v>SUPCOASUB</v>
      </c>
      <c r="G45" s="117" t="s">
        <v>327</v>
      </c>
      <c r="H45" s="117" t="s">
        <v>304</v>
      </c>
    </row>
    <row r="46" spans="1:8" s="117" customFormat="1" x14ac:dyDescent="0.25">
      <c r="A46" s="134"/>
      <c r="B46" s="117" t="s">
        <v>199</v>
      </c>
      <c r="C46" s="161"/>
      <c r="D46" s="161"/>
      <c r="E46" s="166">
        <f>E44/3</f>
        <v>3.3333333333333361E-2</v>
      </c>
      <c r="F46" s="117" t="str">
        <f t="shared" si="3"/>
        <v>SUPCOABCO</v>
      </c>
      <c r="G46" s="117" t="s">
        <v>327</v>
      </c>
      <c r="H46" s="117" t="s">
        <v>303</v>
      </c>
    </row>
    <row r="47" spans="1:8" s="117" customFormat="1" x14ac:dyDescent="0.25">
      <c r="A47" s="134"/>
      <c r="B47" s="117" t="s">
        <v>322</v>
      </c>
      <c r="C47" s="161"/>
      <c r="D47" s="161"/>
      <c r="E47" s="166">
        <f>E44/3</f>
        <v>3.3333333333333361E-2</v>
      </c>
      <c r="F47" s="117" t="str">
        <f t="shared" si="3"/>
        <v>SUPCOABIC</v>
      </c>
      <c r="G47" s="117" t="s">
        <v>327</v>
      </c>
      <c r="H47" s="117" t="s">
        <v>227</v>
      </c>
    </row>
    <row r="48" spans="1:8" s="117" customFormat="1" x14ac:dyDescent="0.25">
      <c r="A48" s="134"/>
      <c r="B48" s="117" t="s">
        <v>148</v>
      </c>
      <c r="C48" s="161"/>
      <c r="D48" s="161"/>
      <c r="E48" s="166">
        <f t="shared" si="1"/>
        <v>0</v>
      </c>
      <c r="F48" s="117" t="str">
        <f t="shared" si="3"/>
        <v>SUPCOABKB</v>
      </c>
      <c r="G48" s="117" t="s">
        <v>327</v>
      </c>
      <c r="H48" s="117" t="s">
        <v>223</v>
      </c>
    </row>
    <row r="49" spans="1:16" s="117" customFormat="1" x14ac:dyDescent="0.25">
      <c r="A49" s="134"/>
      <c r="B49" s="117" t="s">
        <v>200</v>
      </c>
      <c r="C49" s="161"/>
      <c r="D49" s="161"/>
      <c r="E49" s="166">
        <f t="shared" si="1"/>
        <v>0</v>
      </c>
      <c r="F49" s="117" t="str">
        <f t="shared" si="3"/>
        <v>SUPBIOLOG</v>
      </c>
      <c r="G49" s="117" t="s">
        <v>327</v>
      </c>
      <c r="H49" s="117" t="s">
        <v>204</v>
      </c>
    </row>
    <row r="50" spans="1:16" s="117" customFormat="1" x14ac:dyDescent="0.25">
      <c r="A50" s="134"/>
      <c r="B50" s="117" t="s">
        <v>229</v>
      </c>
      <c r="C50" s="167">
        <v>2</v>
      </c>
      <c r="D50" s="167">
        <v>1.9</v>
      </c>
      <c r="E50" s="166">
        <f t="shared" si="1"/>
        <v>0.10000000000000009</v>
      </c>
      <c r="F50" s="117" t="str">
        <f t="shared" si="3"/>
        <v>SUPHTH</v>
      </c>
      <c r="G50" s="117" t="s">
        <v>327</v>
      </c>
      <c r="H50" s="117" t="s">
        <v>228</v>
      </c>
    </row>
    <row r="51" spans="1:16" s="117" customFormat="1" x14ac:dyDescent="0.25">
      <c r="A51" s="134"/>
      <c r="B51" s="117" t="s">
        <v>217</v>
      </c>
      <c r="C51" s="170">
        <v>9</v>
      </c>
      <c r="D51" s="170">
        <v>8</v>
      </c>
      <c r="E51" s="170">
        <f t="shared" si="1"/>
        <v>1</v>
      </c>
      <c r="F51" s="117" t="str">
        <f t="shared" si="3"/>
        <v>SUPELC</v>
      </c>
      <c r="G51" s="117" t="s">
        <v>327</v>
      </c>
      <c r="H51" s="117" t="s">
        <v>225</v>
      </c>
    </row>
    <row r="52" spans="1:16" s="117" customFormat="1" x14ac:dyDescent="0.25">
      <c r="A52" s="134" t="s">
        <v>196</v>
      </c>
      <c r="B52" s="117" t="s">
        <v>25</v>
      </c>
      <c r="C52" s="161"/>
      <c r="D52" s="161"/>
      <c r="E52" s="166">
        <f>E54</f>
        <v>0.5</v>
      </c>
      <c r="F52" s="117" t="str">
        <f t="shared" si="2"/>
        <v>ELEOILDSL</v>
      </c>
      <c r="G52" s="117" t="s">
        <v>207</v>
      </c>
      <c r="H52" s="117" t="s">
        <v>202</v>
      </c>
    </row>
    <row r="53" spans="1:16" s="117" customFormat="1" x14ac:dyDescent="0.25">
      <c r="A53" s="134"/>
      <c r="B53" s="117" t="s">
        <v>197</v>
      </c>
      <c r="C53" s="161"/>
      <c r="D53" s="161"/>
      <c r="E53" s="166">
        <f>E54</f>
        <v>0.5</v>
      </c>
      <c r="F53" s="117" t="str">
        <f t="shared" si="2"/>
        <v>ELEOILHFO</v>
      </c>
      <c r="G53" s="117" t="s">
        <v>207</v>
      </c>
      <c r="H53" s="117" t="s">
        <v>267</v>
      </c>
    </row>
    <row r="54" spans="1:16" s="117" customFormat="1" x14ac:dyDescent="0.25">
      <c r="A54" s="134"/>
      <c r="B54" s="117" t="s">
        <v>198</v>
      </c>
      <c r="C54" s="167">
        <v>2</v>
      </c>
      <c r="D54" s="167">
        <v>1.5</v>
      </c>
      <c r="E54" s="166">
        <f t="shared" si="1"/>
        <v>0.5</v>
      </c>
      <c r="F54" s="117" t="str">
        <f t="shared" si="2"/>
        <v>ELEGASNAT</v>
      </c>
      <c r="G54" s="117" t="s">
        <v>207</v>
      </c>
      <c r="H54" s="117" t="s">
        <v>205</v>
      </c>
    </row>
    <row r="55" spans="1:16" s="117" customFormat="1" x14ac:dyDescent="0.25">
      <c r="A55" s="134"/>
      <c r="B55" s="117" t="s">
        <v>45</v>
      </c>
      <c r="C55" s="161"/>
      <c r="D55" s="161"/>
      <c r="E55" s="166">
        <f>E54/3</f>
        <v>0.16666666666666666</v>
      </c>
      <c r="F55" s="117" t="str">
        <f t="shared" si="2"/>
        <v>ELECOASUB</v>
      </c>
      <c r="G55" s="117" t="s">
        <v>207</v>
      </c>
      <c r="H55" s="117" t="s">
        <v>304</v>
      </c>
    </row>
    <row r="56" spans="1:16" s="117" customFormat="1" x14ac:dyDescent="0.25">
      <c r="A56" s="134"/>
      <c r="B56" s="117" t="s">
        <v>199</v>
      </c>
      <c r="C56" s="161"/>
      <c r="D56" s="161"/>
      <c r="E56" s="166">
        <f>E54/3</f>
        <v>0.16666666666666666</v>
      </c>
      <c r="F56" s="117" t="str">
        <f t="shared" si="2"/>
        <v>ELECOABCO</v>
      </c>
      <c r="G56" s="117" t="s">
        <v>207</v>
      </c>
      <c r="H56" s="117" t="s">
        <v>303</v>
      </c>
    </row>
    <row r="57" spans="1:16" s="117" customFormat="1" x14ac:dyDescent="0.25">
      <c r="A57" s="134"/>
      <c r="B57" s="117" t="s">
        <v>200</v>
      </c>
      <c r="C57" s="172"/>
      <c r="D57" s="172"/>
      <c r="E57" s="170">
        <f>E54/3</f>
        <v>0.16666666666666666</v>
      </c>
      <c r="F57" s="117" t="str">
        <f t="shared" si="2"/>
        <v>ELEBIOLOG</v>
      </c>
      <c r="G57" s="117" t="s">
        <v>207</v>
      </c>
      <c r="H57" s="117" t="s">
        <v>204</v>
      </c>
    </row>
    <row r="58" spans="1:16" s="117" customFormat="1" x14ac:dyDescent="0.25">
      <c r="A58" s="134" t="s">
        <v>124</v>
      </c>
      <c r="B58" s="117" t="s">
        <v>211</v>
      </c>
      <c r="C58" s="167">
        <v>12</v>
      </c>
      <c r="D58" s="167">
        <v>10</v>
      </c>
      <c r="E58" s="166">
        <f t="shared" si="1"/>
        <v>2</v>
      </c>
      <c r="F58" s="117" t="str">
        <f t="shared" si="2"/>
        <v>TRAOILDSL</v>
      </c>
      <c r="G58" s="117" t="s">
        <v>210</v>
      </c>
      <c r="H58" s="117" t="s">
        <v>202</v>
      </c>
      <c r="I58" s="117" t="s">
        <v>357</v>
      </c>
    </row>
    <row r="59" spans="1:16" s="117" customFormat="1" x14ac:dyDescent="0.25">
      <c r="A59" s="134"/>
      <c r="B59" s="117" t="s">
        <v>212</v>
      </c>
      <c r="C59" s="161"/>
      <c r="D59" s="167"/>
      <c r="E59" s="166">
        <f>E58</f>
        <v>2</v>
      </c>
      <c r="F59" s="117" t="str">
        <f t="shared" si="2"/>
        <v>TRAOILDSL</v>
      </c>
      <c r="G59" s="117" t="s">
        <v>210</v>
      </c>
      <c r="H59" s="117" t="s">
        <v>202</v>
      </c>
      <c r="I59" s="117" t="s">
        <v>358</v>
      </c>
    </row>
    <row r="60" spans="1:16" s="117" customFormat="1" x14ac:dyDescent="0.25">
      <c r="A60" s="134"/>
      <c r="B60" s="117" t="s">
        <v>213</v>
      </c>
      <c r="C60" s="161"/>
      <c r="D60" s="167"/>
      <c r="E60" s="166">
        <f>E59</f>
        <v>2</v>
      </c>
      <c r="F60" s="117" t="str">
        <f t="shared" si="2"/>
        <v>TRAOILDSL</v>
      </c>
      <c r="G60" s="117" t="s">
        <v>210</v>
      </c>
      <c r="H60" s="117" t="s">
        <v>202</v>
      </c>
      <c r="J60" s="117" t="s">
        <v>360</v>
      </c>
      <c r="K60" s="117">
        <v>2017</v>
      </c>
      <c r="L60" s="117">
        <v>2020</v>
      </c>
      <c r="M60" s="117">
        <v>2020</v>
      </c>
      <c r="N60" s="117">
        <v>2020</v>
      </c>
      <c r="O60" s="117">
        <v>2020</v>
      </c>
      <c r="P60" s="117">
        <v>2020</v>
      </c>
    </row>
    <row r="61" spans="1:16" s="117" customFormat="1" x14ac:dyDescent="0.25">
      <c r="A61" s="134"/>
      <c r="B61" s="117" t="s">
        <v>214</v>
      </c>
      <c r="C61" s="167">
        <v>17</v>
      </c>
      <c r="D61" s="167">
        <v>8</v>
      </c>
      <c r="E61" s="166">
        <f t="shared" si="1"/>
        <v>9</v>
      </c>
      <c r="F61" s="117" t="str">
        <f t="shared" si="2"/>
        <v>TRAOILGSL</v>
      </c>
      <c r="G61" s="117" t="s">
        <v>210</v>
      </c>
      <c r="H61" s="117" t="s">
        <v>208</v>
      </c>
      <c r="I61" s="117" t="s">
        <v>359</v>
      </c>
      <c r="J61" s="117" t="s">
        <v>361</v>
      </c>
      <c r="K61" s="117" t="s">
        <v>362</v>
      </c>
      <c r="L61" s="117" t="s">
        <v>362</v>
      </c>
      <c r="M61" s="117" t="s">
        <v>363</v>
      </c>
      <c r="N61" s="117" t="s">
        <v>370</v>
      </c>
      <c r="O61" s="117" t="s">
        <v>377</v>
      </c>
      <c r="P61" s="117" t="s">
        <v>384</v>
      </c>
    </row>
    <row r="62" spans="1:16" s="117" customFormat="1" x14ac:dyDescent="0.25">
      <c r="A62" s="134"/>
      <c r="B62" s="117" t="s">
        <v>215</v>
      </c>
      <c r="C62" s="167">
        <f>C61</f>
        <v>17</v>
      </c>
      <c r="D62" s="167">
        <v>8</v>
      </c>
      <c r="E62" s="166">
        <f t="shared" si="1"/>
        <v>9</v>
      </c>
      <c r="F62" s="117" t="str">
        <f t="shared" si="2"/>
        <v>TRAOILLPG</v>
      </c>
      <c r="G62" s="117" t="s">
        <v>210</v>
      </c>
      <c r="H62" s="117" t="s">
        <v>203</v>
      </c>
      <c r="I62" s="117" t="s">
        <v>307</v>
      </c>
      <c r="J62" s="117" t="s">
        <v>248</v>
      </c>
      <c r="K62" s="142"/>
      <c r="L62" s="142"/>
      <c r="M62" s="142">
        <v>21.112591052702498</v>
      </c>
      <c r="N62" s="142">
        <v>29.115489540401899</v>
      </c>
      <c r="O62" s="142">
        <v>21.112591052702498</v>
      </c>
      <c r="P62" s="142">
        <v>21.112591052702498</v>
      </c>
    </row>
    <row r="63" spans="1:16" s="117" customFormat="1" x14ac:dyDescent="0.25">
      <c r="A63" s="134"/>
      <c r="B63" s="117" t="s">
        <v>216</v>
      </c>
      <c r="C63" s="167">
        <v>11</v>
      </c>
      <c r="D63" s="167">
        <v>10</v>
      </c>
      <c r="E63" s="166">
        <f t="shared" si="1"/>
        <v>1</v>
      </c>
      <c r="F63" s="117" t="str">
        <f t="shared" si="2"/>
        <v>TRAGASNAT</v>
      </c>
      <c r="G63" s="117" t="s">
        <v>210</v>
      </c>
      <c r="H63" s="117" t="s">
        <v>205</v>
      </c>
      <c r="I63" s="117" t="s">
        <v>307</v>
      </c>
      <c r="J63" s="117" t="s">
        <v>399</v>
      </c>
      <c r="K63" s="142">
        <v>11.037843658686199</v>
      </c>
      <c r="L63" s="142">
        <v>12.636161082756599</v>
      </c>
      <c r="M63" s="142"/>
      <c r="N63" s="142"/>
      <c r="O63" s="142"/>
      <c r="P63" s="142"/>
    </row>
    <row r="64" spans="1:16" s="117" customFormat="1" x14ac:dyDescent="0.25">
      <c r="A64" s="134"/>
      <c r="B64" s="117" t="s">
        <v>38</v>
      </c>
      <c r="C64" s="161"/>
      <c r="D64" s="161"/>
      <c r="E64" s="166">
        <f>E62/3</f>
        <v>3</v>
      </c>
      <c r="F64" s="117" t="str">
        <f t="shared" si="2"/>
        <v>TRAOILKER</v>
      </c>
      <c r="G64" s="117" t="s">
        <v>210</v>
      </c>
      <c r="H64" s="117" t="s">
        <v>209</v>
      </c>
      <c r="I64" s="117" t="s">
        <v>307</v>
      </c>
      <c r="J64" s="117" t="s">
        <v>400</v>
      </c>
      <c r="K64" s="142">
        <v>8.31292970800218</v>
      </c>
      <c r="L64" s="142">
        <v>9.5660155591964298</v>
      </c>
      <c r="M64" s="142"/>
      <c r="N64" s="142"/>
      <c r="O64" s="142"/>
      <c r="P64" s="142"/>
    </row>
    <row r="65" spans="1:8" s="117" customFormat="1" x14ac:dyDescent="0.25">
      <c r="A65" s="134"/>
      <c r="B65" s="117" t="s">
        <v>90</v>
      </c>
      <c r="C65" s="161"/>
      <c r="D65" s="161"/>
      <c r="E65" s="166">
        <f>E62/3</f>
        <v>3</v>
      </c>
      <c r="F65" s="117" t="str">
        <f t="shared" si="2"/>
        <v>TRABIOE*</v>
      </c>
      <c r="G65" s="117" t="s">
        <v>210</v>
      </c>
      <c r="H65" s="117" t="s">
        <v>239</v>
      </c>
    </row>
    <row r="66" spans="1:8" s="117" customFormat="1" x14ac:dyDescent="0.25">
      <c r="A66" s="134"/>
      <c r="B66" s="117" t="s">
        <v>91</v>
      </c>
      <c r="C66" s="161"/>
      <c r="D66" s="161"/>
      <c r="E66" s="166">
        <f>E65</f>
        <v>3</v>
      </c>
      <c r="F66" s="117" t="str">
        <f t="shared" si="2"/>
        <v>TRABIODSL*</v>
      </c>
      <c r="G66" s="117" t="s">
        <v>210</v>
      </c>
      <c r="H66" s="117" t="s">
        <v>240</v>
      </c>
    </row>
    <row r="67" spans="1:8" s="117" customFormat="1" x14ac:dyDescent="0.25">
      <c r="A67" s="134"/>
      <c r="B67" s="117" t="s">
        <v>230</v>
      </c>
      <c r="C67" s="167">
        <f>C26</f>
        <v>14.7</v>
      </c>
      <c r="D67" s="161">
        <v>5</v>
      </c>
      <c r="E67" s="166">
        <f t="shared" si="1"/>
        <v>9.6999999999999993</v>
      </c>
      <c r="F67" s="117" t="str">
        <f t="shared" si="2"/>
        <v>TRAELC</v>
      </c>
      <c r="G67" s="117" t="s">
        <v>210</v>
      </c>
      <c r="H67" s="117" t="s">
        <v>225</v>
      </c>
    </row>
    <row r="68" spans="1:8" s="117" customFormat="1" x14ac:dyDescent="0.25">
      <c r="A68" s="134"/>
      <c r="B68" s="117" t="s">
        <v>231</v>
      </c>
      <c r="C68" s="172"/>
      <c r="D68" s="172"/>
      <c r="E68" s="170">
        <f>E51</f>
        <v>1</v>
      </c>
      <c r="F68" s="117" t="str">
        <f t="shared" si="2"/>
        <v>TRAELC</v>
      </c>
      <c r="G68" s="117" t="s">
        <v>210</v>
      </c>
      <c r="H68" s="117" t="s">
        <v>225</v>
      </c>
    </row>
    <row r="69" spans="1:8" s="117" customFormat="1" x14ac:dyDescent="0.25">
      <c r="A69" s="134" t="s">
        <v>237</v>
      </c>
      <c r="B69" s="117" t="s">
        <v>217</v>
      </c>
      <c r="C69" s="167">
        <f>C26</f>
        <v>14.7</v>
      </c>
      <c r="D69" s="167">
        <v>10</v>
      </c>
      <c r="E69" s="166">
        <f t="shared" si="1"/>
        <v>4.6999999999999993</v>
      </c>
      <c r="F69" s="117" t="str">
        <f t="shared" si="2"/>
        <v>AGRELC</v>
      </c>
      <c r="G69" s="117" t="s">
        <v>238</v>
      </c>
      <c r="H69" s="117" t="s">
        <v>225</v>
      </c>
    </row>
    <row r="70" spans="1:8" s="117" customFormat="1" x14ac:dyDescent="0.25">
      <c r="A70" s="134"/>
      <c r="B70" s="117" t="s">
        <v>25</v>
      </c>
      <c r="C70" s="161"/>
      <c r="D70" s="161"/>
      <c r="E70" s="166">
        <f>E58</f>
        <v>2</v>
      </c>
      <c r="F70" s="117" t="str">
        <f t="shared" si="2"/>
        <v>AGROILDSL</v>
      </c>
      <c r="G70" s="117" t="s">
        <v>238</v>
      </c>
      <c r="H70" s="117" t="s">
        <v>202</v>
      </c>
    </row>
    <row r="71" spans="1:8" s="117" customFormat="1" x14ac:dyDescent="0.25">
      <c r="A71" s="134"/>
      <c r="B71" s="117" t="s">
        <v>198</v>
      </c>
      <c r="C71" s="167">
        <v>3.5</v>
      </c>
      <c r="D71" s="167">
        <v>2.8</v>
      </c>
      <c r="E71" s="166">
        <f t="shared" ref="E71" si="4">(C71-D71)</f>
        <v>0.70000000000000018</v>
      </c>
      <c r="F71" s="117" t="str">
        <f t="shared" si="2"/>
        <v>AGRGASNAT</v>
      </c>
      <c r="G71" s="117" t="s">
        <v>238</v>
      </c>
      <c r="H71" s="117" t="s">
        <v>205</v>
      </c>
    </row>
    <row r="72" spans="1:8" s="117" customFormat="1" x14ac:dyDescent="0.25">
      <c r="A72" s="134"/>
      <c r="B72" s="117" t="s">
        <v>322</v>
      </c>
      <c r="C72" s="161"/>
      <c r="D72" s="161"/>
      <c r="E72" s="166">
        <f>E71/3</f>
        <v>0.23333333333333339</v>
      </c>
      <c r="F72" s="117" t="str">
        <f t="shared" si="2"/>
        <v>AGRCOABIC</v>
      </c>
      <c r="G72" s="117" t="s">
        <v>238</v>
      </c>
      <c r="H72" s="117" t="s">
        <v>227</v>
      </c>
    </row>
    <row r="73" spans="1:8" s="117" customFormat="1" x14ac:dyDescent="0.25">
      <c r="C73" s="142"/>
    </row>
    <row r="74" spans="1:8" x14ac:dyDescent="0.25">
      <c r="C74" s="127"/>
    </row>
    <row r="75" spans="1:8" x14ac:dyDescent="0.25">
      <c r="C75" s="127"/>
    </row>
    <row r="76" spans="1:8" x14ac:dyDescent="0.25">
      <c r="C76" s="127"/>
    </row>
    <row r="77" spans="1:8" x14ac:dyDescent="0.25">
      <c r="C77" s="127"/>
    </row>
    <row r="78" spans="1:8" x14ac:dyDescent="0.25">
      <c r="C78" s="127"/>
    </row>
    <row r="79" spans="1:8" x14ac:dyDescent="0.25">
      <c r="C79" s="127"/>
    </row>
    <row r="80" spans="1:8" x14ac:dyDescent="0.25">
      <c r="C80" s="127"/>
    </row>
    <row r="81" spans="3:3" x14ac:dyDescent="0.25">
      <c r="C81" s="127"/>
    </row>
    <row r="82" spans="3:3" x14ac:dyDescent="0.25">
      <c r="C82" s="127"/>
    </row>
    <row r="83" spans="3:3" x14ac:dyDescent="0.25">
      <c r="C83" s="127"/>
    </row>
    <row r="84" spans="3:3" x14ac:dyDescent="0.25">
      <c r="C84" s="127"/>
    </row>
    <row r="85" spans="3:3" x14ac:dyDescent="0.25">
      <c r="C85" s="127"/>
    </row>
    <row r="86" spans="3:3" x14ac:dyDescent="0.25">
      <c r="C86" s="127"/>
    </row>
    <row r="87" spans="3:3" x14ac:dyDescent="0.25">
      <c r="C87" s="12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87BE-CB4F-4264-ABEF-0978B80DD8F5}">
  <dimension ref="A1:AN87"/>
  <sheetViews>
    <sheetView zoomScale="85" zoomScaleNormal="85" workbookViewId="0">
      <selection sqref="A1:XFD1048576"/>
    </sheetView>
  </sheetViews>
  <sheetFormatPr defaultColWidth="9.109375" defaultRowHeight="13.2" x14ac:dyDescent="0.25"/>
  <cols>
    <col min="1" max="1" width="28.5546875" style="109" bestFit="1" customWidth="1"/>
    <col min="2" max="2" width="18.6640625" style="109" customWidth="1"/>
    <col min="3" max="3" width="19.44140625" style="109" bestFit="1" customWidth="1"/>
    <col min="4" max="4" width="14.6640625" style="109" customWidth="1"/>
    <col min="5" max="5" width="13" style="109" customWidth="1"/>
    <col min="6" max="6" width="27.109375" style="109" bestFit="1" customWidth="1"/>
    <col min="7" max="7" width="9.109375" style="109"/>
    <col min="8" max="8" width="26.44140625" style="109" customWidth="1"/>
    <col min="9" max="16384" width="9.109375" style="109"/>
  </cols>
  <sheetData>
    <row r="1" spans="1:40" ht="17.399999999999999" x14ac:dyDescent="0.3">
      <c r="A1" s="111" t="s">
        <v>279</v>
      </c>
      <c r="B1" s="111"/>
      <c r="C1" s="111"/>
      <c r="I1" s="116"/>
    </row>
    <row r="3" spans="1:40" s="117" customFormat="1" x14ac:dyDescent="0.25">
      <c r="A3" s="134"/>
      <c r="B3" s="134"/>
      <c r="C3" s="134" t="s">
        <v>51</v>
      </c>
      <c r="D3" s="134"/>
      <c r="E3" s="134"/>
      <c r="F3" s="134"/>
      <c r="G3" s="134"/>
      <c r="H3" s="134"/>
      <c r="I3" s="117" t="s">
        <v>357</v>
      </c>
    </row>
    <row r="4" spans="1:40" s="117" customFormat="1" x14ac:dyDescent="0.25">
      <c r="A4" s="164" t="s">
        <v>104</v>
      </c>
      <c r="B4" s="164" t="s">
        <v>191</v>
      </c>
      <c r="C4" s="164" t="s">
        <v>192</v>
      </c>
      <c r="D4" s="164" t="s">
        <v>314</v>
      </c>
      <c r="E4" s="164" t="s">
        <v>354</v>
      </c>
      <c r="F4" s="164" t="s">
        <v>219</v>
      </c>
      <c r="G4" s="164"/>
      <c r="H4" s="164"/>
      <c r="I4" s="117" t="s">
        <v>358</v>
      </c>
    </row>
    <row r="5" spans="1:40" s="117" customFormat="1" x14ac:dyDescent="0.25">
      <c r="A5" s="134" t="s">
        <v>194</v>
      </c>
      <c r="B5" s="117" t="s">
        <v>25</v>
      </c>
      <c r="C5" s="161"/>
      <c r="D5" s="165"/>
      <c r="E5" s="166"/>
      <c r="F5" s="117" t="str">
        <f>G5&amp;H5</f>
        <v>RSDOILDSL</v>
      </c>
      <c r="G5" s="117" t="s">
        <v>201</v>
      </c>
      <c r="H5" s="117" t="s">
        <v>202</v>
      </c>
      <c r="I5" s="117" t="s">
        <v>359</v>
      </c>
      <c r="J5" s="117" t="s">
        <v>360</v>
      </c>
      <c r="K5" s="117" t="s">
        <v>361</v>
      </c>
      <c r="L5" s="117" t="s">
        <v>362</v>
      </c>
      <c r="M5" s="117" t="s">
        <v>363</v>
      </c>
      <c r="N5" s="117" t="s">
        <v>364</v>
      </c>
      <c r="O5" s="117" t="s">
        <v>365</v>
      </c>
      <c r="P5" s="117" t="s">
        <v>366</v>
      </c>
      <c r="Q5" s="117" t="s">
        <v>367</v>
      </c>
      <c r="R5" s="117" t="s">
        <v>368</v>
      </c>
      <c r="S5" s="117" t="s">
        <v>369</v>
      </c>
      <c r="T5" s="117" t="s">
        <v>370</v>
      </c>
      <c r="U5" s="117" t="s">
        <v>371</v>
      </c>
      <c r="V5" s="117" t="s">
        <v>372</v>
      </c>
      <c r="W5" s="117" t="s">
        <v>373</v>
      </c>
      <c r="X5" s="117" t="s">
        <v>374</v>
      </c>
      <c r="Y5" s="117" t="s">
        <v>375</v>
      </c>
      <c r="Z5" s="117" t="s">
        <v>376</v>
      </c>
      <c r="AA5" s="117" t="s">
        <v>377</v>
      </c>
      <c r="AB5" s="117" t="s">
        <v>378</v>
      </c>
      <c r="AC5" s="117" t="s">
        <v>379</v>
      </c>
      <c r="AD5" s="117" t="s">
        <v>380</v>
      </c>
      <c r="AE5" s="117" t="s">
        <v>381</v>
      </c>
      <c r="AF5" s="117" t="s">
        <v>382</v>
      </c>
      <c r="AG5" s="117" t="s">
        <v>383</v>
      </c>
      <c r="AH5" s="117" t="s">
        <v>384</v>
      </c>
      <c r="AI5" s="117" t="s">
        <v>385</v>
      </c>
      <c r="AJ5" s="117" t="s">
        <v>386</v>
      </c>
      <c r="AK5" s="117" t="s">
        <v>387</v>
      </c>
      <c r="AL5" s="117" t="s">
        <v>388</v>
      </c>
      <c r="AM5" s="117" t="s">
        <v>389</v>
      </c>
      <c r="AN5" s="117" t="s">
        <v>390</v>
      </c>
    </row>
    <row r="6" spans="1:40" s="117" customFormat="1" x14ac:dyDescent="0.25">
      <c r="A6" s="134"/>
      <c r="B6" s="117" t="s">
        <v>35</v>
      </c>
      <c r="C6" s="161"/>
      <c r="D6" s="165"/>
      <c r="E6" s="166"/>
      <c r="F6" s="117" t="str">
        <f t="shared" ref="F6:F14" si="0">G6&amp;H6</f>
        <v>RSDOILLPG</v>
      </c>
      <c r="G6" s="117" t="s">
        <v>201</v>
      </c>
      <c r="H6" s="117" t="s">
        <v>203</v>
      </c>
      <c r="I6" s="117" t="s">
        <v>309</v>
      </c>
      <c r="J6" s="117" t="s">
        <v>391</v>
      </c>
      <c r="K6" s="117" t="s">
        <v>392</v>
      </c>
      <c r="L6" s="142">
        <v>1.91690878816416</v>
      </c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</row>
    <row r="7" spans="1:40" s="117" customFormat="1" x14ac:dyDescent="0.25">
      <c r="A7" s="134"/>
      <c r="B7" s="117" t="s">
        <v>198</v>
      </c>
      <c r="C7" s="167">
        <f>1*1.1</f>
        <v>1.1000000000000001</v>
      </c>
      <c r="D7" s="167">
        <v>4</v>
      </c>
      <c r="E7" s="168">
        <f t="shared" ref="E7:E69" si="1">(C7-D7)</f>
        <v>-2.9</v>
      </c>
      <c r="F7" s="117" t="str">
        <f t="shared" si="0"/>
        <v>RSDGASNAT</v>
      </c>
      <c r="G7" s="117" t="s">
        <v>201</v>
      </c>
      <c r="H7" s="117" t="s">
        <v>205</v>
      </c>
      <c r="I7" s="117" t="s">
        <v>309</v>
      </c>
      <c r="J7" s="117" t="s">
        <v>391</v>
      </c>
      <c r="K7" s="117" t="s">
        <v>393</v>
      </c>
      <c r="L7" s="142"/>
      <c r="M7" s="142"/>
      <c r="N7" s="142">
        <v>22.058258852863499</v>
      </c>
      <c r="O7" s="142">
        <v>22.058258852863499</v>
      </c>
      <c r="P7" s="142">
        <v>22.058258852863499</v>
      </c>
      <c r="Q7" s="142">
        <v>22.058258852863499</v>
      </c>
      <c r="R7" s="142">
        <v>22.058258852863499</v>
      </c>
      <c r="S7" s="142">
        <v>22.058258852863499</v>
      </c>
      <c r="T7" s="142"/>
      <c r="U7" s="142">
        <v>22.058258852863499</v>
      </c>
      <c r="V7" s="142">
        <v>22.058258852863499</v>
      </c>
      <c r="W7" s="142">
        <v>22.058258852863499</v>
      </c>
      <c r="X7" s="142">
        <v>22.058258852863499</v>
      </c>
      <c r="Y7" s="142">
        <v>22.058258852863499</v>
      </c>
      <c r="Z7" s="142">
        <v>22.058258852863499</v>
      </c>
      <c r="AA7" s="142"/>
      <c r="AB7" s="142">
        <v>22.058258852863499</v>
      </c>
      <c r="AC7" s="142">
        <v>22.058258852863499</v>
      </c>
      <c r="AD7" s="142">
        <v>22.058258852863499</v>
      </c>
      <c r="AE7" s="142">
        <v>22.058258852863499</v>
      </c>
      <c r="AF7" s="142">
        <v>22.058258852863499</v>
      </c>
      <c r="AG7" s="142">
        <v>22.058257067338001</v>
      </c>
      <c r="AH7" s="142"/>
      <c r="AI7" s="142">
        <v>22.058258852863499</v>
      </c>
      <c r="AJ7" s="142">
        <v>22.058258852863499</v>
      </c>
      <c r="AK7" s="142">
        <v>22.058258852863499</v>
      </c>
      <c r="AL7" s="142">
        <v>22.058258852863499</v>
      </c>
      <c r="AM7" s="142">
        <v>22.058258852863499</v>
      </c>
      <c r="AN7" s="142">
        <v>22.058258852863499</v>
      </c>
    </row>
    <row r="8" spans="1:40" s="117" customFormat="1" x14ac:dyDescent="0.25">
      <c r="A8" s="134"/>
      <c r="B8" s="117" t="s">
        <v>45</v>
      </c>
      <c r="C8" s="161"/>
      <c r="D8" s="161"/>
      <c r="E8" s="166"/>
      <c r="F8" s="117" t="str">
        <f t="shared" si="0"/>
        <v>RSDCOABIC</v>
      </c>
      <c r="G8" s="117" t="s">
        <v>201</v>
      </c>
      <c r="H8" s="117" t="s">
        <v>227</v>
      </c>
      <c r="I8" s="117" t="s">
        <v>309</v>
      </c>
      <c r="J8" s="117" t="s">
        <v>391</v>
      </c>
      <c r="K8" s="117" t="s">
        <v>394</v>
      </c>
      <c r="L8" s="142"/>
      <c r="M8" s="142">
        <v>4.19616320135267</v>
      </c>
      <c r="N8" s="142"/>
      <c r="O8" s="142"/>
      <c r="P8" s="142"/>
      <c r="Q8" s="142"/>
      <c r="R8" s="142"/>
      <c r="S8" s="142"/>
      <c r="T8" s="142">
        <v>4.19616320135267</v>
      </c>
      <c r="U8" s="142"/>
      <c r="V8" s="142"/>
      <c r="W8" s="142"/>
      <c r="X8" s="142"/>
      <c r="Y8" s="142"/>
      <c r="Z8" s="142"/>
      <c r="AA8" s="142">
        <v>4.1961632000743796</v>
      </c>
      <c r="AB8" s="142"/>
      <c r="AC8" s="142"/>
      <c r="AD8" s="142"/>
      <c r="AE8" s="142"/>
      <c r="AF8" s="142"/>
      <c r="AG8" s="142"/>
      <c r="AH8" s="142">
        <v>4.19616320135267</v>
      </c>
      <c r="AI8" s="142"/>
      <c r="AJ8" s="142"/>
      <c r="AK8" s="142"/>
      <c r="AL8" s="142"/>
      <c r="AM8" s="142"/>
      <c r="AN8" s="142"/>
    </row>
    <row r="9" spans="1:40" s="117" customFormat="1" x14ac:dyDescent="0.25">
      <c r="A9" s="134"/>
      <c r="B9" s="117" t="s">
        <v>199</v>
      </c>
      <c r="C9" s="161"/>
      <c r="D9" s="161"/>
      <c r="E9" s="166"/>
      <c r="F9" s="117" t="str">
        <f t="shared" si="0"/>
        <v>RSDCOABCO</v>
      </c>
      <c r="G9" s="117" t="s">
        <v>201</v>
      </c>
      <c r="H9" s="117" t="s">
        <v>303</v>
      </c>
      <c r="I9" s="117" t="s">
        <v>309</v>
      </c>
      <c r="J9" s="117" t="s">
        <v>391</v>
      </c>
      <c r="K9" s="117" t="s">
        <v>395</v>
      </c>
      <c r="L9" s="142"/>
      <c r="M9" s="142"/>
      <c r="N9" s="142">
        <v>6.5723078604748899</v>
      </c>
      <c r="O9" s="142">
        <v>6.5723078604748899</v>
      </c>
      <c r="P9" s="142">
        <v>6.5723078604748899</v>
      </c>
      <c r="Q9" s="142">
        <v>6.5723078604748899</v>
      </c>
      <c r="R9" s="142">
        <v>6.5723078604748899</v>
      </c>
      <c r="S9" s="142">
        <v>6.5723078604748899</v>
      </c>
      <c r="T9" s="142"/>
      <c r="U9" s="142">
        <v>6.5723078604748899</v>
      </c>
      <c r="V9" s="142">
        <v>6.5723078604748899</v>
      </c>
      <c r="W9" s="142">
        <v>6.5723078604748899</v>
      </c>
      <c r="X9" s="142">
        <v>6.5723078604748899</v>
      </c>
      <c r="Y9" s="142">
        <v>6.5723078604748899</v>
      </c>
      <c r="Z9" s="142">
        <v>6.5723078604748899</v>
      </c>
      <c r="AA9" s="142"/>
      <c r="AB9" s="142">
        <v>6.5723078604748899</v>
      </c>
      <c r="AC9" s="142">
        <v>6.5723078604748899</v>
      </c>
      <c r="AD9" s="142">
        <v>6.5723078604748899</v>
      </c>
      <c r="AE9" s="142">
        <v>6.5723078604748899</v>
      </c>
      <c r="AF9" s="142">
        <v>6.5723078604748899</v>
      </c>
      <c r="AG9" s="142">
        <v>6.5723078604748899</v>
      </c>
      <c r="AH9" s="142"/>
      <c r="AI9" s="142">
        <v>6.5723078604748899</v>
      </c>
      <c r="AJ9" s="142">
        <v>6.5723078604748899</v>
      </c>
      <c r="AK9" s="142">
        <v>6.5723078604748899</v>
      </c>
      <c r="AL9" s="142">
        <v>16.434941304921502</v>
      </c>
      <c r="AM9" s="142">
        <v>6.5723078604748899</v>
      </c>
      <c r="AN9" s="142">
        <v>6.5723078604748899</v>
      </c>
    </row>
    <row r="10" spans="1:40" s="117" customFormat="1" x14ac:dyDescent="0.25">
      <c r="A10" s="134"/>
      <c r="B10" s="117" t="s">
        <v>319</v>
      </c>
      <c r="C10" s="161"/>
      <c r="D10" s="161"/>
      <c r="E10" s="166"/>
      <c r="F10" s="117" t="str">
        <f t="shared" si="0"/>
        <v>RSDBIOCHR</v>
      </c>
      <c r="G10" s="117" t="s">
        <v>201</v>
      </c>
      <c r="H10" s="117" t="s">
        <v>226</v>
      </c>
      <c r="I10" s="117" t="s">
        <v>309</v>
      </c>
      <c r="J10" s="117" t="s">
        <v>391</v>
      </c>
      <c r="K10" s="117" t="s">
        <v>396</v>
      </c>
      <c r="L10" s="142">
        <v>17.5586977562938</v>
      </c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</row>
    <row r="11" spans="1:40" s="117" customFormat="1" x14ac:dyDescent="0.25">
      <c r="A11" s="134"/>
      <c r="B11" s="117" t="s">
        <v>200</v>
      </c>
      <c r="C11" s="161"/>
      <c r="D11" s="161"/>
      <c r="E11" s="166"/>
      <c r="F11" s="117" t="str">
        <f t="shared" si="0"/>
        <v>RSDBIOLOG</v>
      </c>
      <c r="G11" s="117" t="s">
        <v>201</v>
      </c>
      <c r="H11" s="117" t="s">
        <v>204</v>
      </c>
      <c r="I11" s="117" t="s">
        <v>309</v>
      </c>
      <c r="J11" s="117" t="s">
        <v>397</v>
      </c>
      <c r="K11" s="117" t="s">
        <v>392</v>
      </c>
      <c r="L11" s="142">
        <v>0.55713347955734205</v>
      </c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</row>
    <row r="12" spans="1:40" s="117" customFormat="1" x14ac:dyDescent="0.25">
      <c r="A12" s="134"/>
      <c r="B12" s="117" t="s">
        <v>235</v>
      </c>
      <c r="C12" s="161"/>
      <c r="D12" s="161"/>
      <c r="E12" s="166"/>
      <c r="F12" s="117" t="str">
        <f t="shared" si="0"/>
        <v>RSDBIOPLT</v>
      </c>
      <c r="G12" s="117" t="s">
        <v>201</v>
      </c>
      <c r="H12" s="117" t="s">
        <v>236</v>
      </c>
      <c r="I12" s="117" t="s">
        <v>309</v>
      </c>
      <c r="J12" s="117" t="s">
        <v>397</v>
      </c>
      <c r="K12" s="117" t="s">
        <v>393</v>
      </c>
      <c r="L12" s="142"/>
      <c r="M12" s="142"/>
      <c r="N12" s="142">
        <v>23.732195035593801</v>
      </c>
      <c r="O12" s="142">
        <v>23.732195035593801</v>
      </c>
      <c r="P12" s="142">
        <v>23.732195035593801</v>
      </c>
      <c r="Q12" s="142">
        <v>23.732195035593801</v>
      </c>
      <c r="R12" s="142">
        <v>23.732195035593801</v>
      </c>
      <c r="S12" s="142">
        <v>23.732195035593801</v>
      </c>
      <c r="T12" s="142"/>
      <c r="U12" s="142">
        <v>23.732195035593801</v>
      </c>
      <c r="V12" s="142">
        <v>23.732195035593801</v>
      </c>
      <c r="W12" s="142">
        <v>23.732195035593801</v>
      </c>
      <c r="X12" s="142">
        <v>23.732195035593801</v>
      </c>
      <c r="Y12" s="142">
        <v>23.732195035593801</v>
      </c>
      <c r="Z12" s="142">
        <v>23.732195035593801</v>
      </c>
      <c r="AA12" s="142"/>
      <c r="AB12" s="142">
        <v>23.732195035593801</v>
      </c>
      <c r="AC12" s="142">
        <v>23.732195035593801</v>
      </c>
      <c r="AD12" s="142">
        <v>23.732195035593801</v>
      </c>
      <c r="AE12" s="142">
        <v>23.732195035593801</v>
      </c>
      <c r="AF12" s="142">
        <v>23.732195035593801</v>
      </c>
      <c r="AG12" s="142">
        <v>23.7321893419895</v>
      </c>
      <c r="AH12" s="142"/>
      <c r="AI12" s="142">
        <v>23.732195035593801</v>
      </c>
      <c r="AJ12" s="142">
        <v>23.732195035593801</v>
      </c>
      <c r="AK12" s="142">
        <v>23.732195035593801</v>
      </c>
      <c r="AL12" s="142">
        <v>23.732195035593801</v>
      </c>
      <c r="AM12" s="142">
        <v>23.732195035593801</v>
      </c>
      <c r="AN12" s="142">
        <v>23.732195035593801</v>
      </c>
    </row>
    <row r="13" spans="1:40" s="117" customFormat="1" x14ac:dyDescent="0.25">
      <c r="A13" s="134"/>
      <c r="B13" s="117" t="s">
        <v>229</v>
      </c>
      <c r="C13" s="167">
        <v>2.4</v>
      </c>
      <c r="D13" s="167">
        <v>4.5</v>
      </c>
      <c r="E13" s="168">
        <f t="shared" si="1"/>
        <v>-2.1</v>
      </c>
      <c r="F13" s="117" t="str">
        <f t="shared" si="0"/>
        <v>RSDLTH</v>
      </c>
      <c r="G13" s="117" t="s">
        <v>201</v>
      </c>
      <c r="H13" s="117" t="s">
        <v>224</v>
      </c>
      <c r="I13" s="117" t="s">
        <v>309</v>
      </c>
      <c r="J13" s="117" t="s">
        <v>397</v>
      </c>
      <c r="K13" s="117" t="s">
        <v>394</v>
      </c>
      <c r="L13" s="142"/>
      <c r="M13" s="142">
        <v>4.49564240144122</v>
      </c>
      <c r="N13" s="142"/>
      <c r="O13" s="142"/>
      <c r="P13" s="142"/>
      <c r="Q13" s="142"/>
      <c r="R13" s="142"/>
      <c r="S13" s="142"/>
      <c r="T13" s="142">
        <v>4.49564240144122</v>
      </c>
      <c r="U13" s="142"/>
      <c r="V13" s="142"/>
      <c r="W13" s="142"/>
      <c r="X13" s="142"/>
      <c r="Y13" s="142"/>
      <c r="Z13" s="142"/>
      <c r="AA13" s="142">
        <v>4.49564239945758</v>
      </c>
      <c r="AB13" s="142"/>
      <c r="AC13" s="142"/>
      <c r="AD13" s="142"/>
      <c r="AE13" s="142"/>
      <c r="AF13" s="142"/>
      <c r="AG13" s="142"/>
      <c r="AH13" s="142">
        <v>4.49564240144122</v>
      </c>
      <c r="AI13" s="142"/>
      <c r="AJ13" s="142"/>
      <c r="AK13" s="142"/>
      <c r="AL13" s="142"/>
      <c r="AM13" s="142"/>
      <c r="AN13" s="142"/>
    </row>
    <row r="14" spans="1:40" s="117" customFormat="1" x14ac:dyDescent="0.25">
      <c r="A14" s="134"/>
      <c r="B14" s="117" t="s">
        <v>217</v>
      </c>
      <c r="C14" s="170">
        <v>8</v>
      </c>
      <c r="D14" s="170">
        <v>21</v>
      </c>
      <c r="E14" s="171">
        <f t="shared" si="1"/>
        <v>-13</v>
      </c>
      <c r="F14" s="117" t="str">
        <f t="shared" si="0"/>
        <v>RSDELC</v>
      </c>
      <c r="G14" s="117" t="s">
        <v>201</v>
      </c>
      <c r="H14" s="117" t="s">
        <v>225</v>
      </c>
      <c r="I14" s="117" t="s">
        <v>309</v>
      </c>
      <c r="J14" s="117" t="s">
        <v>397</v>
      </c>
      <c r="K14" s="117" t="s">
        <v>395</v>
      </c>
      <c r="L14" s="142"/>
      <c r="M14" s="142"/>
      <c r="N14" s="142">
        <v>7.0712572213497698</v>
      </c>
      <c r="O14" s="142">
        <v>7.0712572213497698</v>
      </c>
      <c r="P14" s="142">
        <v>7.0712572213497698</v>
      </c>
      <c r="Q14" s="142">
        <v>7.0712572213497698</v>
      </c>
      <c r="R14" s="142">
        <v>7.0712572213497698</v>
      </c>
      <c r="S14" s="142">
        <v>7.0712572213497698</v>
      </c>
      <c r="T14" s="142"/>
      <c r="U14" s="142">
        <v>7.0712572213497698</v>
      </c>
      <c r="V14" s="142">
        <v>7.0712572213497698</v>
      </c>
      <c r="W14" s="142">
        <v>7.0712572213497698</v>
      </c>
      <c r="X14" s="142">
        <v>7.0712572213497698</v>
      </c>
      <c r="Y14" s="142">
        <v>7.0712572213497698</v>
      </c>
      <c r="Z14" s="142">
        <v>7.0712572213497698</v>
      </c>
      <c r="AA14" s="142"/>
      <c r="AB14" s="142">
        <v>7.0712572213497698</v>
      </c>
      <c r="AC14" s="142">
        <v>7.0712572213497698</v>
      </c>
      <c r="AD14" s="142">
        <v>7.0712572213497698</v>
      </c>
      <c r="AE14" s="142">
        <v>7.0712572213497698</v>
      </c>
      <c r="AF14" s="142">
        <v>7.0712572213497698</v>
      </c>
      <c r="AG14" s="142">
        <v>7.0712572213497698</v>
      </c>
      <c r="AH14" s="142"/>
      <c r="AI14" s="142">
        <v>7.0712572213497698</v>
      </c>
      <c r="AJ14" s="142">
        <v>7.0712572213497698</v>
      </c>
      <c r="AK14" s="142">
        <v>7.0712572213497698</v>
      </c>
      <c r="AL14" s="142">
        <v>7.0712572213497698</v>
      </c>
      <c r="AM14" s="142">
        <v>7.0712572213497698</v>
      </c>
      <c r="AN14" s="142">
        <v>7.0712572213497698</v>
      </c>
    </row>
    <row r="15" spans="1:40" s="117" customFormat="1" x14ac:dyDescent="0.25">
      <c r="A15" s="134" t="s">
        <v>195</v>
      </c>
      <c r="B15" s="117" t="s">
        <v>25</v>
      </c>
      <c r="C15" s="161"/>
      <c r="D15" s="161"/>
      <c r="E15" s="166"/>
      <c r="F15" s="117" t="str">
        <f>G15&amp;H15</f>
        <v>TEROILDSL</v>
      </c>
      <c r="G15" s="117" t="s">
        <v>315</v>
      </c>
      <c r="H15" s="117" t="s">
        <v>202</v>
      </c>
      <c r="I15" s="117" t="s">
        <v>309</v>
      </c>
      <c r="J15" s="117" t="s">
        <v>397</v>
      </c>
      <c r="K15" s="117" t="s">
        <v>396</v>
      </c>
      <c r="L15" s="142">
        <v>10.8174864869464</v>
      </c>
    </row>
    <row r="16" spans="1:40" s="117" customFormat="1" x14ac:dyDescent="0.25">
      <c r="A16" s="134"/>
      <c r="B16" s="117" t="s">
        <v>71</v>
      </c>
      <c r="C16" s="161"/>
      <c r="D16" s="161"/>
      <c r="E16" s="166"/>
      <c r="F16" s="117" t="str">
        <f>G16&amp;H16</f>
        <v>TEROILHFO</v>
      </c>
      <c r="G16" s="117" t="s">
        <v>315</v>
      </c>
      <c r="H16" s="117" t="s">
        <v>267</v>
      </c>
    </row>
    <row r="17" spans="1:8" s="117" customFormat="1" x14ac:dyDescent="0.25">
      <c r="A17" s="134"/>
      <c r="B17" s="117" t="s">
        <v>35</v>
      </c>
      <c r="C17" s="161"/>
      <c r="D17" s="161"/>
      <c r="E17" s="166"/>
      <c r="F17" s="117" t="str">
        <f t="shared" ref="F17:F72" si="2">G17&amp;H17</f>
        <v>TEROILLPG</v>
      </c>
      <c r="G17" s="117" t="s">
        <v>315</v>
      </c>
      <c r="H17" s="117" t="s">
        <v>203</v>
      </c>
    </row>
    <row r="18" spans="1:8" s="117" customFormat="1" x14ac:dyDescent="0.25">
      <c r="A18" s="134"/>
      <c r="B18" s="117" t="s">
        <v>198</v>
      </c>
      <c r="C18" s="167">
        <f>1*1.1</f>
        <v>1.1000000000000001</v>
      </c>
      <c r="D18" s="167">
        <f>C18</f>
        <v>1.1000000000000001</v>
      </c>
      <c r="E18" s="166">
        <f t="shared" si="1"/>
        <v>0</v>
      </c>
      <c r="F18" s="117" t="str">
        <f t="shared" si="2"/>
        <v>TERGASNAT</v>
      </c>
      <c r="G18" s="117" t="s">
        <v>315</v>
      </c>
      <c r="H18" s="117" t="s">
        <v>205</v>
      </c>
    </row>
    <row r="19" spans="1:8" s="117" customFormat="1" x14ac:dyDescent="0.25">
      <c r="A19" s="134"/>
      <c r="B19" s="117" t="s">
        <v>45</v>
      </c>
      <c r="C19" s="161"/>
      <c r="D19" s="161"/>
      <c r="E19" s="166"/>
      <c r="F19" s="117" t="str">
        <f t="shared" si="2"/>
        <v>TERCOABIC</v>
      </c>
      <c r="G19" s="117" t="s">
        <v>315</v>
      </c>
      <c r="H19" s="117" t="s">
        <v>227</v>
      </c>
    </row>
    <row r="20" spans="1:8" s="117" customFormat="1" x14ac:dyDescent="0.25">
      <c r="A20" s="134"/>
      <c r="B20" s="117" t="s">
        <v>199</v>
      </c>
      <c r="C20" s="161"/>
      <c r="D20" s="161"/>
      <c r="E20" s="166"/>
      <c r="F20" s="117" t="str">
        <f t="shared" si="2"/>
        <v>TERCOABCO</v>
      </c>
      <c r="G20" s="117" t="s">
        <v>315</v>
      </c>
      <c r="H20" s="117" t="s">
        <v>303</v>
      </c>
    </row>
    <row r="21" spans="1:8" s="117" customFormat="1" x14ac:dyDescent="0.25">
      <c r="A21" s="134"/>
      <c r="B21" s="117" t="s">
        <v>319</v>
      </c>
      <c r="C21" s="161"/>
      <c r="D21" s="161"/>
      <c r="E21" s="166"/>
      <c r="F21" s="117" t="str">
        <f t="shared" si="2"/>
        <v>TERBIOCHR</v>
      </c>
      <c r="G21" s="117" t="s">
        <v>315</v>
      </c>
      <c r="H21" s="117" t="s">
        <v>226</v>
      </c>
    </row>
    <row r="22" spans="1:8" s="117" customFormat="1" x14ac:dyDescent="0.25">
      <c r="A22" s="134"/>
      <c r="B22" s="117" t="s">
        <v>200</v>
      </c>
      <c r="C22" s="161"/>
      <c r="D22" s="161"/>
      <c r="E22" s="166"/>
      <c r="F22" s="117" t="str">
        <f t="shared" si="2"/>
        <v>TERBIOLOG</v>
      </c>
      <c r="G22" s="117" t="s">
        <v>315</v>
      </c>
      <c r="H22" s="117" t="s">
        <v>204</v>
      </c>
    </row>
    <row r="23" spans="1:8" s="117" customFormat="1" x14ac:dyDescent="0.25">
      <c r="A23" s="134"/>
      <c r="B23" s="117" t="s">
        <v>235</v>
      </c>
      <c r="C23" s="161"/>
      <c r="D23" s="161"/>
      <c r="E23" s="166"/>
      <c r="F23" s="117" t="str">
        <f t="shared" si="2"/>
        <v>TERBIOPLT</v>
      </c>
      <c r="G23" s="117" t="s">
        <v>315</v>
      </c>
      <c r="H23" s="117" t="s">
        <v>236</v>
      </c>
    </row>
    <row r="24" spans="1:8" s="117" customFormat="1" x14ac:dyDescent="0.25">
      <c r="A24" s="134"/>
      <c r="C24" s="161"/>
      <c r="D24" s="161"/>
      <c r="E24" s="166"/>
    </row>
    <row r="25" spans="1:8" s="117" customFormat="1" x14ac:dyDescent="0.25">
      <c r="A25" s="134"/>
      <c r="B25" s="117" t="s">
        <v>229</v>
      </c>
      <c r="C25" s="167">
        <f>C13</f>
        <v>2.4</v>
      </c>
      <c r="D25" s="167">
        <f>C25</f>
        <v>2.4</v>
      </c>
      <c r="E25" s="166">
        <f t="shared" si="1"/>
        <v>0</v>
      </c>
      <c r="F25" s="117" t="str">
        <f t="shared" si="2"/>
        <v>TERLTH</v>
      </c>
      <c r="G25" s="117" t="s">
        <v>315</v>
      </c>
      <c r="H25" s="117" t="s">
        <v>224</v>
      </c>
    </row>
    <row r="26" spans="1:8" s="117" customFormat="1" x14ac:dyDescent="0.25">
      <c r="A26" s="134"/>
      <c r="B26" s="117" t="s">
        <v>217</v>
      </c>
      <c r="C26" s="170">
        <v>12</v>
      </c>
      <c r="D26" s="170">
        <f>C26</f>
        <v>12</v>
      </c>
      <c r="E26" s="170">
        <f t="shared" si="1"/>
        <v>0</v>
      </c>
      <c r="F26" s="117" t="str">
        <f t="shared" si="2"/>
        <v>TERELC</v>
      </c>
      <c r="G26" s="117" t="s">
        <v>315</v>
      </c>
      <c r="H26" s="117" t="s">
        <v>225</v>
      </c>
    </row>
    <row r="27" spans="1:8" s="117" customFormat="1" x14ac:dyDescent="0.25">
      <c r="A27" s="134" t="s">
        <v>218</v>
      </c>
      <c r="B27" s="117" t="s">
        <v>25</v>
      </c>
      <c r="C27" s="161"/>
      <c r="D27" s="161"/>
      <c r="E27" s="166"/>
      <c r="F27" s="117" t="str">
        <f t="shared" si="2"/>
        <v>INDOILDSL</v>
      </c>
      <c r="G27" s="117" t="s">
        <v>206</v>
      </c>
      <c r="H27" s="117" t="s">
        <v>202</v>
      </c>
    </row>
    <row r="28" spans="1:8" s="117" customFormat="1" x14ac:dyDescent="0.25">
      <c r="A28" s="134"/>
      <c r="B28" s="117" t="s">
        <v>197</v>
      </c>
      <c r="C28" s="161"/>
      <c r="D28" s="161"/>
      <c r="E28" s="166"/>
      <c r="F28" s="117" t="str">
        <f t="shared" si="2"/>
        <v>INDOILHFO</v>
      </c>
      <c r="G28" s="117" t="s">
        <v>206</v>
      </c>
      <c r="H28" s="117" t="s">
        <v>267</v>
      </c>
    </row>
    <row r="29" spans="1:8" s="117" customFormat="1" x14ac:dyDescent="0.25">
      <c r="A29" s="134"/>
      <c r="B29" s="117" t="s">
        <v>35</v>
      </c>
      <c r="C29" s="161"/>
      <c r="D29" s="161"/>
      <c r="E29" s="166"/>
      <c r="F29" s="117" t="str">
        <f>G29&amp;H29</f>
        <v>INDOILLPG</v>
      </c>
      <c r="G29" s="117" t="s">
        <v>206</v>
      </c>
      <c r="H29" s="117" t="s">
        <v>203</v>
      </c>
    </row>
    <row r="30" spans="1:8" s="117" customFormat="1" x14ac:dyDescent="0.25">
      <c r="A30" s="134"/>
      <c r="B30" s="117" t="s">
        <v>24</v>
      </c>
      <c r="C30" s="161"/>
      <c r="D30" s="161"/>
      <c r="E30" s="166"/>
      <c r="F30" s="117" t="str">
        <f t="shared" ref="F30:F51" si="3">G30&amp;H30</f>
        <v>INDOILGSL</v>
      </c>
      <c r="G30" s="117" t="s">
        <v>206</v>
      </c>
      <c r="H30" s="117" t="s">
        <v>208</v>
      </c>
    </row>
    <row r="31" spans="1:8" s="117" customFormat="1" x14ac:dyDescent="0.25">
      <c r="A31" s="134"/>
      <c r="B31" s="117" t="s">
        <v>198</v>
      </c>
      <c r="C31" s="167">
        <f>1*1.1</f>
        <v>1.1000000000000001</v>
      </c>
      <c r="D31" s="167">
        <f>C31</f>
        <v>1.1000000000000001</v>
      </c>
      <c r="E31" s="166">
        <f t="shared" si="1"/>
        <v>0</v>
      </c>
      <c r="F31" s="117" t="str">
        <f t="shared" si="3"/>
        <v>INDGASNAT</v>
      </c>
      <c r="G31" s="117" t="s">
        <v>206</v>
      </c>
      <c r="H31" s="117" t="s">
        <v>205</v>
      </c>
    </row>
    <row r="32" spans="1:8" s="117" customFormat="1" x14ac:dyDescent="0.25">
      <c r="A32" s="134"/>
      <c r="B32" s="117" t="s">
        <v>36</v>
      </c>
      <c r="C32" s="161"/>
      <c r="D32" s="161"/>
      <c r="E32" s="166"/>
      <c r="F32" s="117" t="str">
        <f t="shared" si="3"/>
        <v>INDCOASUB</v>
      </c>
      <c r="G32" s="117" t="s">
        <v>206</v>
      </c>
      <c r="H32" s="117" t="s">
        <v>304</v>
      </c>
    </row>
    <row r="33" spans="1:8" s="117" customFormat="1" x14ac:dyDescent="0.25">
      <c r="A33" s="134"/>
      <c r="B33" s="117" t="s">
        <v>199</v>
      </c>
      <c r="C33" s="161"/>
      <c r="D33" s="161"/>
      <c r="E33" s="166"/>
      <c r="F33" s="117" t="str">
        <f t="shared" si="3"/>
        <v>INDCOABCO</v>
      </c>
      <c r="G33" s="117" t="s">
        <v>206</v>
      </c>
      <c r="H33" s="117" t="s">
        <v>303</v>
      </c>
    </row>
    <row r="34" spans="1:8" s="117" customFormat="1" x14ac:dyDescent="0.25">
      <c r="A34" s="134"/>
      <c r="B34" s="117" t="s">
        <v>322</v>
      </c>
      <c r="C34" s="161"/>
      <c r="D34" s="161"/>
      <c r="E34" s="166"/>
      <c r="F34" s="117" t="str">
        <f t="shared" si="3"/>
        <v>INDCOABIC</v>
      </c>
      <c r="G34" s="117" t="s">
        <v>206</v>
      </c>
      <c r="H34" s="117" t="s">
        <v>227</v>
      </c>
    </row>
    <row r="35" spans="1:8" s="117" customFormat="1" x14ac:dyDescent="0.25">
      <c r="A35" s="134"/>
      <c r="B35" s="117" t="s">
        <v>88</v>
      </c>
      <c r="C35" s="161"/>
      <c r="D35" s="161"/>
      <c r="E35" s="166"/>
      <c r="F35" s="117" t="str">
        <f t="shared" si="3"/>
        <v>INDCOACOK</v>
      </c>
      <c r="G35" s="117" t="s">
        <v>206</v>
      </c>
      <c r="H35" s="117" t="s">
        <v>305</v>
      </c>
    </row>
    <row r="36" spans="1:8" s="117" customFormat="1" x14ac:dyDescent="0.25">
      <c r="A36" s="134"/>
      <c r="B36" s="117" t="s">
        <v>148</v>
      </c>
      <c r="C36" s="161"/>
      <c r="D36" s="161"/>
      <c r="E36" s="166"/>
      <c r="F36" s="117" t="str">
        <f t="shared" si="3"/>
        <v>INDCOABKB</v>
      </c>
      <c r="G36" s="117" t="s">
        <v>206</v>
      </c>
      <c r="H36" s="117" t="s">
        <v>223</v>
      </c>
    </row>
    <row r="37" spans="1:8" s="117" customFormat="1" x14ac:dyDescent="0.25">
      <c r="A37" s="134"/>
      <c r="B37" s="117" t="s">
        <v>200</v>
      </c>
      <c r="C37" s="161"/>
      <c r="D37" s="161"/>
      <c r="E37" s="166"/>
      <c r="F37" s="117" t="str">
        <f t="shared" si="3"/>
        <v>INDBIOLOG</v>
      </c>
      <c r="G37" s="117" t="s">
        <v>206</v>
      </c>
      <c r="H37" s="117" t="s">
        <v>204</v>
      </c>
    </row>
    <row r="38" spans="1:8" s="117" customFormat="1" x14ac:dyDescent="0.25">
      <c r="A38" s="134"/>
      <c r="B38" s="117" t="s">
        <v>229</v>
      </c>
      <c r="C38" s="167">
        <v>2</v>
      </c>
      <c r="D38" s="167">
        <f>C38</f>
        <v>2</v>
      </c>
      <c r="E38" s="166">
        <f t="shared" si="1"/>
        <v>0</v>
      </c>
      <c r="F38" s="117" t="str">
        <f t="shared" si="3"/>
        <v>INDHTH</v>
      </c>
      <c r="G38" s="117" t="s">
        <v>206</v>
      </c>
      <c r="H38" s="117" t="s">
        <v>228</v>
      </c>
    </row>
    <row r="39" spans="1:8" s="117" customFormat="1" x14ac:dyDescent="0.25">
      <c r="A39" s="134"/>
      <c r="B39" s="117" t="s">
        <v>217</v>
      </c>
      <c r="C39" s="170">
        <f>C26</f>
        <v>12</v>
      </c>
      <c r="D39" s="170">
        <f>C39</f>
        <v>12</v>
      </c>
      <c r="E39" s="170">
        <f t="shared" si="1"/>
        <v>0</v>
      </c>
      <c r="F39" s="117" t="str">
        <f t="shared" si="3"/>
        <v>INDELC</v>
      </c>
      <c r="G39" s="117" t="s">
        <v>206</v>
      </c>
      <c r="H39" s="117" t="s">
        <v>225</v>
      </c>
    </row>
    <row r="40" spans="1:8" s="117" customFormat="1" x14ac:dyDescent="0.25">
      <c r="A40" s="134" t="s">
        <v>326</v>
      </c>
      <c r="B40" s="117" t="s">
        <v>25</v>
      </c>
      <c r="C40" s="161"/>
      <c r="D40" s="161"/>
      <c r="E40" s="166"/>
      <c r="F40" s="117" t="str">
        <f t="shared" si="3"/>
        <v>SUPOILDSL</v>
      </c>
      <c r="G40" s="117" t="s">
        <v>327</v>
      </c>
      <c r="H40" s="117" t="s">
        <v>202</v>
      </c>
    </row>
    <row r="41" spans="1:8" s="117" customFormat="1" x14ac:dyDescent="0.25">
      <c r="A41" s="134"/>
      <c r="B41" s="117" t="s">
        <v>197</v>
      </c>
      <c r="C41" s="161"/>
      <c r="D41" s="161"/>
      <c r="E41" s="166"/>
      <c r="F41" s="117" t="str">
        <f t="shared" si="3"/>
        <v>SUPOILHFO</v>
      </c>
      <c r="G41" s="117" t="s">
        <v>327</v>
      </c>
      <c r="H41" s="117" t="s">
        <v>267</v>
      </c>
    </row>
    <row r="42" spans="1:8" s="117" customFormat="1" x14ac:dyDescent="0.25">
      <c r="A42" s="134"/>
      <c r="B42" s="117" t="s">
        <v>35</v>
      </c>
      <c r="C42" s="161"/>
      <c r="D42" s="161"/>
      <c r="E42" s="166"/>
      <c r="F42" s="117" t="str">
        <f t="shared" si="3"/>
        <v>SUPOILLPG</v>
      </c>
      <c r="G42" s="117" t="s">
        <v>327</v>
      </c>
      <c r="H42" s="117" t="s">
        <v>203</v>
      </c>
    </row>
    <row r="43" spans="1:8" s="117" customFormat="1" x14ac:dyDescent="0.25">
      <c r="A43" s="134"/>
      <c r="B43" s="117" t="s">
        <v>24</v>
      </c>
      <c r="C43" s="161"/>
      <c r="D43" s="161"/>
      <c r="E43" s="166"/>
      <c r="F43" s="117" t="str">
        <f t="shared" si="3"/>
        <v>SUPOILGSL</v>
      </c>
      <c r="G43" s="117" t="s">
        <v>327</v>
      </c>
      <c r="H43" s="117" t="s">
        <v>208</v>
      </c>
    </row>
    <row r="44" spans="1:8" s="117" customFormat="1" x14ac:dyDescent="0.25">
      <c r="A44" s="134"/>
      <c r="B44" s="117" t="s">
        <v>198</v>
      </c>
      <c r="C44" s="167">
        <f>1*1.1</f>
        <v>1.1000000000000001</v>
      </c>
      <c r="D44" s="167">
        <f>C44</f>
        <v>1.1000000000000001</v>
      </c>
      <c r="E44" s="166">
        <f t="shared" si="1"/>
        <v>0</v>
      </c>
      <c r="F44" s="117" t="str">
        <f t="shared" si="3"/>
        <v>SUPGASNAT</v>
      </c>
      <c r="G44" s="117" t="s">
        <v>327</v>
      </c>
      <c r="H44" s="117" t="s">
        <v>205</v>
      </c>
    </row>
    <row r="45" spans="1:8" s="117" customFormat="1" x14ac:dyDescent="0.25">
      <c r="A45" s="134"/>
      <c r="B45" s="117" t="s">
        <v>36</v>
      </c>
      <c r="C45" s="161"/>
      <c r="D45" s="161"/>
      <c r="E45" s="166"/>
      <c r="F45" s="117" t="str">
        <f t="shared" si="3"/>
        <v>SUPCOASUB</v>
      </c>
      <c r="G45" s="117" t="s">
        <v>327</v>
      </c>
      <c r="H45" s="117" t="s">
        <v>304</v>
      </c>
    </row>
    <row r="46" spans="1:8" s="117" customFormat="1" x14ac:dyDescent="0.25">
      <c r="A46" s="134"/>
      <c r="B46" s="117" t="s">
        <v>199</v>
      </c>
      <c r="C46" s="161"/>
      <c r="D46" s="161"/>
      <c r="E46" s="166"/>
      <c r="F46" s="117" t="str">
        <f t="shared" si="3"/>
        <v>SUPCOABCO</v>
      </c>
      <c r="G46" s="117" t="s">
        <v>327</v>
      </c>
      <c r="H46" s="117" t="s">
        <v>303</v>
      </c>
    </row>
    <row r="47" spans="1:8" s="117" customFormat="1" x14ac:dyDescent="0.25">
      <c r="A47" s="134"/>
      <c r="B47" s="117" t="s">
        <v>322</v>
      </c>
      <c r="C47" s="161"/>
      <c r="D47" s="161"/>
      <c r="E47" s="166"/>
      <c r="F47" s="117" t="str">
        <f t="shared" si="3"/>
        <v>SUPCOABIC</v>
      </c>
      <c r="G47" s="117" t="s">
        <v>327</v>
      </c>
      <c r="H47" s="117" t="s">
        <v>227</v>
      </c>
    </row>
    <row r="48" spans="1:8" s="117" customFormat="1" x14ac:dyDescent="0.25">
      <c r="A48" s="134"/>
      <c r="B48" s="117" t="s">
        <v>148</v>
      </c>
      <c r="C48" s="161"/>
      <c r="D48" s="161"/>
      <c r="E48" s="166"/>
      <c r="F48" s="117" t="str">
        <f t="shared" si="3"/>
        <v>SUPCOABKB</v>
      </c>
      <c r="G48" s="117" t="s">
        <v>327</v>
      </c>
      <c r="H48" s="117" t="s">
        <v>223</v>
      </c>
    </row>
    <row r="49" spans="1:20" s="117" customFormat="1" x14ac:dyDescent="0.25">
      <c r="A49" s="134"/>
      <c r="B49" s="117" t="s">
        <v>200</v>
      </c>
      <c r="C49" s="161"/>
      <c r="D49" s="161"/>
      <c r="E49" s="166"/>
      <c r="F49" s="117" t="str">
        <f t="shared" si="3"/>
        <v>SUPBIOLOG</v>
      </c>
      <c r="G49" s="117" t="s">
        <v>327</v>
      </c>
      <c r="H49" s="117" t="s">
        <v>204</v>
      </c>
    </row>
    <row r="50" spans="1:20" s="117" customFormat="1" x14ac:dyDescent="0.25">
      <c r="A50" s="134"/>
      <c r="B50" s="117" t="s">
        <v>229</v>
      </c>
      <c r="C50" s="167">
        <v>2</v>
      </c>
      <c r="D50" s="167">
        <f>C50</f>
        <v>2</v>
      </c>
      <c r="E50" s="166">
        <f t="shared" si="1"/>
        <v>0</v>
      </c>
      <c r="F50" s="117" t="str">
        <f t="shared" si="3"/>
        <v>SUPHTH</v>
      </c>
      <c r="G50" s="117" t="s">
        <v>327</v>
      </c>
      <c r="H50" s="117" t="s">
        <v>228</v>
      </c>
    </row>
    <row r="51" spans="1:20" s="117" customFormat="1" x14ac:dyDescent="0.25">
      <c r="A51" s="134"/>
      <c r="B51" s="117" t="s">
        <v>217</v>
      </c>
      <c r="C51" s="170">
        <v>7</v>
      </c>
      <c r="D51" s="170">
        <f>C51</f>
        <v>7</v>
      </c>
      <c r="E51" s="170">
        <f t="shared" si="1"/>
        <v>0</v>
      </c>
      <c r="F51" s="117" t="str">
        <f t="shared" si="3"/>
        <v>SUPELC</v>
      </c>
      <c r="G51" s="117" t="s">
        <v>327</v>
      </c>
      <c r="H51" s="117" t="s">
        <v>225</v>
      </c>
    </row>
    <row r="52" spans="1:20" s="117" customFormat="1" x14ac:dyDescent="0.25">
      <c r="A52" s="134" t="s">
        <v>196</v>
      </c>
      <c r="B52" s="117" t="s">
        <v>25</v>
      </c>
      <c r="C52" s="161"/>
      <c r="D52" s="161"/>
      <c r="E52" s="166">
        <f>E54</f>
        <v>0.10000000000000009</v>
      </c>
      <c r="F52" s="117" t="str">
        <f t="shared" si="2"/>
        <v>ELEOILDSL</v>
      </c>
      <c r="G52" s="117" t="s">
        <v>207</v>
      </c>
      <c r="H52" s="117" t="s">
        <v>202</v>
      </c>
    </row>
    <row r="53" spans="1:20" s="117" customFormat="1" x14ac:dyDescent="0.25">
      <c r="A53" s="134"/>
      <c r="B53" s="117" t="s">
        <v>197</v>
      </c>
      <c r="C53" s="161"/>
      <c r="D53" s="161"/>
      <c r="E53" s="166">
        <f>E54</f>
        <v>0.10000000000000009</v>
      </c>
      <c r="F53" s="117" t="str">
        <f t="shared" si="2"/>
        <v>ELEOILHFO</v>
      </c>
      <c r="G53" s="117" t="s">
        <v>207</v>
      </c>
      <c r="H53" s="117" t="s">
        <v>267</v>
      </c>
    </row>
    <row r="54" spans="1:20" s="117" customFormat="1" x14ac:dyDescent="0.25">
      <c r="A54" s="134"/>
      <c r="B54" s="117" t="s">
        <v>198</v>
      </c>
      <c r="C54" s="167">
        <f>1*1.1</f>
        <v>1.1000000000000001</v>
      </c>
      <c r="D54" s="167">
        <v>1</v>
      </c>
      <c r="E54" s="166">
        <f t="shared" si="1"/>
        <v>0.10000000000000009</v>
      </c>
      <c r="F54" s="117" t="str">
        <f t="shared" si="2"/>
        <v>ELEGASNAT</v>
      </c>
      <c r="G54" s="117" t="s">
        <v>207</v>
      </c>
      <c r="H54" s="117" t="s">
        <v>205</v>
      </c>
    </row>
    <row r="55" spans="1:20" s="117" customFormat="1" x14ac:dyDescent="0.25">
      <c r="A55" s="134"/>
      <c r="B55" s="117" t="s">
        <v>45</v>
      </c>
      <c r="C55" s="161"/>
      <c r="D55" s="161"/>
      <c r="E55" s="166">
        <f>E54/3</f>
        <v>3.3333333333333361E-2</v>
      </c>
      <c r="F55" s="117" t="str">
        <f t="shared" si="2"/>
        <v>ELECOASUB</v>
      </c>
      <c r="G55" s="117" t="s">
        <v>207</v>
      </c>
      <c r="H55" s="117" t="s">
        <v>304</v>
      </c>
    </row>
    <row r="56" spans="1:20" s="117" customFormat="1" x14ac:dyDescent="0.25">
      <c r="A56" s="134"/>
      <c r="B56" s="117" t="s">
        <v>199</v>
      </c>
      <c r="C56" s="161"/>
      <c r="D56" s="161"/>
      <c r="E56" s="166">
        <f>E54/3</f>
        <v>3.3333333333333361E-2</v>
      </c>
      <c r="F56" s="117" t="str">
        <f t="shared" si="2"/>
        <v>ELECOABCO</v>
      </c>
      <c r="G56" s="117" t="s">
        <v>207</v>
      </c>
      <c r="H56" s="117" t="s">
        <v>303</v>
      </c>
    </row>
    <row r="57" spans="1:20" s="117" customFormat="1" x14ac:dyDescent="0.25">
      <c r="A57" s="134"/>
      <c r="B57" s="117" t="s">
        <v>200</v>
      </c>
      <c r="C57" s="172"/>
      <c r="D57" s="172"/>
      <c r="E57" s="170">
        <f>E54/3</f>
        <v>3.3333333333333361E-2</v>
      </c>
      <c r="F57" s="117" t="str">
        <f t="shared" si="2"/>
        <v>ELEBIOLOG</v>
      </c>
      <c r="G57" s="117" t="s">
        <v>207</v>
      </c>
      <c r="H57" s="117" t="s">
        <v>204</v>
      </c>
    </row>
    <row r="58" spans="1:20" s="117" customFormat="1" x14ac:dyDescent="0.25">
      <c r="A58" s="134" t="s">
        <v>124</v>
      </c>
      <c r="B58" s="117" t="s">
        <v>211</v>
      </c>
      <c r="C58" s="167">
        <v>16.3</v>
      </c>
      <c r="D58" s="167">
        <v>15</v>
      </c>
      <c r="E58" s="166">
        <f t="shared" si="1"/>
        <v>1.3000000000000007</v>
      </c>
      <c r="F58" s="117" t="str">
        <f t="shared" si="2"/>
        <v>TRAOILDSL</v>
      </c>
      <c r="G58" s="117" t="s">
        <v>210</v>
      </c>
      <c r="H58" s="117" t="s">
        <v>202</v>
      </c>
      <c r="I58" s="117" t="s">
        <v>357</v>
      </c>
    </row>
    <row r="59" spans="1:20" s="117" customFormat="1" x14ac:dyDescent="0.25">
      <c r="A59" s="134"/>
      <c r="B59" s="117" t="s">
        <v>212</v>
      </c>
      <c r="C59" s="161"/>
      <c r="D59" s="167"/>
      <c r="E59" s="166">
        <f>E58</f>
        <v>1.3000000000000007</v>
      </c>
      <c r="F59" s="117" t="str">
        <f t="shared" si="2"/>
        <v>TRAOILDSL</v>
      </c>
      <c r="G59" s="117" t="s">
        <v>210</v>
      </c>
      <c r="H59" s="117" t="s">
        <v>202</v>
      </c>
      <c r="I59" s="117" t="s">
        <v>358</v>
      </c>
    </row>
    <row r="60" spans="1:20" s="117" customFormat="1" x14ac:dyDescent="0.25">
      <c r="A60" s="134"/>
      <c r="B60" s="117" t="s">
        <v>213</v>
      </c>
      <c r="C60" s="161"/>
      <c r="D60" s="167"/>
      <c r="E60" s="166">
        <f>E59</f>
        <v>1.3000000000000007</v>
      </c>
      <c r="F60" s="117" t="str">
        <f t="shared" si="2"/>
        <v>TRAOILDSL</v>
      </c>
      <c r="G60" s="117" t="s">
        <v>210</v>
      </c>
      <c r="H60" s="117" t="s">
        <v>202</v>
      </c>
      <c r="J60" s="117" t="s">
        <v>360</v>
      </c>
      <c r="K60" s="117">
        <v>2017</v>
      </c>
      <c r="L60" s="117">
        <v>2017</v>
      </c>
      <c r="M60" s="117">
        <v>2017</v>
      </c>
      <c r="N60" s="117">
        <v>2017</v>
      </c>
      <c r="O60" s="117">
        <v>2017</v>
      </c>
      <c r="P60" s="117">
        <v>2020</v>
      </c>
      <c r="Q60" s="117">
        <v>2020</v>
      </c>
      <c r="R60" s="117">
        <v>2020</v>
      </c>
      <c r="S60" s="117">
        <v>2020</v>
      </c>
      <c r="T60" s="117">
        <v>2020</v>
      </c>
    </row>
    <row r="61" spans="1:20" s="117" customFormat="1" x14ac:dyDescent="0.25">
      <c r="A61" s="134"/>
      <c r="B61" s="117" t="s">
        <v>214</v>
      </c>
      <c r="C61" s="167">
        <v>19.600000000000001</v>
      </c>
      <c r="D61" s="167">
        <v>3</v>
      </c>
      <c r="E61" s="166">
        <f t="shared" si="1"/>
        <v>16.600000000000001</v>
      </c>
      <c r="F61" s="117" t="str">
        <f t="shared" si="2"/>
        <v>TRAOILGSL</v>
      </c>
      <c r="G61" s="117" t="s">
        <v>210</v>
      </c>
      <c r="H61" s="117" t="s">
        <v>208</v>
      </c>
      <c r="I61" s="117" t="s">
        <v>359</v>
      </c>
      <c r="J61" s="117" t="s">
        <v>361</v>
      </c>
      <c r="K61" s="117" t="s">
        <v>362</v>
      </c>
      <c r="L61" s="117" t="s">
        <v>363</v>
      </c>
      <c r="M61" s="117" t="s">
        <v>370</v>
      </c>
      <c r="N61" s="117" t="s">
        <v>377</v>
      </c>
      <c r="O61" s="117" t="s">
        <v>384</v>
      </c>
      <c r="P61" s="117" t="s">
        <v>362</v>
      </c>
      <c r="Q61" s="117" t="s">
        <v>363</v>
      </c>
      <c r="R61" s="117" t="s">
        <v>370</v>
      </c>
      <c r="S61" s="117" t="s">
        <v>377</v>
      </c>
      <c r="T61" s="117" t="s">
        <v>384</v>
      </c>
    </row>
    <row r="62" spans="1:20" s="117" customFormat="1" x14ac:dyDescent="0.25">
      <c r="A62" s="134"/>
      <c r="B62" s="117" t="s">
        <v>215</v>
      </c>
      <c r="C62" s="167">
        <f>C61</f>
        <v>19.600000000000001</v>
      </c>
      <c r="D62" s="167">
        <v>3</v>
      </c>
      <c r="E62" s="166">
        <f t="shared" si="1"/>
        <v>16.600000000000001</v>
      </c>
      <c r="F62" s="117" t="str">
        <f t="shared" si="2"/>
        <v>TRAOILLPG</v>
      </c>
      <c r="G62" s="117" t="s">
        <v>210</v>
      </c>
      <c r="H62" s="117" t="s">
        <v>203</v>
      </c>
      <c r="I62" s="117" t="s">
        <v>309</v>
      </c>
      <c r="J62" s="117" t="s">
        <v>248</v>
      </c>
      <c r="K62" s="142"/>
      <c r="L62" s="142">
        <v>24.586163201352701</v>
      </c>
      <c r="M62" s="142">
        <v>24.586163201352701</v>
      </c>
      <c r="N62" s="142">
        <v>24.586163200074399</v>
      </c>
      <c r="O62" s="142">
        <v>24.586163201352701</v>
      </c>
      <c r="P62" s="142"/>
      <c r="Q62" s="142">
        <v>25.9620538069139</v>
      </c>
      <c r="R62" s="142">
        <v>25.9620538069139</v>
      </c>
      <c r="S62" s="142">
        <v>25.9620538049302</v>
      </c>
      <c r="T62" s="142">
        <v>25.9620538069139</v>
      </c>
    </row>
    <row r="63" spans="1:20" s="117" customFormat="1" x14ac:dyDescent="0.25">
      <c r="A63" s="134"/>
      <c r="B63" s="117" t="s">
        <v>216</v>
      </c>
      <c r="C63" s="167">
        <v>12</v>
      </c>
      <c r="D63" s="167">
        <v>11</v>
      </c>
      <c r="E63" s="166">
        <f t="shared" si="1"/>
        <v>1</v>
      </c>
      <c r="F63" s="117" t="str">
        <f t="shared" si="2"/>
        <v>TRAGASNAT</v>
      </c>
      <c r="G63" s="117" t="s">
        <v>210</v>
      </c>
      <c r="H63" s="117" t="s">
        <v>205</v>
      </c>
      <c r="I63" s="117" t="s">
        <v>309</v>
      </c>
      <c r="J63" s="117" t="s">
        <v>399</v>
      </c>
      <c r="K63" s="142">
        <v>23.748697756293801</v>
      </c>
      <c r="L63" s="142"/>
      <c r="M63" s="142"/>
      <c r="N63" s="142"/>
      <c r="O63" s="142"/>
      <c r="P63" s="142">
        <v>17.649193286362799</v>
      </c>
      <c r="Q63" s="142"/>
      <c r="R63" s="142"/>
      <c r="S63" s="142"/>
      <c r="T63" s="142"/>
    </row>
    <row r="64" spans="1:20" s="117" customFormat="1" x14ac:dyDescent="0.25">
      <c r="A64" s="134"/>
      <c r="B64" s="117" t="s">
        <v>38</v>
      </c>
      <c r="C64" s="161"/>
      <c r="D64" s="161"/>
      <c r="E64" s="166">
        <f>E62/3</f>
        <v>5.5333333333333341</v>
      </c>
      <c r="F64" s="117" t="str">
        <f t="shared" si="2"/>
        <v>TRAOILKER</v>
      </c>
      <c r="G64" s="117" t="s">
        <v>210</v>
      </c>
      <c r="H64" s="117" t="s">
        <v>209</v>
      </c>
      <c r="I64" s="117" t="s">
        <v>309</v>
      </c>
      <c r="J64" s="117" t="s">
        <v>400</v>
      </c>
      <c r="K64" s="142">
        <v>8.6</v>
      </c>
      <c r="L64" s="142"/>
      <c r="M64" s="142"/>
      <c r="N64" s="142"/>
      <c r="O64" s="142"/>
      <c r="P64" s="142">
        <v>9.4901094314485395</v>
      </c>
      <c r="Q64" s="142"/>
      <c r="R64" s="142"/>
      <c r="S64" s="142"/>
      <c r="T64" s="142"/>
    </row>
    <row r="65" spans="1:8" s="117" customFormat="1" x14ac:dyDescent="0.25">
      <c r="A65" s="134"/>
      <c r="B65" s="117" t="s">
        <v>90</v>
      </c>
      <c r="C65" s="161"/>
      <c r="D65" s="161"/>
      <c r="E65" s="166">
        <f>E62/3</f>
        <v>5.5333333333333341</v>
      </c>
      <c r="F65" s="117" t="str">
        <f t="shared" si="2"/>
        <v>TRABIOE*</v>
      </c>
      <c r="G65" s="117" t="s">
        <v>210</v>
      </c>
      <c r="H65" s="117" t="s">
        <v>239</v>
      </c>
    </row>
    <row r="66" spans="1:8" s="117" customFormat="1" x14ac:dyDescent="0.25">
      <c r="A66" s="134"/>
      <c r="B66" s="117" t="s">
        <v>91</v>
      </c>
      <c r="C66" s="161"/>
      <c r="D66" s="161"/>
      <c r="E66" s="166">
        <f>E65</f>
        <v>5.5333333333333341</v>
      </c>
      <c r="F66" s="117" t="str">
        <f t="shared" si="2"/>
        <v>TRABIODSL*</v>
      </c>
      <c r="G66" s="117" t="s">
        <v>210</v>
      </c>
      <c r="H66" s="117" t="s">
        <v>240</v>
      </c>
    </row>
    <row r="67" spans="1:8" s="117" customFormat="1" x14ac:dyDescent="0.25">
      <c r="A67" s="134"/>
      <c r="B67" s="117" t="s">
        <v>230</v>
      </c>
      <c r="C67" s="167">
        <f>C26</f>
        <v>12</v>
      </c>
      <c r="D67" s="161">
        <v>5</v>
      </c>
      <c r="E67" s="166">
        <f t="shared" si="1"/>
        <v>7</v>
      </c>
      <c r="F67" s="117" t="str">
        <f t="shared" si="2"/>
        <v>TRAELC</v>
      </c>
      <c r="G67" s="117" t="s">
        <v>210</v>
      </c>
      <c r="H67" s="117" t="s">
        <v>225</v>
      </c>
    </row>
    <row r="68" spans="1:8" s="117" customFormat="1" x14ac:dyDescent="0.25">
      <c r="A68" s="134"/>
      <c r="B68" s="117" t="s">
        <v>231</v>
      </c>
      <c r="C68" s="172"/>
      <c r="D68" s="172"/>
      <c r="E68" s="170">
        <f>E51</f>
        <v>0</v>
      </c>
      <c r="F68" s="117" t="str">
        <f t="shared" si="2"/>
        <v>TRAELC</v>
      </c>
      <c r="G68" s="117" t="s">
        <v>210</v>
      </c>
      <c r="H68" s="117" t="s">
        <v>225</v>
      </c>
    </row>
    <row r="69" spans="1:8" s="117" customFormat="1" x14ac:dyDescent="0.25">
      <c r="A69" s="134" t="s">
        <v>237</v>
      </c>
      <c r="B69" s="117" t="s">
        <v>217</v>
      </c>
      <c r="C69" s="167">
        <f>C26</f>
        <v>12</v>
      </c>
      <c r="D69" s="167">
        <f>C69</f>
        <v>12</v>
      </c>
      <c r="E69" s="166">
        <f t="shared" si="1"/>
        <v>0</v>
      </c>
      <c r="F69" s="117" t="str">
        <f t="shared" si="2"/>
        <v>AGRELC</v>
      </c>
      <c r="G69" s="117" t="s">
        <v>238</v>
      </c>
      <c r="H69" s="117" t="s">
        <v>225</v>
      </c>
    </row>
    <row r="70" spans="1:8" s="117" customFormat="1" x14ac:dyDescent="0.25">
      <c r="A70" s="134"/>
      <c r="B70" s="117" t="s">
        <v>25</v>
      </c>
      <c r="C70" s="161"/>
      <c r="D70" s="161"/>
      <c r="E70" s="166">
        <f>E58</f>
        <v>1.3000000000000007</v>
      </c>
      <c r="F70" s="117" t="str">
        <f t="shared" si="2"/>
        <v>AGROILDSL</v>
      </c>
      <c r="G70" s="117" t="s">
        <v>238</v>
      </c>
      <c r="H70" s="117" t="s">
        <v>202</v>
      </c>
    </row>
    <row r="71" spans="1:8" s="117" customFormat="1" x14ac:dyDescent="0.25">
      <c r="A71" s="134"/>
      <c r="B71" s="117" t="s">
        <v>198</v>
      </c>
      <c r="C71" s="167">
        <v>1.1000000000000001</v>
      </c>
      <c r="D71" s="167">
        <f>C71</f>
        <v>1.1000000000000001</v>
      </c>
      <c r="E71" s="166">
        <f t="shared" ref="E71" si="4">(C71-D71)</f>
        <v>0</v>
      </c>
      <c r="F71" s="117" t="str">
        <f t="shared" si="2"/>
        <v>AGRGASNAT</v>
      </c>
      <c r="G71" s="117" t="s">
        <v>238</v>
      </c>
      <c r="H71" s="117" t="s">
        <v>205</v>
      </c>
    </row>
    <row r="72" spans="1:8" s="117" customFormat="1" x14ac:dyDescent="0.25">
      <c r="A72" s="134"/>
      <c r="B72" s="117" t="s">
        <v>322</v>
      </c>
      <c r="C72" s="161"/>
      <c r="D72" s="161"/>
      <c r="E72" s="166">
        <f>E71/3</f>
        <v>0</v>
      </c>
      <c r="F72" s="117" t="str">
        <f t="shared" si="2"/>
        <v>AGRCOABIC</v>
      </c>
      <c r="G72" s="117" t="s">
        <v>238</v>
      </c>
      <c r="H72" s="117" t="s">
        <v>227</v>
      </c>
    </row>
    <row r="73" spans="1:8" s="117" customFormat="1" x14ac:dyDescent="0.25">
      <c r="C73" s="142"/>
    </row>
    <row r="74" spans="1:8" x14ac:dyDescent="0.25">
      <c r="C74" s="127"/>
    </row>
    <row r="75" spans="1:8" x14ac:dyDescent="0.25">
      <c r="C75" s="127"/>
    </row>
    <row r="76" spans="1:8" x14ac:dyDescent="0.25">
      <c r="C76" s="127"/>
    </row>
    <row r="77" spans="1:8" x14ac:dyDescent="0.25">
      <c r="C77" s="127"/>
    </row>
    <row r="78" spans="1:8" x14ac:dyDescent="0.25">
      <c r="C78" s="127"/>
    </row>
    <row r="79" spans="1:8" x14ac:dyDescent="0.25">
      <c r="C79" s="127"/>
    </row>
    <row r="80" spans="1:8" x14ac:dyDescent="0.25">
      <c r="C80" s="127"/>
    </row>
    <row r="81" spans="3:3" x14ac:dyDescent="0.25">
      <c r="C81" s="127"/>
    </row>
    <row r="82" spans="3:3" x14ac:dyDescent="0.25">
      <c r="C82" s="127"/>
    </row>
    <row r="83" spans="3:3" x14ac:dyDescent="0.25">
      <c r="C83" s="127"/>
    </row>
    <row r="84" spans="3:3" x14ac:dyDescent="0.25">
      <c r="C84" s="127"/>
    </row>
    <row r="85" spans="3:3" x14ac:dyDescent="0.25">
      <c r="C85" s="127"/>
    </row>
    <row r="86" spans="3:3" x14ac:dyDescent="0.25">
      <c r="C86" s="127"/>
    </row>
    <row r="87" spans="3:3" x14ac:dyDescent="0.25">
      <c r="C87" s="1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CE29-B903-40A4-A1EA-74378653CB11}">
  <dimension ref="A1:AO87"/>
  <sheetViews>
    <sheetView topLeftCell="A40" zoomScale="85" zoomScaleNormal="85" workbookViewId="0">
      <selection activeCell="A40" sqref="A1:XFD1048576"/>
    </sheetView>
  </sheetViews>
  <sheetFormatPr defaultColWidth="9.109375" defaultRowHeight="13.2" x14ac:dyDescent="0.25"/>
  <cols>
    <col min="1" max="1" width="28.5546875" style="109" bestFit="1" customWidth="1"/>
    <col min="2" max="2" width="18.6640625" style="109" customWidth="1"/>
    <col min="3" max="3" width="19.44140625" style="109" bestFit="1" customWidth="1"/>
    <col min="4" max="4" width="14.6640625" style="109" customWidth="1"/>
    <col min="5" max="5" width="13" style="109" customWidth="1"/>
    <col min="6" max="6" width="27.109375" style="109" bestFit="1" customWidth="1"/>
    <col min="7" max="7" width="9.109375" style="109"/>
    <col min="8" max="8" width="26.44140625" style="109" customWidth="1"/>
    <col min="9" max="16384" width="9.109375" style="109"/>
  </cols>
  <sheetData>
    <row r="1" spans="1:41" ht="17.399999999999999" x14ac:dyDescent="0.3">
      <c r="A1" s="111" t="s">
        <v>279</v>
      </c>
      <c r="B1" s="111"/>
      <c r="C1" s="111"/>
      <c r="I1" s="116"/>
    </row>
    <row r="3" spans="1:41" s="117" customFormat="1" x14ac:dyDescent="0.25">
      <c r="A3" s="134"/>
      <c r="B3" s="134"/>
      <c r="C3" s="134" t="s">
        <v>51</v>
      </c>
      <c r="D3" s="134"/>
      <c r="E3" s="134"/>
      <c r="F3" s="134"/>
      <c r="G3" s="134"/>
      <c r="H3" s="134"/>
      <c r="I3" s="117" t="s">
        <v>357</v>
      </c>
    </row>
    <row r="4" spans="1:41" s="117" customFormat="1" x14ac:dyDescent="0.25">
      <c r="A4" s="164" t="s">
        <v>104</v>
      </c>
      <c r="B4" s="164" t="s">
        <v>191</v>
      </c>
      <c r="C4" s="164" t="s">
        <v>192</v>
      </c>
      <c r="D4" s="164" t="s">
        <v>314</v>
      </c>
      <c r="E4" s="164" t="s">
        <v>354</v>
      </c>
      <c r="F4" s="164" t="s">
        <v>219</v>
      </c>
      <c r="G4" s="164"/>
      <c r="H4" s="164"/>
      <c r="I4" s="117" t="s">
        <v>358</v>
      </c>
    </row>
    <row r="5" spans="1:41" s="117" customFormat="1" x14ac:dyDescent="0.25">
      <c r="A5" s="134" t="s">
        <v>194</v>
      </c>
      <c r="B5" s="117" t="s">
        <v>25</v>
      </c>
      <c r="C5" s="161"/>
      <c r="D5" s="165"/>
      <c r="E5" s="166"/>
      <c r="F5" s="117" t="str">
        <f>G5&amp;H5</f>
        <v>RSDOILDSL</v>
      </c>
      <c r="G5" s="117" t="s">
        <v>201</v>
      </c>
      <c r="H5" s="117" t="s">
        <v>202</v>
      </c>
      <c r="I5" s="117" t="s">
        <v>359</v>
      </c>
      <c r="J5" s="117" t="s">
        <v>360</v>
      </c>
      <c r="K5" s="117" t="s">
        <v>361</v>
      </c>
      <c r="L5" s="117" t="s">
        <v>362</v>
      </c>
      <c r="M5" s="117" t="s">
        <v>363</v>
      </c>
      <c r="N5" s="117" t="s">
        <v>364</v>
      </c>
      <c r="O5" s="117" t="s">
        <v>365</v>
      </c>
      <c r="P5" s="117" t="s">
        <v>366</v>
      </c>
      <c r="Q5" s="117" t="s">
        <v>367</v>
      </c>
      <c r="R5" s="117" t="s">
        <v>368</v>
      </c>
      <c r="S5" s="117" t="s">
        <v>369</v>
      </c>
      <c r="T5" s="117" t="s">
        <v>370</v>
      </c>
      <c r="U5" s="117" t="s">
        <v>371</v>
      </c>
      <c r="V5" s="117" t="s">
        <v>372</v>
      </c>
      <c r="W5" s="117" t="s">
        <v>373</v>
      </c>
      <c r="X5" s="117" t="s">
        <v>374</v>
      </c>
      <c r="Y5" s="117" t="s">
        <v>375</v>
      </c>
      <c r="Z5" s="117" t="s">
        <v>376</v>
      </c>
      <c r="AA5" s="117" t="s">
        <v>377</v>
      </c>
      <c r="AB5" s="117" t="s">
        <v>378</v>
      </c>
      <c r="AC5" s="117" t="s">
        <v>379</v>
      </c>
      <c r="AD5" s="117" t="s">
        <v>380</v>
      </c>
      <c r="AE5" s="117" t="s">
        <v>381</v>
      </c>
      <c r="AF5" s="117" t="s">
        <v>382</v>
      </c>
      <c r="AG5" s="117" t="s">
        <v>383</v>
      </c>
      <c r="AH5" s="117" t="s">
        <v>384</v>
      </c>
      <c r="AI5" s="117" t="s">
        <v>385</v>
      </c>
      <c r="AJ5" s="117" t="s">
        <v>386</v>
      </c>
      <c r="AK5" s="117" t="s">
        <v>387</v>
      </c>
      <c r="AL5" s="117" t="s">
        <v>388</v>
      </c>
      <c r="AM5" s="117" t="s">
        <v>389</v>
      </c>
      <c r="AN5" s="117" t="s">
        <v>390</v>
      </c>
    </row>
    <row r="6" spans="1:41" s="117" customFormat="1" x14ac:dyDescent="0.25">
      <c r="A6" s="134"/>
      <c r="B6" s="117" t="s">
        <v>35</v>
      </c>
      <c r="C6" s="161"/>
      <c r="D6" s="165"/>
      <c r="E6" s="166"/>
      <c r="F6" s="117" t="str">
        <f t="shared" ref="F6:F14" si="0">G6&amp;H6</f>
        <v>RSDOILLPG</v>
      </c>
      <c r="G6" s="117" t="s">
        <v>201</v>
      </c>
      <c r="H6" s="117" t="s">
        <v>203</v>
      </c>
      <c r="I6" s="117" t="s">
        <v>308</v>
      </c>
      <c r="J6" s="117" t="s">
        <v>391</v>
      </c>
      <c r="K6" s="117" t="s">
        <v>393</v>
      </c>
      <c r="L6" s="142"/>
      <c r="M6" s="142"/>
      <c r="N6" s="142">
        <v>14.968736765996701</v>
      </c>
      <c r="O6" s="142">
        <v>14.968736765996701</v>
      </c>
      <c r="P6" s="142">
        <v>14.968736765996701</v>
      </c>
      <c r="Q6" s="142">
        <v>14.968736765996701</v>
      </c>
      <c r="R6" s="142">
        <v>14.968736765996701</v>
      </c>
      <c r="S6" s="142">
        <v>14.968736765996701</v>
      </c>
      <c r="T6" s="142"/>
      <c r="U6" s="142">
        <v>14.968736765996701</v>
      </c>
      <c r="V6" s="142">
        <v>14.968736765996701</v>
      </c>
      <c r="W6" s="142">
        <v>14.968736765996701</v>
      </c>
      <c r="X6" s="142">
        <v>14.968736765996701</v>
      </c>
      <c r="Y6" s="142">
        <v>14.968736765996701</v>
      </c>
      <c r="Z6" s="142">
        <v>14.968736765996701</v>
      </c>
      <c r="AA6" s="142"/>
      <c r="AB6" s="142">
        <v>14.968736765996701</v>
      </c>
      <c r="AC6" s="142">
        <v>14.968736765996701</v>
      </c>
      <c r="AD6" s="142">
        <v>14.968736765996701</v>
      </c>
      <c r="AE6" s="142">
        <v>14.968736765996701</v>
      </c>
      <c r="AF6" s="142">
        <v>14.968736765996701</v>
      </c>
      <c r="AG6" s="142">
        <v>14.968736765996701</v>
      </c>
      <c r="AH6" s="142"/>
      <c r="AI6" s="142">
        <v>14.968736765996701</v>
      </c>
      <c r="AJ6" s="142">
        <v>14.968736765996701</v>
      </c>
      <c r="AK6" s="142">
        <v>14.968736765996701</v>
      </c>
      <c r="AL6" s="142">
        <v>14.968736765996701</v>
      </c>
      <c r="AM6" s="142">
        <v>14.968736765996701</v>
      </c>
      <c r="AN6" s="142">
        <v>14.968736765996701</v>
      </c>
      <c r="AO6" s="142"/>
    </row>
    <row r="7" spans="1:41" s="117" customFormat="1" x14ac:dyDescent="0.25">
      <c r="A7" s="134"/>
      <c r="B7" s="117" t="s">
        <v>198</v>
      </c>
      <c r="C7" s="167">
        <v>0.03</v>
      </c>
      <c r="D7" s="167">
        <v>2.13</v>
      </c>
      <c r="E7" s="166">
        <f>C7-D7</f>
        <v>-2.1</v>
      </c>
      <c r="F7" s="117" t="str">
        <f t="shared" si="0"/>
        <v>RSDGASNAT</v>
      </c>
      <c r="G7" s="117" t="s">
        <v>201</v>
      </c>
      <c r="H7" s="117" t="s">
        <v>205</v>
      </c>
      <c r="I7" s="117" t="s">
        <v>308</v>
      </c>
      <c r="J7" s="117" t="s">
        <v>391</v>
      </c>
      <c r="K7" s="117" t="s">
        <v>394</v>
      </c>
      <c r="L7" s="142"/>
      <c r="M7" s="142">
        <v>2.7547391738734399</v>
      </c>
      <c r="N7" s="142"/>
      <c r="O7" s="142"/>
      <c r="P7" s="142"/>
      <c r="Q7" s="142"/>
      <c r="R7" s="142"/>
      <c r="S7" s="142"/>
      <c r="T7" s="142">
        <v>2.7547391738734399</v>
      </c>
      <c r="U7" s="142"/>
      <c r="V7" s="142"/>
      <c r="W7" s="142"/>
      <c r="X7" s="142"/>
      <c r="Y7" s="142"/>
      <c r="Z7" s="142"/>
      <c r="AA7" s="142">
        <v>2.7547391738734399</v>
      </c>
      <c r="AB7" s="142"/>
      <c r="AC7" s="142"/>
      <c r="AD7" s="142"/>
      <c r="AE7" s="142"/>
      <c r="AF7" s="142"/>
      <c r="AG7" s="142"/>
      <c r="AH7" s="142">
        <v>2.7547391738734399</v>
      </c>
      <c r="AI7" s="142"/>
      <c r="AJ7" s="142"/>
      <c r="AK7" s="142"/>
      <c r="AL7" s="142"/>
      <c r="AM7" s="142"/>
      <c r="AN7" s="142"/>
      <c r="AO7" s="142"/>
    </row>
    <row r="8" spans="1:41" s="117" customFormat="1" x14ac:dyDescent="0.25">
      <c r="A8" s="134"/>
      <c r="B8" s="117" t="s">
        <v>45</v>
      </c>
      <c r="C8" s="161"/>
      <c r="D8" s="161"/>
      <c r="E8" s="166"/>
      <c r="F8" s="117" t="str">
        <f t="shared" si="0"/>
        <v>RSDCOABIC</v>
      </c>
      <c r="G8" s="117" t="s">
        <v>201</v>
      </c>
      <c r="H8" s="117" t="s">
        <v>227</v>
      </c>
      <c r="I8" s="117" t="s">
        <v>308</v>
      </c>
      <c r="J8" s="117" t="s">
        <v>391</v>
      </c>
      <c r="K8" s="117" t="s">
        <v>395</v>
      </c>
      <c r="L8" s="142"/>
      <c r="M8" s="142"/>
      <c r="N8" s="142">
        <v>2.3844966635348501</v>
      </c>
      <c r="O8" s="142">
        <v>2.3844966635348501</v>
      </c>
      <c r="P8" s="142">
        <v>2.3844966635348501</v>
      </c>
      <c r="Q8" s="142">
        <v>2.3844966635348501</v>
      </c>
      <c r="R8" s="142">
        <v>2.3844966635348501</v>
      </c>
      <c r="S8" s="142">
        <v>2.3844966635348501</v>
      </c>
      <c r="T8" s="142"/>
      <c r="U8" s="142">
        <v>2.3844966635348501</v>
      </c>
      <c r="V8" s="142">
        <v>2.3844966635348501</v>
      </c>
      <c r="W8" s="142">
        <v>2.3844966635348501</v>
      </c>
      <c r="X8" s="142">
        <v>2.3844966635348501</v>
      </c>
      <c r="Y8" s="142">
        <v>2.3844966635348501</v>
      </c>
      <c r="Z8" s="142">
        <v>2.3844966635348501</v>
      </c>
      <c r="AA8" s="142"/>
      <c r="AB8" s="142">
        <v>2.3844966635348501</v>
      </c>
      <c r="AC8" s="142">
        <v>2.3844966635348501</v>
      </c>
      <c r="AD8" s="142">
        <v>2.3844966635348501</v>
      </c>
      <c r="AE8" s="142">
        <v>2.3844966635348501</v>
      </c>
      <c r="AF8" s="142">
        <v>2.3844966635348501</v>
      </c>
      <c r="AG8" s="142">
        <v>2.3844966635348501</v>
      </c>
      <c r="AH8" s="142"/>
      <c r="AI8" s="142">
        <v>2.3844966635348501</v>
      </c>
      <c r="AJ8" s="142">
        <v>2.3844966635348501</v>
      </c>
      <c r="AK8" s="142">
        <v>2.3844966635348501</v>
      </c>
      <c r="AL8" s="142">
        <v>16.9172636612102</v>
      </c>
      <c r="AM8" s="142">
        <v>2.3844966635348501</v>
      </c>
      <c r="AN8" s="142">
        <v>2.3844966635348501</v>
      </c>
      <c r="AO8" s="142"/>
    </row>
    <row r="9" spans="1:41" s="117" customFormat="1" x14ac:dyDescent="0.25">
      <c r="A9" s="134"/>
      <c r="B9" s="117" t="s">
        <v>199</v>
      </c>
      <c r="C9" s="161"/>
      <c r="D9" s="161"/>
      <c r="E9" s="166"/>
      <c r="F9" s="117" t="str">
        <f t="shared" si="0"/>
        <v>RSDCOABCO</v>
      </c>
      <c r="G9" s="117" t="s">
        <v>201</v>
      </c>
      <c r="H9" s="117" t="s">
        <v>303</v>
      </c>
      <c r="I9" s="117" t="s">
        <v>308</v>
      </c>
      <c r="J9" s="117" t="s">
        <v>391</v>
      </c>
      <c r="K9" s="117" t="s">
        <v>396</v>
      </c>
      <c r="L9" s="142">
        <v>5.9880000000000004</v>
      </c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</row>
    <row r="10" spans="1:41" s="117" customFormat="1" x14ac:dyDescent="0.25">
      <c r="A10" s="134"/>
      <c r="B10" s="117" t="s">
        <v>319</v>
      </c>
      <c r="C10" s="161"/>
      <c r="D10" s="161"/>
      <c r="E10" s="166"/>
      <c r="F10" s="117" t="str">
        <f t="shared" si="0"/>
        <v>RSDBIOCHR</v>
      </c>
      <c r="G10" s="117" t="s">
        <v>201</v>
      </c>
      <c r="H10" s="117" t="s">
        <v>226</v>
      </c>
      <c r="I10" s="117" t="s">
        <v>308</v>
      </c>
      <c r="J10" s="117" t="s">
        <v>391</v>
      </c>
      <c r="K10" s="117" t="s">
        <v>398</v>
      </c>
      <c r="L10" s="142">
        <v>5.9880000000000004</v>
      </c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</row>
    <row r="11" spans="1:41" s="117" customFormat="1" x14ac:dyDescent="0.25">
      <c r="A11" s="134"/>
      <c r="B11" s="117" t="s">
        <v>200</v>
      </c>
      <c r="C11" s="161"/>
      <c r="D11" s="161"/>
      <c r="E11" s="166"/>
      <c r="F11" s="117" t="str">
        <f t="shared" si="0"/>
        <v>RSDBIOLOG</v>
      </c>
      <c r="G11" s="117" t="s">
        <v>201</v>
      </c>
      <c r="H11" s="117" t="s">
        <v>204</v>
      </c>
      <c r="I11" s="117" t="s">
        <v>308</v>
      </c>
      <c r="J11" s="117" t="s">
        <v>397</v>
      </c>
      <c r="K11" s="117" t="s">
        <v>393</v>
      </c>
      <c r="L11" s="142"/>
      <c r="M11" s="142"/>
      <c r="N11" s="142">
        <v>15.0391755191973</v>
      </c>
      <c r="O11" s="142">
        <v>15.0391755191973</v>
      </c>
      <c r="P11" s="142">
        <v>15.0391755191973</v>
      </c>
      <c r="Q11" s="142">
        <v>15.0391755191973</v>
      </c>
      <c r="R11" s="142">
        <v>15.0391755191973</v>
      </c>
      <c r="S11" s="142">
        <v>15.0391755191973</v>
      </c>
      <c r="T11" s="142"/>
      <c r="U11" s="142">
        <v>15.0391755191973</v>
      </c>
      <c r="V11" s="142">
        <v>15.0391755191973</v>
      </c>
      <c r="W11" s="142">
        <v>15.0391755191973</v>
      </c>
      <c r="X11" s="142">
        <v>15.0391755191973</v>
      </c>
      <c r="Y11" s="142">
        <v>15.0391755191973</v>
      </c>
      <c r="Z11" s="142">
        <v>15.0391755191973</v>
      </c>
      <c r="AA11" s="142"/>
      <c r="AB11" s="142">
        <v>15.0391755191973</v>
      </c>
      <c r="AC11" s="142">
        <v>15.0391755191973</v>
      </c>
      <c r="AD11" s="142">
        <v>15.0391755191973</v>
      </c>
      <c r="AE11" s="142">
        <v>15.0391755191973</v>
      </c>
      <c r="AF11" s="142">
        <v>15.0391755191973</v>
      </c>
      <c r="AG11" s="142">
        <v>15.0391755191973</v>
      </c>
      <c r="AH11" s="142"/>
      <c r="AI11" s="142">
        <v>15.0391755191973</v>
      </c>
      <c r="AJ11" s="142">
        <v>15.0391755191973</v>
      </c>
      <c r="AK11" s="142">
        <v>15.0391755191973</v>
      </c>
      <c r="AL11" s="142">
        <v>15.0391755191973</v>
      </c>
      <c r="AM11" s="142">
        <v>15.0391755191973</v>
      </c>
      <c r="AN11" s="142">
        <v>15.0391755191973</v>
      </c>
      <c r="AO11" s="142"/>
    </row>
    <row r="12" spans="1:41" s="117" customFormat="1" x14ac:dyDescent="0.25">
      <c r="A12" s="134"/>
      <c r="B12" s="117" t="s">
        <v>235</v>
      </c>
      <c r="C12" s="161"/>
      <c r="D12" s="161"/>
      <c r="E12" s="166"/>
      <c r="F12" s="117" t="str">
        <f t="shared" si="0"/>
        <v>RSDBIOPLT</v>
      </c>
      <c r="G12" s="117" t="s">
        <v>201</v>
      </c>
      <c r="H12" s="117" t="s">
        <v>236</v>
      </c>
      <c r="I12" s="117" t="s">
        <v>308</v>
      </c>
      <c r="J12" s="117" t="s">
        <v>397</v>
      </c>
      <c r="K12" s="117" t="s">
        <v>394</v>
      </c>
      <c r="L12" s="142"/>
      <c r="M12" s="142">
        <v>2.9104901608725902</v>
      </c>
      <c r="N12" s="142"/>
      <c r="O12" s="142"/>
      <c r="P12" s="142"/>
      <c r="Q12" s="142"/>
      <c r="R12" s="142"/>
      <c r="S12" s="142"/>
      <c r="T12" s="142">
        <v>2.9104901608725902</v>
      </c>
      <c r="U12" s="142"/>
      <c r="V12" s="142"/>
      <c r="W12" s="142"/>
      <c r="X12" s="142"/>
      <c r="Y12" s="142"/>
      <c r="Z12" s="142"/>
      <c r="AA12" s="142">
        <v>2.9104901608725902</v>
      </c>
      <c r="AB12" s="142"/>
      <c r="AC12" s="142"/>
      <c r="AD12" s="142"/>
      <c r="AE12" s="142"/>
      <c r="AF12" s="142"/>
      <c r="AG12" s="142"/>
      <c r="AH12" s="142">
        <v>2.9104901608725902</v>
      </c>
      <c r="AI12" s="142"/>
      <c r="AJ12" s="142"/>
      <c r="AK12" s="142"/>
      <c r="AL12" s="142"/>
      <c r="AM12" s="142"/>
      <c r="AN12" s="142"/>
      <c r="AO12" s="142"/>
    </row>
    <row r="13" spans="1:41" s="117" customFormat="1" x14ac:dyDescent="0.25">
      <c r="A13" s="134"/>
      <c r="B13" s="117" t="s">
        <v>229</v>
      </c>
      <c r="C13" s="167">
        <v>0.1</v>
      </c>
      <c r="D13" s="167">
        <v>2</v>
      </c>
      <c r="E13" s="166">
        <f>C13-D13</f>
        <v>-1.9</v>
      </c>
      <c r="F13" s="117" t="str">
        <f t="shared" si="0"/>
        <v>RSDLTH</v>
      </c>
      <c r="G13" s="117" t="s">
        <v>201</v>
      </c>
      <c r="H13" s="117" t="s">
        <v>224</v>
      </c>
      <c r="I13" s="117" t="s">
        <v>308</v>
      </c>
      <c r="J13" s="117" t="s">
        <v>397</v>
      </c>
      <c r="K13" s="117" t="s">
        <v>395</v>
      </c>
      <c r="L13" s="142"/>
      <c r="M13" s="142"/>
      <c r="N13" s="142">
        <v>7.4103176001930899</v>
      </c>
      <c r="O13" s="142">
        <v>7.4103176001930899</v>
      </c>
      <c r="P13" s="142">
        <v>7.4103176001930899</v>
      </c>
      <c r="Q13" s="142">
        <v>7.4103176001930899</v>
      </c>
      <c r="R13" s="142">
        <v>7.4103176001930899</v>
      </c>
      <c r="S13" s="142">
        <v>7.1130743097824602</v>
      </c>
      <c r="T13" s="142"/>
      <c r="U13" s="142">
        <v>7.4103176001930899</v>
      </c>
      <c r="V13" s="142">
        <v>7.4103176001930899</v>
      </c>
      <c r="W13" s="142">
        <v>7.4103176001930899</v>
      </c>
      <c r="X13" s="142">
        <v>7.4103176001930899</v>
      </c>
      <c r="Y13" s="142">
        <v>7.4103176001930899</v>
      </c>
      <c r="Z13" s="142">
        <v>7.1130743097824602</v>
      </c>
      <c r="AA13" s="142"/>
      <c r="AB13" s="142">
        <v>3.6833339553229201</v>
      </c>
      <c r="AC13" s="142">
        <v>3.6833339553229201</v>
      </c>
      <c r="AD13" s="142">
        <v>3.6833339553229201</v>
      </c>
      <c r="AE13" s="142">
        <v>7.1130743097824602</v>
      </c>
      <c r="AF13" s="142">
        <v>3.6833339553229201</v>
      </c>
      <c r="AG13" s="142">
        <v>3.6833339553229201</v>
      </c>
      <c r="AH13" s="142"/>
      <c r="AI13" s="142">
        <v>7.4103176001930899</v>
      </c>
      <c r="AJ13" s="142">
        <v>7.4103176001930899</v>
      </c>
      <c r="AK13" s="142">
        <v>7.4103176001930899</v>
      </c>
      <c r="AL13" s="142">
        <v>7.4103176001930899</v>
      </c>
      <c r="AM13" s="142">
        <v>7.4103176001930899</v>
      </c>
      <c r="AN13" s="142">
        <v>7.4103176001930899</v>
      </c>
      <c r="AO13" s="142"/>
    </row>
    <row r="14" spans="1:41" s="117" customFormat="1" x14ac:dyDescent="0.25">
      <c r="A14" s="134"/>
      <c r="B14" s="117" t="s">
        <v>217</v>
      </c>
      <c r="C14" s="170">
        <v>0</v>
      </c>
      <c r="D14" s="170">
        <v>11.5</v>
      </c>
      <c r="E14" s="166">
        <f>C14-D14</f>
        <v>-11.5</v>
      </c>
      <c r="F14" s="117" t="str">
        <f t="shared" si="0"/>
        <v>RSDELC</v>
      </c>
      <c r="G14" s="117" t="s">
        <v>201</v>
      </c>
      <c r="H14" s="117" t="s">
        <v>225</v>
      </c>
      <c r="I14" s="117" t="s">
        <v>308</v>
      </c>
      <c r="J14" s="117" t="s">
        <v>397</v>
      </c>
      <c r="K14" s="117" t="s">
        <v>396</v>
      </c>
      <c r="L14" s="142">
        <v>7.49813988157256</v>
      </c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</row>
    <row r="15" spans="1:41" s="117" customFormat="1" x14ac:dyDescent="0.25">
      <c r="A15" s="134" t="s">
        <v>195</v>
      </c>
      <c r="B15" s="117" t="s">
        <v>25</v>
      </c>
      <c r="C15" s="161"/>
      <c r="D15" s="161"/>
      <c r="E15" s="166"/>
      <c r="F15" s="117" t="str">
        <f>G15&amp;H15</f>
        <v>TEROILDSL</v>
      </c>
      <c r="G15" s="117" t="s">
        <v>315</v>
      </c>
      <c r="H15" s="117" t="s">
        <v>202</v>
      </c>
      <c r="I15" s="117" t="s">
        <v>308</v>
      </c>
      <c r="J15" s="117" t="s">
        <v>397</v>
      </c>
      <c r="K15" s="117" t="s">
        <v>398</v>
      </c>
      <c r="L15" s="142">
        <v>5.8968454396730703</v>
      </c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</row>
    <row r="16" spans="1:41" s="117" customFormat="1" x14ac:dyDescent="0.25">
      <c r="A16" s="134"/>
      <c r="B16" s="117" t="s">
        <v>71</v>
      </c>
      <c r="C16" s="161"/>
      <c r="D16" s="161"/>
      <c r="E16" s="166"/>
      <c r="F16" s="117" t="str">
        <f>G16&amp;H16</f>
        <v>TEROILHFO</v>
      </c>
      <c r="G16" s="117" t="s">
        <v>315</v>
      </c>
      <c r="H16" s="117" t="s">
        <v>267</v>
      </c>
    </row>
    <row r="17" spans="1:8" s="117" customFormat="1" x14ac:dyDescent="0.25">
      <c r="A17" s="134"/>
      <c r="B17" s="117" t="s">
        <v>35</v>
      </c>
      <c r="C17" s="161"/>
      <c r="D17" s="161"/>
      <c r="E17" s="166"/>
      <c r="F17" s="117" t="str">
        <f t="shared" ref="F17:F72" si="1">G17&amp;H17</f>
        <v>TEROILLPG</v>
      </c>
      <c r="G17" s="117" t="s">
        <v>315</v>
      </c>
      <c r="H17" s="117" t="s">
        <v>203</v>
      </c>
    </row>
    <row r="18" spans="1:8" s="117" customFormat="1" x14ac:dyDescent="0.25">
      <c r="A18" s="134"/>
      <c r="B18" s="117" t="s">
        <v>198</v>
      </c>
      <c r="C18" s="167"/>
      <c r="D18" s="167"/>
      <c r="E18" s="166">
        <f>E7/2</f>
        <v>-1.05</v>
      </c>
      <c r="F18" s="117" t="str">
        <f t="shared" si="1"/>
        <v>TERGASNAT</v>
      </c>
      <c r="G18" s="117" t="s">
        <v>315</v>
      </c>
      <c r="H18" s="117" t="s">
        <v>205</v>
      </c>
    </row>
    <row r="19" spans="1:8" s="117" customFormat="1" x14ac:dyDescent="0.25">
      <c r="A19" s="134"/>
      <c r="B19" s="117" t="s">
        <v>45</v>
      </c>
      <c r="C19" s="161"/>
      <c r="D19" s="161"/>
      <c r="E19" s="166"/>
      <c r="F19" s="117" t="str">
        <f t="shared" si="1"/>
        <v>TERCOABIC</v>
      </c>
      <c r="G19" s="117" t="s">
        <v>315</v>
      </c>
      <c r="H19" s="117" t="s">
        <v>227</v>
      </c>
    </row>
    <row r="20" spans="1:8" s="117" customFormat="1" x14ac:dyDescent="0.25">
      <c r="A20" s="134"/>
      <c r="B20" s="117" t="s">
        <v>199</v>
      </c>
      <c r="C20" s="161"/>
      <c r="D20" s="161"/>
      <c r="E20" s="166"/>
      <c r="F20" s="117" t="str">
        <f t="shared" si="1"/>
        <v>TERCOABCO</v>
      </c>
      <c r="G20" s="117" t="s">
        <v>315</v>
      </c>
      <c r="H20" s="117" t="s">
        <v>303</v>
      </c>
    </row>
    <row r="21" spans="1:8" s="117" customFormat="1" x14ac:dyDescent="0.25">
      <c r="A21" s="134"/>
      <c r="B21" s="117" t="s">
        <v>319</v>
      </c>
      <c r="C21" s="161"/>
      <c r="D21" s="161"/>
      <c r="E21" s="166"/>
      <c r="F21" s="117" t="str">
        <f t="shared" si="1"/>
        <v>TERBIOCHR</v>
      </c>
      <c r="G21" s="117" t="s">
        <v>315</v>
      </c>
      <c r="H21" s="117" t="s">
        <v>226</v>
      </c>
    </row>
    <row r="22" spans="1:8" s="117" customFormat="1" x14ac:dyDescent="0.25">
      <c r="A22" s="134"/>
      <c r="B22" s="117" t="s">
        <v>200</v>
      </c>
      <c r="C22" s="161"/>
      <c r="D22" s="161"/>
      <c r="E22" s="166"/>
      <c r="F22" s="117" t="str">
        <f t="shared" si="1"/>
        <v>TERBIOLOG</v>
      </c>
      <c r="G22" s="117" t="s">
        <v>315</v>
      </c>
      <c r="H22" s="117" t="s">
        <v>204</v>
      </c>
    </row>
    <row r="23" spans="1:8" s="117" customFormat="1" x14ac:dyDescent="0.25">
      <c r="A23" s="134"/>
      <c r="B23" s="117" t="s">
        <v>235</v>
      </c>
      <c r="C23" s="161"/>
      <c r="D23" s="161"/>
      <c r="E23" s="166"/>
      <c r="F23" s="117" t="str">
        <f t="shared" si="1"/>
        <v>TERBIOPLT</v>
      </c>
      <c r="G23" s="117" t="s">
        <v>315</v>
      </c>
      <c r="H23" s="117" t="s">
        <v>236</v>
      </c>
    </row>
    <row r="24" spans="1:8" s="117" customFormat="1" x14ac:dyDescent="0.25">
      <c r="A24" s="134"/>
      <c r="C24" s="161"/>
      <c r="D24" s="161"/>
      <c r="E24" s="166"/>
    </row>
    <row r="25" spans="1:8" s="117" customFormat="1" x14ac:dyDescent="0.25">
      <c r="A25" s="134"/>
      <c r="B25" s="117" t="s">
        <v>229</v>
      </c>
      <c r="C25" s="167"/>
      <c r="D25" s="167"/>
      <c r="E25" s="166">
        <f>E13/2</f>
        <v>-0.95</v>
      </c>
      <c r="F25" s="117" t="str">
        <f t="shared" si="1"/>
        <v>TERLTH</v>
      </c>
      <c r="G25" s="117" t="s">
        <v>315</v>
      </c>
      <c r="H25" s="117" t="s">
        <v>224</v>
      </c>
    </row>
    <row r="26" spans="1:8" s="117" customFormat="1" x14ac:dyDescent="0.25">
      <c r="A26" s="134"/>
      <c r="B26" s="117" t="s">
        <v>217</v>
      </c>
      <c r="C26" s="170"/>
      <c r="D26" s="170"/>
      <c r="E26" s="166">
        <f>E14/2</f>
        <v>-5.75</v>
      </c>
      <c r="F26" s="117" t="str">
        <f t="shared" si="1"/>
        <v>TERELC</v>
      </c>
      <c r="G26" s="117" t="s">
        <v>315</v>
      </c>
      <c r="H26" s="117" t="s">
        <v>225</v>
      </c>
    </row>
    <row r="27" spans="1:8" s="117" customFormat="1" x14ac:dyDescent="0.25">
      <c r="A27" s="134" t="s">
        <v>218</v>
      </c>
      <c r="B27" s="117" t="s">
        <v>25</v>
      </c>
      <c r="C27" s="161"/>
      <c r="D27" s="161"/>
      <c r="E27" s="166"/>
      <c r="F27" s="117" t="str">
        <f t="shared" si="1"/>
        <v>INDOILDSL</v>
      </c>
      <c r="G27" s="117" t="s">
        <v>206</v>
      </c>
      <c r="H27" s="117" t="s">
        <v>202</v>
      </c>
    </row>
    <row r="28" spans="1:8" s="117" customFormat="1" x14ac:dyDescent="0.25">
      <c r="A28" s="134"/>
      <c r="B28" s="117" t="s">
        <v>197</v>
      </c>
      <c r="C28" s="161"/>
      <c r="D28" s="161"/>
      <c r="E28" s="166"/>
      <c r="F28" s="117" t="str">
        <f t="shared" si="1"/>
        <v>INDOILHFO</v>
      </c>
      <c r="G28" s="117" t="s">
        <v>206</v>
      </c>
      <c r="H28" s="117" t="s">
        <v>267</v>
      </c>
    </row>
    <row r="29" spans="1:8" s="117" customFormat="1" x14ac:dyDescent="0.25">
      <c r="A29" s="134"/>
      <c r="B29" s="117" t="s">
        <v>35</v>
      </c>
      <c r="C29" s="161"/>
      <c r="D29" s="161"/>
      <c r="E29" s="166"/>
      <c r="F29" s="117" t="str">
        <f>G29&amp;H29</f>
        <v>INDOILLPG</v>
      </c>
      <c r="G29" s="117" t="s">
        <v>206</v>
      </c>
      <c r="H29" s="117" t="s">
        <v>203</v>
      </c>
    </row>
    <row r="30" spans="1:8" s="117" customFormat="1" x14ac:dyDescent="0.25">
      <c r="A30" s="134"/>
      <c r="B30" s="117" t="s">
        <v>24</v>
      </c>
      <c r="C30" s="161"/>
      <c r="D30" s="161"/>
      <c r="E30" s="166"/>
      <c r="F30" s="117" t="str">
        <f t="shared" ref="F30:F51" si="2">G30&amp;H30</f>
        <v>INDOILGSL</v>
      </c>
      <c r="G30" s="117" t="s">
        <v>206</v>
      </c>
      <c r="H30" s="117" t="s">
        <v>208</v>
      </c>
    </row>
    <row r="31" spans="1:8" s="117" customFormat="1" x14ac:dyDescent="0.25">
      <c r="A31" s="134"/>
      <c r="B31" s="117" t="s">
        <v>198</v>
      </c>
      <c r="C31" s="167">
        <f>0.5*1.1</f>
        <v>0.55000000000000004</v>
      </c>
      <c r="D31" s="167">
        <f>C31</f>
        <v>0.55000000000000004</v>
      </c>
      <c r="E31" s="166">
        <f>C31-D31</f>
        <v>0</v>
      </c>
      <c r="F31" s="117" t="str">
        <f t="shared" si="2"/>
        <v>INDGASNAT</v>
      </c>
      <c r="G31" s="117" t="s">
        <v>206</v>
      </c>
      <c r="H31" s="117" t="s">
        <v>205</v>
      </c>
    </row>
    <row r="32" spans="1:8" s="117" customFormat="1" x14ac:dyDescent="0.25">
      <c r="A32" s="134"/>
      <c r="B32" s="117" t="s">
        <v>36</v>
      </c>
      <c r="C32" s="161"/>
      <c r="D32" s="161"/>
      <c r="E32" s="166"/>
      <c r="F32" s="117" t="str">
        <f t="shared" si="2"/>
        <v>INDCOASUB</v>
      </c>
      <c r="G32" s="117" t="s">
        <v>206</v>
      </c>
      <c r="H32" s="117" t="s">
        <v>304</v>
      </c>
    </row>
    <row r="33" spans="1:8" s="117" customFormat="1" x14ac:dyDescent="0.25">
      <c r="A33" s="134"/>
      <c r="B33" s="117" t="s">
        <v>199</v>
      </c>
      <c r="C33" s="161"/>
      <c r="D33" s="161"/>
      <c r="E33" s="166"/>
      <c r="F33" s="117" t="str">
        <f t="shared" si="2"/>
        <v>INDCOABCO</v>
      </c>
      <c r="G33" s="117" t="s">
        <v>206</v>
      </c>
      <c r="H33" s="117" t="s">
        <v>303</v>
      </c>
    </row>
    <row r="34" spans="1:8" s="117" customFormat="1" x14ac:dyDescent="0.25">
      <c r="A34" s="134"/>
      <c r="B34" s="117" t="s">
        <v>322</v>
      </c>
      <c r="C34" s="161"/>
      <c r="D34" s="161"/>
      <c r="E34" s="166"/>
      <c r="F34" s="117" t="str">
        <f t="shared" si="2"/>
        <v>INDCOABIC</v>
      </c>
      <c r="G34" s="117" t="s">
        <v>206</v>
      </c>
      <c r="H34" s="117" t="s">
        <v>227</v>
      </c>
    </row>
    <row r="35" spans="1:8" s="117" customFormat="1" x14ac:dyDescent="0.25">
      <c r="A35" s="134"/>
      <c r="B35" s="117" t="s">
        <v>88</v>
      </c>
      <c r="C35" s="161"/>
      <c r="D35" s="161"/>
      <c r="E35" s="166"/>
      <c r="F35" s="117" t="str">
        <f t="shared" si="2"/>
        <v>INDCOACOK</v>
      </c>
      <c r="G35" s="117" t="s">
        <v>206</v>
      </c>
      <c r="H35" s="117" t="s">
        <v>305</v>
      </c>
    </row>
    <row r="36" spans="1:8" s="117" customFormat="1" x14ac:dyDescent="0.25">
      <c r="A36" s="134"/>
      <c r="B36" s="117" t="s">
        <v>148</v>
      </c>
      <c r="C36" s="161"/>
      <c r="D36" s="161"/>
      <c r="E36" s="166"/>
      <c r="F36" s="117" t="str">
        <f t="shared" si="2"/>
        <v>INDCOABKB</v>
      </c>
      <c r="G36" s="117" t="s">
        <v>206</v>
      </c>
      <c r="H36" s="117" t="s">
        <v>223</v>
      </c>
    </row>
    <row r="37" spans="1:8" s="117" customFormat="1" x14ac:dyDescent="0.25">
      <c r="A37" s="134"/>
      <c r="B37" s="117" t="s">
        <v>200</v>
      </c>
      <c r="C37" s="161"/>
      <c r="D37" s="161"/>
      <c r="E37" s="166"/>
      <c r="F37" s="117" t="str">
        <f t="shared" si="2"/>
        <v>INDBIOLOG</v>
      </c>
      <c r="G37" s="117" t="s">
        <v>206</v>
      </c>
      <c r="H37" s="117" t="s">
        <v>204</v>
      </c>
    </row>
    <row r="38" spans="1:8" s="117" customFormat="1" x14ac:dyDescent="0.25">
      <c r="A38" s="134"/>
      <c r="B38" s="117" t="s">
        <v>229</v>
      </c>
      <c r="C38" s="167">
        <f>0.6*1.1</f>
        <v>0.66</v>
      </c>
      <c r="D38" s="167">
        <f>C38</f>
        <v>0.66</v>
      </c>
      <c r="E38" s="166">
        <f>C38-D38</f>
        <v>0</v>
      </c>
      <c r="F38" s="117" t="str">
        <f t="shared" si="2"/>
        <v>INDHTH</v>
      </c>
      <c r="G38" s="117" t="s">
        <v>206</v>
      </c>
      <c r="H38" s="117" t="s">
        <v>228</v>
      </c>
    </row>
    <row r="39" spans="1:8" s="117" customFormat="1" x14ac:dyDescent="0.25">
      <c r="A39" s="134"/>
      <c r="B39" s="117" t="s">
        <v>217</v>
      </c>
      <c r="C39" s="170">
        <f>3*1.1</f>
        <v>3.3000000000000003</v>
      </c>
      <c r="D39" s="170">
        <f>C39</f>
        <v>3.3000000000000003</v>
      </c>
      <c r="E39" s="166">
        <f>C39-D39</f>
        <v>0</v>
      </c>
      <c r="F39" s="117" t="str">
        <f t="shared" si="2"/>
        <v>INDELC</v>
      </c>
      <c r="G39" s="117" t="s">
        <v>206</v>
      </c>
      <c r="H39" s="117" t="s">
        <v>225</v>
      </c>
    </row>
    <row r="40" spans="1:8" s="117" customFormat="1" x14ac:dyDescent="0.25">
      <c r="A40" s="134" t="s">
        <v>326</v>
      </c>
      <c r="B40" s="117" t="s">
        <v>25</v>
      </c>
      <c r="C40" s="161"/>
      <c r="D40" s="161"/>
      <c r="E40" s="166"/>
      <c r="F40" s="117" t="str">
        <f t="shared" si="2"/>
        <v>SUPOILDSL</v>
      </c>
      <c r="G40" s="117" t="s">
        <v>327</v>
      </c>
      <c r="H40" s="117" t="s">
        <v>202</v>
      </c>
    </row>
    <row r="41" spans="1:8" s="117" customFormat="1" x14ac:dyDescent="0.25">
      <c r="A41" s="134"/>
      <c r="B41" s="117" t="s">
        <v>197</v>
      </c>
      <c r="C41" s="161"/>
      <c r="D41" s="161"/>
      <c r="E41" s="166"/>
      <c r="F41" s="117" t="str">
        <f t="shared" si="2"/>
        <v>SUPOILHFO</v>
      </c>
      <c r="G41" s="117" t="s">
        <v>327</v>
      </c>
      <c r="H41" s="117" t="s">
        <v>267</v>
      </c>
    </row>
    <row r="42" spans="1:8" s="117" customFormat="1" x14ac:dyDescent="0.25">
      <c r="A42" s="134"/>
      <c r="B42" s="117" t="s">
        <v>35</v>
      </c>
      <c r="C42" s="161"/>
      <c r="D42" s="161"/>
      <c r="E42" s="166"/>
      <c r="F42" s="117" t="str">
        <f t="shared" si="2"/>
        <v>SUPOILLPG</v>
      </c>
      <c r="G42" s="117" t="s">
        <v>327</v>
      </c>
      <c r="H42" s="117" t="s">
        <v>203</v>
      </c>
    </row>
    <row r="43" spans="1:8" s="117" customFormat="1" x14ac:dyDescent="0.25">
      <c r="A43" s="134"/>
      <c r="B43" s="117" t="s">
        <v>24</v>
      </c>
      <c r="C43" s="161"/>
      <c r="D43" s="161"/>
      <c r="E43" s="166"/>
      <c r="F43" s="117" t="str">
        <f t="shared" si="2"/>
        <v>SUPOILGSL</v>
      </c>
      <c r="G43" s="117" t="s">
        <v>327</v>
      </c>
      <c r="H43" s="117" t="s">
        <v>208</v>
      </c>
    </row>
    <row r="44" spans="1:8" s="117" customFormat="1" x14ac:dyDescent="0.25">
      <c r="A44" s="134"/>
      <c r="B44" s="117" t="s">
        <v>198</v>
      </c>
      <c r="C44" s="167">
        <f>0.5*1.1</f>
        <v>0.55000000000000004</v>
      </c>
      <c r="D44" s="167">
        <f>C44</f>
        <v>0.55000000000000004</v>
      </c>
      <c r="E44" s="166">
        <f>C44-D44</f>
        <v>0</v>
      </c>
      <c r="F44" s="117" t="str">
        <f t="shared" si="2"/>
        <v>SUPGASNAT</v>
      </c>
      <c r="G44" s="117" t="s">
        <v>327</v>
      </c>
      <c r="H44" s="117" t="s">
        <v>205</v>
      </c>
    </row>
    <row r="45" spans="1:8" s="117" customFormat="1" x14ac:dyDescent="0.25">
      <c r="A45" s="134"/>
      <c r="B45" s="117" t="s">
        <v>36</v>
      </c>
      <c r="C45" s="161"/>
      <c r="D45" s="161"/>
      <c r="E45" s="166"/>
      <c r="F45" s="117" t="str">
        <f t="shared" si="2"/>
        <v>SUPCOASUB</v>
      </c>
      <c r="G45" s="117" t="s">
        <v>327</v>
      </c>
      <c r="H45" s="117" t="s">
        <v>304</v>
      </c>
    </row>
    <row r="46" spans="1:8" s="117" customFormat="1" x14ac:dyDescent="0.25">
      <c r="A46" s="134"/>
      <c r="B46" s="117" t="s">
        <v>199</v>
      </c>
      <c r="C46" s="161"/>
      <c r="D46" s="161"/>
      <c r="E46" s="166"/>
      <c r="F46" s="117" t="str">
        <f t="shared" si="2"/>
        <v>SUPCOABCO</v>
      </c>
      <c r="G46" s="117" t="s">
        <v>327</v>
      </c>
      <c r="H46" s="117" t="s">
        <v>303</v>
      </c>
    </row>
    <row r="47" spans="1:8" s="117" customFormat="1" x14ac:dyDescent="0.25">
      <c r="A47" s="134"/>
      <c r="B47" s="117" t="s">
        <v>322</v>
      </c>
      <c r="C47" s="161"/>
      <c r="D47" s="161"/>
      <c r="E47" s="166"/>
      <c r="F47" s="117" t="str">
        <f t="shared" si="2"/>
        <v>SUPCOABIC</v>
      </c>
      <c r="G47" s="117" t="s">
        <v>327</v>
      </c>
      <c r="H47" s="117" t="s">
        <v>227</v>
      </c>
    </row>
    <row r="48" spans="1:8" s="117" customFormat="1" x14ac:dyDescent="0.25">
      <c r="A48" s="134"/>
      <c r="B48" s="117" t="s">
        <v>148</v>
      </c>
      <c r="C48" s="161"/>
      <c r="D48" s="161"/>
      <c r="E48" s="166"/>
      <c r="F48" s="117" t="str">
        <f t="shared" si="2"/>
        <v>SUPCOABKB</v>
      </c>
      <c r="G48" s="117" t="s">
        <v>327</v>
      </c>
      <c r="H48" s="117" t="s">
        <v>223</v>
      </c>
    </row>
    <row r="49" spans="1:16" s="117" customFormat="1" x14ac:dyDescent="0.25">
      <c r="A49" s="134"/>
      <c r="B49" s="117" t="s">
        <v>200</v>
      </c>
      <c r="C49" s="161"/>
      <c r="D49" s="161"/>
      <c r="E49" s="166"/>
      <c r="F49" s="117" t="str">
        <f t="shared" si="2"/>
        <v>SUPBIOLOG</v>
      </c>
      <c r="G49" s="117" t="s">
        <v>327</v>
      </c>
      <c r="H49" s="117" t="s">
        <v>204</v>
      </c>
    </row>
    <row r="50" spans="1:16" s="117" customFormat="1" x14ac:dyDescent="0.25">
      <c r="A50" s="134"/>
      <c r="B50" s="117" t="s">
        <v>229</v>
      </c>
      <c r="C50" s="167">
        <f>0.6*1.1</f>
        <v>0.66</v>
      </c>
      <c r="D50" s="167">
        <f>C50</f>
        <v>0.66</v>
      </c>
      <c r="E50" s="166">
        <f>C50-D50</f>
        <v>0</v>
      </c>
      <c r="F50" s="117" t="str">
        <f t="shared" si="2"/>
        <v>SUPHTH</v>
      </c>
      <c r="G50" s="117" t="s">
        <v>327</v>
      </c>
      <c r="H50" s="117" t="s">
        <v>228</v>
      </c>
    </row>
    <row r="51" spans="1:16" s="117" customFormat="1" x14ac:dyDescent="0.25">
      <c r="A51" s="134"/>
      <c r="B51" s="117" t="s">
        <v>217</v>
      </c>
      <c r="C51" s="170">
        <f>3*1.1</f>
        <v>3.3000000000000003</v>
      </c>
      <c r="D51" s="170">
        <f>C51</f>
        <v>3.3000000000000003</v>
      </c>
      <c r="E51" s="166">
        <f>C51-D51</f>
        <v>0</v>
      </c>
      <c r="F51" s="117" t="str">
        <f t="shared" si="2"/>
        <v>SUPELC</v>
      </c>
      <c r="G51" s="117" t="s">
        <v>327</v>
      </c>
      <c r="H51" s="117" t="s">
        <v>225</v>
      </c>
    </row>
    <row r="52" spans="1:16" s="117" customFormat="1" x14ac:dyDescent="0.25">
      <c r="A52" s="134" t="s">
        <v>196</v>
      </c>
      <c r="B52" s="117" t="s">
        <v>25</v>
      </c>
      <c r="C52" s="161"/>
      <c r="D52" s="161"/>
      <c r="E52" s="166">
        <f>E54</f>
        <v>2.5000000000000022E-2</v>
      </c>
      <c r="F52" s="117" t="str">
        <f t="shared" si="1"/>
        <v>ELEOILDSL</v>
      </c>
      <c r="G52" s="117" t="s">
        <v>207</v>
      </c>
      <c r="H52" s="117" t="s">
        <v>202</v>
      </c>
    </row>
    <row r="53" spans="1:16" s="117" customFormat="1" x14ac:dyDescent="0.25">
      <c r="A53" s="134"/>
      <c r="B53" s="117" t="s">
        <v>197</v>
      </c>
      <c r="C53" s="161"/>
      <c r="D53" s="161"/>
      <c r="E53" s="166">
        <f>E54</f>
        <v>2.5000000000000022E-2</v>
      </c>
      <c r="F53" s="117" t="str">
        <f t="shared" si="1"/>
        <v>ELEOILHFO</v>
      </c>
      <c r="G53" s="117" t="s">
        <v>207</v>
      </c>
      <c r="H53" s="117" t="s">
        <v>267</v>
      </c>
    </row>
    <row r="54" spans="1:16" s="117" customFormat="1" x14ac:dyDescent="0.25">
      <c r="A54" s="134"/>
      <c r="B54" s="117" t="s">
        <v>198</v>
      </c>
      <c r="C54" s="167">
        <f>0.5*1.05</f>
        <v>0.52500000000000002</v>
      </c>
      <c r="D54" s="167">
        <v>0.5</v>
      </c>
      <c r="E54" s="166">
        <f>C54-D54</f>
        <v>2.5000000000000022E-2</v>
      </c>
      <c r="F54" s="117" t="str">
        <f t="shared" si="1"/>
        <v>ELEGASNAT</v>
      </c>
      <c r="G54" s="117" t="s">
        <v>207</v>
      </c>
      <c r="H54" s="117" t="s">
        <v>205</v>
      </c>
    </row>
    <row r="55" spans="1:16" s="117" customFormat="1" x14ac:dyDescent="0.25">
      <c r="A55" s="134"/>
      <c r="B55" s="117" t="s">
        <v>45</v>
      </c>
      <c r="C55" s="161"/>
      <c r="D55" s="161"/>
      <c r="E55" s="166">
        <v>0</v>
      </c>
      <c r="F55" s="117" t="str">
        <f t="shared" si="1"/>
        <v>ELECOASUB</v>
      </c>
      <c r="G55" s="117" t="s">
        <v>207</v>
      </c>
      <c r="H55" s="117" t="s">
        <v>304</v>
      </c>
    </row>
    <row r="56" spans="1:16" s="117" customFormat="1" x14ac:dyDescent="0.25">
      <c r="A56" s="134"/>
      <c r="B56" s="117" t="s">
        <v>199</v>
      </c>
      <c r="C56" s="161"/>
      <c r="D56" s="161"/>
      <c r="E56" s="166">
        <v>0</v>
      </c>
      <c r="F56" s="117" t="str">
        <f t="shared" si="1"/>
        <v>ELECOABCO</v>
      </c>
      <c r="G56" s="117" t="s">
        <v>207</v>
      </c>
      <c r="H56" s="117" t="s">
        <v>303</v>
      </c>
    </row>
    <row r="57" spans="1:16" s="117" customFormat="1" x14ac:dyDescent="0.25">
      <c r="A57" s="134"/>
      <c r="B57" s="117" t="s">
        <v>200</v>
      </c>
      <c r="C57" s="172"/>
      <c r="D57" s="172"/>
      <c r="E57" s="166">
        <v>0</v>
      </c>
      <c r="F57" s="117" t="str">
        <f t="shared" si="1"/>
        <v>ELEBIOLOG</v>
      </c>
      <c r="G57" s="117" t="s">
        <v>207</v>
      </c>
      <c r="H57" s="117" t="s">
        <v>204</v>
      </c>
    </row>
    <row r="58" spans="1:16" s="117" customFormat="1" x14ac:dyDescent="0.25">
      <c r="A58" s="134" t="s">
        <v>124</v>
      </c>
      <c r="B58" s="117" t="s">
        <v>211</v>
      </c>
      <c r="C58" s="167">
        <v>10.5</v>
      </c>
      <c r="D58" s="167">
        <v>8</v>
      </c>
      <c r="E58" s="166">
        <f>C58-D58</f>
        <v>2.5</v>
      </c>
      <c r="F58" s="117" t="str">
        <f t="shared" si="1"/>
        <v>TRAOILDSL</v>
      </c>
      <c r="G58" s="117" t="s">
        <v>210</v>
      </c>
      <c r="H58" s="117" t="s">
        <v>202</v>
      </c>
      <c r="I58" s="117" t="s">
        <v>357</v>
      </c>
    </row>
    <row r="59" spans="1:16" s="117" customFormat="1" x14ac:dyDescent="0.25">
      <c r="A59" s="134"/>
      <c r="B59" s="117" t="s">
        <v>212</v>
      </c>
      <c r="C59" s="161"/>
      <c r="D59" s="167"/>
      <c r="E59" s="166">
        <f>E58</f>
        <v>2.5</v>
      </c>
      <c r="F59" s="117" t="str">
        <f t="shared" si="1"/>
        <v>TRAOILDSL</v>
      </c>
      <c r="G59" s="117" t="s">
        <v>210</v>
      </c>
      <c r="H59" s="117" t="s">
        <v>202</v>
      </c>
      <c r="I59" s="117" t="s">
        <v>358</v>
      </c>
    </row>
    <row r="60" spans="1:16" s="117" customFormat="1" x14ac:dyDescent="0.25">
      <c r="A60" s="134"/>
      <c r="B60" s="117" t="s">
        <v>213</v>
      </c>
      <c r="C60" s="161"/>
      <c r="D60" s="167"/>
      <c r="E60" s="166">
        <f>E59</f>
        <v>2.5</v>
      </c>
      <c r="F60" s="117" t="str">
        <f t="shared" si="1"/>
        <v>TRAOILDSL</v>
      </c>
      <c r="G60" s="117" t="s">
        <v>210</v>
      </c>
      <c r="H60" s="117" t="s">
        <v>202</v>
      </c>
      <c r="J60" s="117" t="s">
        <v>360</v>
      </c>
      <c r="K60" s="117">
        <v>2017</v>
      </c>
      <c r="L60" s="117">
        <v>2020</v>
      </c>
      <c r="M60" s="117">
        <v>2020</v>
      </c>
      <c r="N60" s="117">
        <v>2020</v>
      </c>
      <c r="O60" s="117">
        <v>2020</v>
      </c>
      <c r="P60" s="117">
        <v>2020</v>
      </c>
    </row>
    <row r="61" spans="1:16" s="117" customFormat="1" x14ac:dyDescent="0.25">
      <c r="A61" s="134"/>
      <c r="B61" s="117" t="s">
        <v>214</v>
      </c>
      <c r="C61" s="167">
        <v>12</v>
      </c>
      <c r="D61" s="167">
        <v>4</v>
      </c>
      <c r="E61" s="166">
        <f>C61-D61</f>
        <v>8</v>
      </c>
      <c r="F61" s="117" t="str">
        <f t="shared" si="1"/>
        <v>TRAOILGSL</v>
      </c>
      <c r="G61" s="117" t="s">
        <v>210</v>
      </c>
      <c r="H61" s="117" t="s">
        <v>208</v>
      </c>
      <c r="I61" s="117" t="s">
        <v>359</v>
      </c>
      <c r="J61" s="117" t="s">
        <v>361</v>
      </c>
      <c r="K61" s="117" t="s">
        <v>362</v>
      </c>
      <c r="L61" s="117" t="s">
        <v>362</v>
      </c>
      <c r="M61" s="117" t="s">
        <v>363</v>
      </c>
      <c r="N61" s="117" t="s">
        <v>370</v>
      </c>
      <c r="O61" s="117" t="s">
        <v>377</v>
      </c>
      <c r="P61" s="117" t="s">
        <v>384</v>
      </c>
    </row>
    <row r="62" spans="1:16" s="117" customFormat="1" x14ac:dyDescent="0.25">
      <c r="A62" s="134"/>
      <c r="B62" s="117" t="s">
        <v>215</v>
      </c>
      <c r="C62" s="167">
        <f>C61</f>
        <v>12</v>
      </c>
      <c r="D62" s="167">
        <v>4</v>
      </c>
      <c r="E62" s="166">
        <f>C62-D62</f>
        <v>8</v>
      </c>
      <c r="F62" s="117" t="str">
        <f t="shared" si="1"/>
        <v>TRAOILLPG</v>
      </c>
      <c r="G62" s="117" t="s">
        <v>210</v>
      </c>
      <c r="H62" s="117" t="s">
        <v>203</v>
      </c>
      <c r="I62" s="117" t="s">
        <v>308</v>
      </c>
      <c r="J62" s="117" t="s">
        <v>248</v>
      </c>
      <c r="K62" s="142"/>
      <c r="L62" s="142"/>
      <c r="M62" s="142">
        <v>13.951178180249</v>
      </c>
      <c r="N62" s="142">
        <v>13.951178180249</v>
      </c>
      <c r="O62" s="142">
        <v>13.951178180249</v>
      </c>
      <c r="P62" s="142">
        <v>16.759432669530401</v>
      </c>
    </row>
    <row r="63" spans="1:16" s="117" customFormat="1" x14ac:dyDescent="0.25">
      <c r="A63" s="134"/>
      <c r="B63" s="117" t="s">
        <v>216</v>
      </c>
      <c r="C63" s="167">
        <v>3</v>
      </c>
      <c r="D63" s="167">
        <v>1.5</v>
      </c>
      <c r="E63" s="166">
        <f>C63-D63</f>
        <v>1.5</v>
      </c>
      <c r="F63" s="117" t="str">
        <f t="shared" si="1"/>
        <v>TRAGASNAT</v>
      </c>
      <c r="G63" s="117" t="s">
        <v>210</v>
      </c>
      <c r="H63" s="117" t="s">
        <v>205</v>
      </c>
      <c r="I63" s="117" t="s">
        <v>308</v>
      </c>
      <c r="J63" s="117" t="s">
        <v>399</v>
      </c>
      <c r="K63" s="142">
        <v>6.4779999999999998</v>
      </c>
      <c r="L63" s="142">
        <v>8.0398904299125906</v>
      </c>
      <c r="M63" s="142"/>
      <c r="N63" s="142"/>
      <c r="O63" s="142"/>
      <c r="P63" s="142"/>
    </row>
    <row r="64" spans="1:16" s="117" customFormat="1" x14ac:dyDescent="0.25">
      <c r="A64" s="134"/>
      <c r="B64" s="117" t="s">
        <v>38</v>
      </c>
      <c r="C64" s="161"/>
      <c r="D64" s="161"/>
      <c r="E64" s="166">
        <f>E60</f>
        <v>2.5</v>
      </c>
      <c r="F64" s="117" t="str">
        <f t="shared" si="1"/>
        <v>TRAOILKER</v>
      </c>
      <c r="G64" s="117" t="s">
        <v>210</v>
      </c>
      <c r="H64" s="117" t="s">
        <v>209</v>
      </c>
      <c r="I64" s="117" t="s">
        <v>308</v>
      </c>
      <c r="J64" s="117" t="s">
        <v>400</v>
      </c>
      <c r="K64" s="142">
        <v>6.9779999999999998</v>
      </c>
      <c r="L64" s="142">
        <v>1.9187120924010499</v>
      </c>
      <c r="M64" s="142"/>
      <c r="N64" s="142"/>
      <c r="O64" s="142"/>
      <c r="P64" s="142"/>
    </row>
    <row r="65" spans="1:8" s="117" customFormat="1" x14ac:dyDescent="0.25">
      <c r="A65" s="134"/>
      <c r="B65" s="117" t="s">
        <v>90</v>
      </c>
      <c r="C65" s="161"/>
      <c r="D65" s="161"/>
      <c r="E65" s="166">
        <f>E64</f>
        <v>2.5</v>
      </c>
      <c r="F65" s="117" t="str">
        <f t="shared" si="1"/>
        <v>TRABIOE*</v>
      </c>
      <c r="G65" s="117" t="s">
        <v>210</v>
      </c>
      <c r="H65" s="117" t="s">
        <v>239</v>
      </c>
    </row>
    <row r="66" spans="1:8" s="117" customFormat="1" x14ac:dyDescent="0.25">
      <c r="A66" s="134"/>
      <c r="B66" s="117" t="s">
        <v>91</v>
      </c>
      <c r="C66" s="161"/>
      <c r="D66" s="161"/>
      <c r="E66" s="166">
        <f>E65</f>
        <v>2.5</v>
      </c>
      <c r="F66" s="117" t="str">
        <f t="shared" si="1"/>
        <v>TRABIODSL*</v>
      </c>
      <c r="G66" s="117" t="s">
        <v>210</v>
      </c>
      <c r="H66" s="117" t="s">
        <v>240</v>
      </c>
    </row>
    <row r="67" spans="1:8" s="117" customFormat="1" x14ac:dyDescent="0.25">
      <c r="A67" s="134"/>
      <c r="B67" s="117" t="s">
        <v>230</v>
      </c>
      <c r="C67" s="167">
        <f>C39</f>
        <v>3.3000000000000003</v>
      </c>
      <c r="D67" s="161">
        <f>D39</f>
        <v>3.3000000000000003</v>
      </c>
      <c r="E67" s="166">
        <f>C67-D67</f>
        <v>0</v>
      </c>
      <c r="F67" s="117" t="str">
        <f t="shared" si="1"/>
        <v>TRAELC</v>
      </c>
      <c r="G67" s="117" t="s">
        <v>210</v>
      </c>
      <c r="H67" s="117" t="s">
        <v>225</v>
      </c>
    </row>
    <row r="68" spans="1:8" s="117" customFormat="1" x14ac:dyDescent="0.25">
      <c r="A68" s="134"/>
      <c r="B68" s="117" t="s">
        <v>231</v>
      </c>
      <c r="C68" s="172"/>
      <c r="D68" s="172"/>
      <c r="E68" s="166">
        <f>E67/3</f>
        <v>0</v>
      </c>
      <c r="F68" s="117" t="str">
        <f t="shared" si="1"/>
        <v>TRAELC</v>
      </c>
      <c r="G68" s="117" t="s">
        <v>210</v>
      </c>
      <c r="H68" s="117" t="s">
        <v>225</v>
      </c>
    </row>
    <row r="69" spans="1:8" s="117" customFormat="1" x14ac:dyDescent="0.25">
      <c r="A69" s="134" t="s">
        <v>237</v>
      </c>
      <c r="B69" s="117" t="s">
        <v>217</v>
      </c>
      <c r="C69" s="167">
        <f>C26</f>
        <v>0</v>
      </c>
      <c r="D69" s="167">
        <f>D39</f>
        <v>3.3000000000000003</v>
      </c>
      <c r="E69" s="166">
        <f>C69-D69</f>
        <v>-3.3000000000000003</v>
      </c>
      <c r="F69" s="117" t="str">
        <f t="shared" si="1"/>
        <v>AGRELC</v>
      </c>
      <c r="G69" s="117" t="s">
        <v>238</v>
      </c>
      <c r="H69" s="117" t="s">
        <v>225</v>
      </c>
    </row>
    <row r="70" spans="1:8" s="117" customFormat="1" x14ac:dyDescent="0.25">
      <c r="A70" s="134"/>
      <c r="B70" s="117" t="s">
        <v>25</v>
      </c>
      <c r="C70" s="161"/>
      <c r="D70" s="161"/>
      <c r="E70" s="166">
        <f>E58</f>
        <v>2.5</v>
      </c>
      <c r="F70" s="117" t="str">
        <f t="shared" si="1"/>
        <v>AGROILDSL</v>
      </c>
      <c r="G70" s="117" t="s">
        <v>238</v>
      </c>
      <c r="H70" s="117" t="s">
        <v>202</v>
      </c>
    </row>
    <row r="71" spans="1:8" s="117" customFormat="1" x14ac:dyDescent="0.25">
      <c r="A71" s="134"/>
      <c r="B71" s="117" t="s">
        <v>198</v>
      </c>
      <c r="C71" s="167">
        <v>0.55000000000000004</v>
      </c>
      <c r="D71" s="167">
        <f>D31</f>
        <v>0.55000000000000004</v>
      </c>
      <c r="E71" s="166">
        <f>C71-D71</f>
        <v>0</v>
      </c>
      <c r="F71" s="117" t="str">
        <f t="shared" si="1"/>
        <v>AGRGASNAT</v>
      </c>
      <c r="G71" s="117" t="s">
        <v>238</v>
      </c>
      <c r="H71" s="117" t="s">
        <v>205</v>
      </c>
    </row>
    <row r="72" spans="1:8" s="117" customFormat="1" x14ac:dyDescent="0.25">
      <c r="A72" s="134"/>
      <c r="B72" s="117" t="s">
        <v>322</v>
      </c>
      <c r="C72" s="161"/>
      <c r="D72" s="161"/>
      <c r="E72" s="166">
        <v>0</v>
      </c>
      <c r="F72" s="117" t="str">
        <f t="shared" si="1"/>
        <v>AGRCOABIC</v>
      </c>
      <c r="G72" s="117" t="s">
        <v>238</v>
      </c>
      <c r="H72" s="117" t="s">
        <v>227</v>
      </c>
    </row>
    <row r="73" spans="1:8" s="117" customFormat="1" x14ac:dyDescent="0.25">
      <c r="C73" s="142"/>
    </row>
    <row r="74" spans="1:8" x14ac:dyDescent="0.25">
      <c r="C74" s="127"/>
    </row>
    <row r="75" spans="1:8" x14ac:dyDescent="0.25">
      <c r="C75" s="127"/>
    </row>
    <row r="76" spans="1:8" x14ac:dyDescent="0.25">
      <c r="C76" s="127"/>
    </row>
    <row r="77" spans="1:8" x14ac:dyDescent="0.25">
      <c r="C77" s="127"/>
    </row>
    <row r="78" spans="1:8" x14ac:dyDescent="0.25">
      <c r="C78" s="127"/>
    </row>
    <row r="79" spans="1:8" x14ac:dyDescent="0.25">
      <c r="C79" s="127"/>
    </row>
    <row r="80" spans="1:8" x14ac:dyDescent="0.25">
      <c r="C80" s="127"/>
    </row>
    <row r="81" spans="3:3" x14ac:dyDescent="0.25">
      <c r="C81" s="127"/>
    </row>
    <row r="82" spans="3:3" x14ac:dyDescent="0.25">
      <c r="C82" s="127"/>
    </row>
    <row r="83" spans="3:3" x14ac:dyDescent="0.25">
      <c r="C83" s="127"/>
    </row>
    <row r="84" spans="3:3" x14ac:dyDescent="0.25">
      <c r="C84" s="127"/>
    </row>
    <row r="85" spans="3:3" x14ac:dyDescent="0.25">
      <c r="C85" s="127"/>
    </row>
    <row r="86" spans="3:3" x14ac:dyDescent="0.25">
      <c r="C86" s="127"/>
    </row>
    <row r="87" spans="3:3" x14ac:dyDescent="0.25">
      <c r="C87" s="1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P148"/>
  <sheetViews>
    <sheetView topLeftCell="A58" zoomScale="70" zoomScaleNormal="70" workbookViewId="0">
      <selection activeCell="A58" sqref="A1:XFD1048576"/>
    </sheetView>
  </sheetViews>
  <sheetFormatPr defaultRowHeight="13.2" x14ac:dyDescent="0.25"/>
  <cols>
    <col min="1" max="1" width="8.88671875" style="109"/>
    <col min="2" max="2" width="11" style="109" bestFit="1" customWidth="1"/>
    <col min="3" max="3" width="13.44140625" style="109" customWidth="1"/>
    <col min="4" max="4" width="15.88671875" style="109" customWidth="1"/>
    <col min="5" max="5" width="28.5546875" style="109" customWidth="1"/>
    <col min="6" max="6" width="50.5546875" style="109" customWidth="1"/>
    <col min="7" max="7" width="36.44140625" style="109" bestFit="1" customWidth="1"/>
    <col min="8" max="8" width="13.88671875" style="109" customWidth="1"/>
    <col min="9" max="9" width="8.88671875" style="109"/>
    <col min="10" max="10" width="15.33203125" style="109" bestFit="1" customWidth="1"/>
    <col min="11" max="11" width="16.44140625" style="109" bestFit="1" customWidth="1"/>
    <col min="12" max="12" width="28.5546875" style="109" bestFit="1" customWidth="1"/>
    <col min="13" max="16384" width="8.88671875" style="109"/>
  </cols>
  <sheetData>
    <row r="1" spans="1:12" ht="17.399999999999999" x14ac:dyDescent="0.3">
      <c r="A1" s="111" t="s">
        <v>264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3" spans="1:12" x14ac:dyDescent="0.25">
      <c r="B3" s="116" t="s">
        <v>47</v>
      </c>
      <c r="L3" s="134"/>
    </row>
    <row r="4" spans="1:12" ht="14.4" thickBot="1" x14ac:dyDescent="0.3">
      <c r="B4" s="157" t="s">
        <v>220</v>
      </c>
      <c r="C4" s="157" t="s">
        <v>40</v>
      </c>
      <c r="D4" s="157" t="s">
        <v>41</v>
      </c>
      <c r="E4" s="157" t="s">
        <v>221</v>
      </c>
      <c r="F4" s="157" t="s">
        <v>42</v>
      </c>
      <c r="G4" s="157" t="s">
        <v>43</v>
      </c>
      <c r="H4" s="157" t="s">
        <v>306</v>
      </c>
      <c r="I4" s="126"/>
      <c r="J4" s="119" t="s">
        <v>222</v>
      </c>
      <c r="L4" s="164" t="s">
        <v>104</v>
      </c>
    </row>
    <row r="5" spans="1:12" x14ac:dyDescent="0.25">
      <c r="C5" s="109" t="str">
        <f t="shared" ref="C5:C36" si="0">IF(J5=0,"*",IF(J5&lt;0,"FLO_SUB","FLO_TAX"))</f>
        <v>FLO_TAX</v>
      </c>
      <c r="D5" s="108">
        <f t="shared" ref="D5:D76" si="1">BASE_YEAR</f>
        <v>2017</v>
      </c>
      <c r="F5" s="109" t="str">
        <f>"FT-"&amp;G5&amp;"*"</f>
        <v>FT-RSDOILDSL*</v>
      </c>
      <c r="G5" s="109" t="str">
        <f>'Local_Prices-KZK'!F5</f>
        <v>RSDOILDSL</v>
      </c>
      <c r="H5" s="130">
        <f>J5</f>
        <v>2.2999999999999998</v>
      </c>
      <c r="J5" s="130">
        <f>'Local_Prices-KZK'!E5</f>
        <v>2.2999999999999998</v>
      </c>
      <c r="K5" s="109" t="str">
        <f>'Local_Prices-KZK'!B5</f>
        <v>Diesel</v>
      </c>
      <c r="L5" s="134" t="s">
        <v>194</v>
      </c>
    </row>
    <row r="6" spans="1:12" x14ac:dyDescent="0.25">
      <c r="C6" s="109" t="str">
        <f t="shared" si="0"/>
        <v>FLO_TAX</v>
      </c>
      <c r="D6" s="108">
        <f t="shared" si="1"/>
        <v>2017</v>
      </c>
      <c r="F6" s="109" t="str">
        <f t="shared" ref="F6:F45" si="2">"FT-"&amp;G6&amp;"*"</f>
        <v>FT-RSDOILLPG*</v>
      </c>
      <c r="G6" s="109" t="str">
        <f>'Local_Prices-KZK'!F6</f>
        <v>RSDOILLPG</v>
      </c>
      <c r="H6" s="130">
        <f t="shared" ref="H6:H69" si="3">J6</f>
        <v>2.2999999999999998</v>
      </c>
      <c r="J6" s="130">
        <f>'Local_Prices-KZK'!E6</f>
        <v>2.2999999999999998</v>
      </c>
      <c r="K6" s="109" t="str">
        <f>'Local_Prices-KZK'!B6</f>
        <v>LPG</v>
      </c>
      <c r="L6" s="134"/>
    </row>
    <row r="7" spans="1:12" x14ac:dyDescent="0.25">
      <c r="C7" s="109" t="str">
        <f t="shared" si="0"/>
        <v>FLO_TAX</v>
      </c>
      <c r="D7" s="108">
        <f t="shared" si="1"/>
        <v>2017</v>
      </c>
      <c r="F7" s="109" t="str">
        <f t="shared" si="2"/>
        <v>FT-RSDGASNAT*</v>
      </c>
      <c r="G7" s="109" t="str">
        <f>'Local_Prices-KZK'!F7</f>
        <v>RSDGASNAT</v>
      </c>
      <c r="H7" s="130">
        <f t="shared" si="3"/>
        <v>2.2999999999999998</v>
      </c>
      <c r="J7" s="130">
        <f>'Local_Prices-KZK'!E7</f>
        <v>2.2999999999999998</v>
      </c>
      <c r="K7" s="109" t="str">
        <f>'Local_Prices-KZK'!B7</f>
        <v>Natural Gas</v>
      </c>
      <c r="L7" s="134"/>
    </row>
    <row r="8" spans="1:12" x14ac:dyDescent="0.25">
      <c r="C8" s="109" t="str">
        <f t="shared" si="0"/>
        <v>FLO_TAX</v>
      </c>
      <c r="D8" s="108">
        <f t="shared" si="1"/>
        <v>2017</v>
      </c>
      <c r="F8" s="109" t="str">
        <f t="shared" si="2"/>
        <v>FT-RSDCOABIC*</v>
      </c>
      <c r="G8" s="109" t="str">
        <f>'Local_Prices-KZK'!F8</f>
        <v>RSDCOABIC</v>
      </c>
      <c r="H8" s="130">
        <f t="shared" si="3"/>
        <v>0.76666666666666661</v>
      </c>
      <c r="J8" s="130">
        <f>'Local_Prices-KZK'!E8</f>
        <v>0.76666666666666661</v>
      </c>
      <c r="K8" s="109" t="str">
        <f>'Local_Prices-KZK'!B8</f>
        <v>Coal</v>
      </c>
      <c r="L8" s="134"/>
    </row>
    <row r="9" spans="1:12" x14ac:dyDescent="0.25">
      <c r="C9" s="109" t="str">
        <f t="shared" si="0"/>
        <v>FLO_TAX</v>
      </c>
      <c r="D9" s="108">
        <f t="shared" si="1"/>
        <v>2017</v>
      </c>
      <c r="F9" s="109" t="str">
        <f t="shared" si="2"/>
        <v>FT-RSDCOABCO*</v>
      </c>
      <c r="G9" s="109" t="str">
        <f>'Local_Prices-KZK'!F9</f>
        <v>RSDCOABCO</v>
      </c>
      <c r="H9" s="130">
        <f t="shared" si="3"/>
        <v>0.76666666666666661</v>
      </c>
      <c r="J9" s="130">
        <f>'Local_Prices-KZK'!E9</f>
        <v>0.76666666666666661</v>
      </c>
      <c r="K9" s="109" t="str">
        <f>'Local_Prices-KZK'!B9</f>
        <v>Lignite</v>
      </c>
      <c r="L9" s="134"/>
    </row>
    <row r="10" spans="1:12" x14ac:dyDescent="0.25">
      <c r="C10" s="109" t="str">
        <f t="shared" si="0"/>
        <v>*</v>
      </c>
      <c r="D10" s="108">
        <f t="shared" si="1"/>
        <v>2017</v>
      </c>
      <c r="F10" s="109" t="str">
        <f t="shared" si="2"/>
        <v>FT-RSDBIOCHR*</v>
      </c>
      <c r="G10" s="109" t="str">
        <f>'Local_Prices-KZK'!F10</f>
        <v>RSDBIOCHR</v>
      </c>
      <c r="H10" s="130">
        <v>0</v>
      </c>
      <c r="J10" s="130">
        <f>'Local_Prices-KZK'!E10</f>
        <v>0</v>
      </c>
      <c r="K10" s="109" t="str">
        <f>'Local_Prices-KZK'!B10</f>
        <v>CHR</v>
      </c>
      <c r="L10" s="134"/>
    </row>
    <row r="11" spans="1:12" x14ac:dyDescent="0.25">
      <c r="C11" s="109" t="str">
        <f t="shared" si="0"/>
        <v>*</v>
      </c>
      <c r="D11" s="108">
        <f t="shared" si="1"/>
        <v>2017</v>
      </c>
      <c r="F11" s="109" t="str">
        <f t="shared" si="2"/>
        <v>FT-RSDBIOLOG*</v>
      </c>
      <c r="G11" s="109" t="str">
        <f>'Local_Prices-KZK'!F11</f>
        <v>RSDBIOLOG</v>
      </c>
      <c r="H11" s="130">
        <f t="shared" si="3"/>
        <v>0</v>
      </c>
      <c r="J11" s="130">
        <f>'Local_Prices-KZK'!E11</f>
        <v>0</v>
      </c>
      <c r="K11" s="109" t="str">
        <f>'Local_Prices-KZK'!B11</f>
        <v>Solid Biomass</v>
      </c>
      <c r="L11" s="134"/>
    </row>
    <row r="12" spans="1:12" x14ac:dyDescent="0.25">
      <c r="C12" s="109" t="str">
        <f t="shared" si="0"/>
        <v>*</v>
      </c>
      <c r="D12" s="108">
        <f t="shared" si="1"/>
        <v>2017</v>
      </c>
      <c r="F12" s="109" t="str">
        <f t="shared" si="2"/>
        <v>FT-RSDBIOPLT*</v>
      </c>
      <c r="G12" s="109" t="str">
        <f>'Local_Prices-KZK'!F12</f>
        <v>RSDBIOPLT</v>
      </c>
      <c r="H12" s="130">
        <f t="shared" si="3"/>
        <v>0</v>
      </c>
      <c r="J12" s="130">
        <f>'Local_Prices-KZK'!E12</f>
        <v>0</v>
      </c>
      <c r="K12" s="109" t="str">
        <f>'Local_Prices-KZK'!B12</f>
        <v>Pellets</v>
      </c>
      <c r="L12" s="134"/>
    </row>
    <row r="13" spans="1:12" x14ac:dyDescent="0.25">
      <c r="C13" s="109" t="str">
        <f t="shared" si="0"/>
        <v>FLO_TAX</v>
      </c>
      <c r="D13" s="108">
        <f t="shared" si="1"/>
        <v>2017</v>
      </c>
      <c r="F13" s="109" t="str">
        <f t="shared" si="2"/>
        <v>FT-RSDLTH*</v>
      </c>
      <c r="G13" s="109" t="str">
        <f>'Local_Prices-KZK'!F13</f>
        <v>RSDLTH</v>
      </c>
      <c r="H13" s="130">
        <f t="shared" si="3"/>
        <v>0.29999999999999982</v>
      </c>
      <c r="J13" s="130">
        <f>'Local_Prices-KZK'!E13</f>
        <v>0.29999999999999982</v>
      </c>
      <c r="K13" s="109" t="str">
        <f>'Local_Prices-KZK'!B13</f>
        <v>Heat</v>
      </c>
      <c r="L13" s="134"/>
    </row>
    <row r="14" spans="1:12" x14ac:dyDescent="0.25">
      <c r="C14" s="109" t="str">
        <f t="shared" si="0"/>
        <v>FLO_TAX</v>
      </c>
      <c r="D14" s="108">
        <f t="shared" si="1"/>
        <v>2017</v>
      </c>
      <c r="F14" s="109" t="str">
        <f t="shared" si="2"/>
        <v>FT-RSDELC*</v>
      </c>
      <c r="G14" s="109" t="str">
        <f>'Local_Prices-KZK'!F14</f>
        <v>RSDELC</v>
      </c>
      <c r="H14" s="130">
        <f t="shared" si="3"/>
        <v>6.5</v>
      </c>
      <c r="J14" s="130">
        <f>'Local_Prices-KZK'!E14</f>
        <v>6.5</v>
      </c>
      <c r="K14" s="109" t="str">
        <f>'Local_Prices-KZK'!B14</f>
        <v>Electricity</v>
      </c>
      <c r="L14" s="134"/>
    </row>
    <row r="15" spans="1:12" x14ac:dyDescent="0.25">
      <c r="C15" s="109" t="str">
        <f t="shared" si="0"/>
        <v>FLO_TAX</v>
      </c>
      <c r="D15" s="108">
        <f t="shared" si="1"/>
        <v>2017</v>
      </c>
      <c r="F15" s="109" t="str">
        <f t="shared" si="2"/>
        <v>FT-TEROILDSL*</v>
      </c>
      <c r="G15" s="109" t="str">
        <f>'Local_Prices-KZK'!F15</f>
        <v>TEROILDSL</v>
      </c>
      <c r="H15" s="130">
        <f t="shared" si="3"/>
        <v>3.3</v>
      </c>
      <c r="J15" s="130">
        <f>'Local_Prices-KZK'!E15</f>
        <v>3.3</v>
      </c>
      <c r="K15" s="109" t="str">
        <f>'Local_Prices-KZK'!B15</f>
        <v>Diesel</v>
      </c>
      <c r="L15" s="134" t="s">
        <v>195</v>
      </c>
    </row>
    <row r="16" spans="1:12" x14ac:dyDescent="0.25">
      <c r="C16" s="109" t="str">
        <f t="shared" si="0"/>
        <v>FLO_TAX</v>
      </c>
      <c r="D16" s="108">
        <f t="shared" si="1"/>
        <v>2017</v>
      </c>
      <c r="F16" s="109" t="str">
        <f t="shared" si="2"/>
        <v>FT-TEROILHFO*</v>
      </c>
      <c r="G16" s="109" t="str">
        <f>'Local_Prices-KZK'!F16</f>
        <v>TEROILHFO</v>
      </c>
      <c r="H16" s="130">
        <f t="shared" si="3"/>
        <v>3.3</v>
      </c>
      <c r="J16" s="130">
        <f>'Local_Prices-KZK'!E16</f>
        <v>3.3</v>
      </c>
      <c r="K16" s="109" t="str">
        <f>'Local_Prices-KZK'!B16</f>
        <v>HFO</v>
      </c>
      <c r="L16" s="134"/>
    </row>
    <row r="17" spans="3:12" x14ac:dyDescent="0.25">
      <c r="C17" s="109" t="str">
        <f t="shared" si="0"/>
        <v>FLO_TAX</v>
      </c>
      <c r="D17" s="108">
        <f t="shared" si="1"/>
        <v>2017</v>
      </c>
      <c r="F17" s="109" t="str">
        <f t="shared" si="2"/>
        <v>FT-TEROILLPG*</v>
      </c>
      <c r="G17" s="109" t="str">
        <f>'Local_Prices-KZK'!F17</f>
        <v>TEROILLPG</v>
      </c>
      <c r="H17" s="130">
        <f t="shared" si="3"/>
        <v>3.3</v>
      </c>
      <c r="J17" s="130">
        <f>'Local_Prices-KZK'!E17</f>
        <v>3.3</v>
      </c>
      <c r="K17" s="109" t="str">
        <f>'Local_Prices-KZK'!B17</f>
        <v>LPG</v>
      </c>
      <c r="L17" s="134"/>
    </row>
    <row r="18" spans="3:12" x14ac:dyDescent="0.25">
      <c r="C18" s="109" t="str">
        <f t="shared" si="0"/>
        <v>FLO_TAX</v>
      </c>
      <c r="D18" s="108">
        <f t="shared" si="1"/>
        <v>2017</v>
      </c>
      <c r="F18" s="109" t="str">
        <f t="shared" si="2"/>
        <v>FT-TERGASNAT*</v>
      </c>
      <c r="G18" s="109" t="str">
        <f>'Local_Prices-KZK'!F18</f>
        <v>TERGASNAT</v>
      </c>
      <c r="H18" s="130">
        <f t="shared" si="3"/>
        <v>3.3</v>
      </c>
      <c r="J18" s="130">
        <f>'Local_Prices-KZK'!E18</f>
        <v>3.3</v>
      </c>
      <c r="K18" s="109" t="str">
        <f>'Local_Prices-KZK'!B18</f>
        <v>Natural Gas</v>
      </c>
      <c r="L18" s="134"/>
    </row>
    <row r="19" spans="3:12" x14ac:dyDescent="0.25">
      <c r="C19" s="109" t="str">
        <f t="shared" si="0"/>
        <v>FLO_TAX</v>
      </c>
      <c r="D19" s="108">
        <f t="shared" si="1"/>
        <v>2017</v>
      </c>
      <c r="F19" s="109" t="str">
        <f t="shared" si="2"/>
        <v>FT-TERCOABIC*</v>
      </c>
      <c r="G19" s="109" t="str">
        <f>'Local_Prices-KZK'!F19</f>
        <v>TERCOABIC</v>
      </c>
      <c r="H19" s="130">
        <f t="shared" si="3"/>
        <v>1.0999999999999999</v>
      </c>
      <c r="J19" s="130">
        <f>'Local_Prices-KZK'!E19</f>
        <v>1.0999999999999999</v>
      </c>
      <c r="K19" s="109" t="str">
        <f>'Local_Prices-KZK'!B19</f>
        <v>Coal</v>
      </c>
      <c r="L19" s="134"/>
    </row>
    <row r="20" spans="3:12" x14ac:dyDescent="0.25">
      <c r="C20" s="109" t="str">
        <f t="shared" si="0"/>
        <v>FLO_TAX</v>
      </c>
      <c r="D20" s="108">
        <f t="shared" si="1"/>
        <v>2017</v>
      </c>
      <c r="F20" s="109" t="str">
        <f t="shared" si="2"/>
        <v>FT-TERCOABCO*</v>
      </c>
      <c r="G20" s="109" t="str">
        <f>'Local_Prices-KZK'!F20</f>
        <v>TERCOABCO</v>
      </c>
      <c r="H20" s="130">
        <f t="shared" si="3"/>
        <v>1.0999999999999999</v>
      </c>
      <c r="J20" s="130">
        <f>'Local_Prices-KZK'!E20</f>
        <v>1.0999999999999999</v>
      </c>
      <c r="K20" s="109" t="str">
        <f>'Local_Prices-KZK'!B20</f>
        <v>Lignite</v>
      </c>
      <c r="L20" s="134"/>
    </row>
    <row r="21" spans="3:12" x14ac:dyDescent="0.25">
      <c r="C21" s="109" t="str">
        <f t="shared" si="0"/>
        <v>*</v>
      </c>
      <c r="D21" s="108">
        <f t="shared" si="1"/>
        <v>2017</v>
      </c>
      <c r="F21" s="109" t="str">
        <f t="shared" si="2"/>
        <v>FT-TERBIOCHR*</v>
      </c>
      <c r="G21" s="109" t="str">
        <f>'Local_Prices-KZK'!F21</f>
        <v>TERBIOCHR</v>
      </c>
      <c r="H21" s="130">
        <f t="shared" si="3"/>
        <v>0</v>
      </c>
      <c r="J21" s="130">
        <f>'Local_Prices-KZK'!E21</f>
        <v>0</v>
      </c>
      <c r="K21" s="109" t="str">
        <f>'Local_Prices-KZK'!B21</f>
        <v>CHR</v>
      </c>
      <c r="L21" s="134"/>
    </row>
    <row r="22" spans="3:12" x14ac:dyDescent="0.25">
      <c r="C22" s="109" t="str">
        <f t="shared" si="0"/>
        <v>*</v>
      </c>
      <c r="D22" s="108">
        <f t="shared" si="1"/>
        <v>2017</v>
      </c>
      <c r="F22" s="109" t="str">
        <f t="shared" si="2"/>
        <v>FT-TERBIOLOG*</v>
      </c>
      <c r="G22" s="109" t="str">
        <f>'Local_Prices-KZK'!F22</f>
        <v>TERBIOLOG</v>
      </c>
      <c r="H22" s="130">
        <f t="shared" si="3"/>
        <v>0</v>
      </c>
      <c r="J22" s="130">
        <f>'Local_Prices-KZK'!E22</f>
        <v>0</v>
      </c>
      <c r="K22" s="109" t="str">
        <f>'Local_Prices-KZK'!B22</f>
        <v>Solid Biomass</v>
      </c>
      <c r="L22" s="134"/>
    </row>
    <row r="23" spans="3:12" x14ac:dyDescent="0.25">
      <c r="C23" s="109" t="str">
        <f t="shared" si="0"/>
        <v>*</v>
      </c>
      <c r="D23" s="108">
        <f t="shared" si="1"/>
        <v>2017</v>
      </c>
      <c r="F23" s="109" t="str">
        <f t="shared" si="2"/>
        <v>FT-TERBIOPLT*</v>
      </c>
      <c r="G23" s="109" t="str">
        <f>'Local_Prices-KZK'!F23</f>
        <v>TERBIOPLT</v>
      </c>
      <c r="H23" s="130">
        <f t="shared" si="3"/>
        <v>0</v>
      </c>
      <c r="J23" s="130">
        <f>'Local_Prices-KZK'!E23</f>
        <v>0</v>
      </c>
      <c r="K23" s="109" t="str">
        <f>'Local_Prices-KZK'!B23</f>
        <v>Pellets</v>
      </c>
      <c r="L23" s="134"/>
    </row>
    <row r="24" spans="3:12" x14ac:dyDescent="0.25">
      <c r="C24" s="109" t="str">
        <f t="shared" si="0"/>
        <v>*</v>
      </c>
      <c r="D24" s="108">
        <f t="shared" si="1"/>
        <v>2017</v>
      </c>
      <c r="F24" s="109" t="str">
        <f t="shared" si="2"/>
        <v>FT-0*</v>
      </c>
      <c r="G24" s="109">
        <f>'Local_Prices-KZK'!F24</f>
        <v>0</v>
      </c>
      <c r="H24" s="130">
        <f t="shared" si="3"/>
        <v>0</v>
      </c>
      <c r="J24" s="130">
        <f>'Local_Prices-KZK'!E24</f>
        <v>0</v>
      </c>
      <c r="K24" s="109">
        <f>'Local_Prices-KZK'!B24</f>
        <v>0</v>
      </c>
      <c r="L24" s="134"/>
    </row>
    <row r="25" spans="3:12" x14ac:dyDescent="0.25">
      <c r="C25" s="109" t="str">
        <f t="shared" si="0"/>
        <v>FLO_TAX</v>
      </c>
      <c r="D25" s="108">
        <f t="shared" si="1"/>
        <v>2017</v>
      </c>
      <c r="F25" s="109" t="str">
        <f t="shared" si="2"/>
        <v>FT-TERLTH*</v>
      </c>
      <c r="G25" s="109" t="str">
        <f>'Local_Prices-KZK'!F25</f>
        <v>TERLTH</v>
      </c>
      <c r="H25" s="130">
        <f t="shared" si="3"/>
        <v>0.5</v>
      </c>
      <c r="J25" s="130">
        <f>'Local_Prices-KZK'!E25</f>
        <v>0.5</v>
      </c>
      <c r="K25" s="109" t="str">
        <f>'Local_Prices-KZK'!B25</f>
        <v>Heat</v>
      </c>
      <c r="L25" s="134"/>
    </row>
    <row r="26" spans="3:12" x14ac:dyDescent="0.25">
      <c r="C26" s="109" t="str">
        <f t="shared" si="0"/>
        <v>FLO_TAX</v>
      </c>
      <c r="D26" s="108">
        <f t="shared" si="1"/>
        <v>2017</v>
      </c>
      <c r="F26" s="109" t="str">
        <f t="shared" si="2"/>
        <v>FT-TERELC*</v>
      </c>
      <c r="G26" s="109" t="str">
        <f>'Local_Prices-KZK'!F26</f>
        <v>TERELC</v>
      </c>
      <c r="H26" s="130">
        <f t="shared" si="3"/>
        <v>7.8000000000000007</v>
      </c>
      <c r="J26" s="130">
        <f>'Local_Prices-KZK'!E26</f>
        <v>7.8000000000000007</v>
      </c>
      <c r="K26" s="109" t="str">
        <f>'Local_Prices-KZK'!B26</f>
        <v>Electricity</v>
      </c>
      <c r="L26" s="134"/>
    </row>
    <row r="27" spans="3:12" x14ac:dyDescent="0.25">
      <c r="C27" s="109" t="str">
        <f t="shared" si="0"/>
        <v>FLO_TAX</v>
      </c>
      <c r="D27" s="108">
        <f t="shared" si="1"/>
        <v>2017</v>
      </c>
      <c r="F27" s="109" t="str">
        <f t="shared" si="2"/>
        <v>FT-INDOILDSL*</v>
      </c>
      <c r="G27" s="109" t="s">
        <v>241</v>
      </c>
      <c r="H27" s="130">
        <f t="shared" si="3"/>
        <v>4.0999999999999996</v>
      </c>
      <c r="J27" s="130">
        <f>'Local_Prices-KZK'!E27</f>
        <v>4.0999999999999996</v>
      </c>
      <c r="K27" s="109" t="str">
        <f>'Local_Prices-KZK'!B27</f>
        <v>Diesel</v>
      </c>
      <c r="L27" s="134" t="s">
        <v>218</v>
      </c>
    </row>
    <row r="28" spans="3:12" x14ac:dyDescent="0.25">
      <c r="C28" s="109" t="str">
        <f t="shared" si="0"/>
        <v>FLO_TAX</v>
      </c>
      <c r="D28" s="108">
        <f t="shared" si="1"/>
        <v>2017</v>
      </c>
      <c r="F28" s="109" t="str">
        <f t="shared" si="2"/>
        <v>FT-INDOILHFO*</v>
      </c>
      <c r="G28" s="109" t="s">
        <v>268</v>
      </c>
      <c r="H28" s="130">
        <f t="shared" si="3"/>
        <v>4.0999999999999996</v>
      </c>
      <c r="J28" s="130">
        <f>'Local_Prices-KZK'!E28</f>
        <v>4.0999999999999996</v>
      </c>
      <c r="K28" s="109" t="str">
        <f>'Local_Prices-KZK'!B28</f>
        <v>Fuel Oil</v>
      </c>
      <c r="L28" s="134"/>
    </row>
    <row r="29" spans="3:12" x14ac:dyDescent="0.25">
      <c r="C29" s="109" t="str">
        <f t="shared" si="0"/>
        <v>FLO_TAX</v>
      </c>
      <c r="D29" s="108">
        <f t="shared" si="1"/>
        <v>2017</v>
      </c>
      <c r="F29" s="109" t="str">
        <f t="shared" si="2"/>
        <v>FT-INDOILOTH*</v>
      </c>
      <c r="G29" s="109" t="s">
        <v>242</v>
      </c>
      <c r="H29" s="130">
        <f t="shared" si="3"/>
        <v>4.0999999999999996</v>
      </c>
      <c r="J29" s="130">
        <f>J28</f>
        <v>4.0999999999999996</v>
      </c>
      <c r="L29" s="134"/>
    </row>
    <row r="30" spans="3:12" x14ac:dyDescent="0.25">
      <c r="C30" s="109" t="str">
        <f t="shared" si="0"/>
        <v>FLO_TAX</v>
      </c>
      <c r="D30" s="108">
        <f t="shared" si="1"/>
        <v>2017</v>
      </c>
      <c r="F30" s="109" t="str">
        <f t="shared" si="2"/>
        <v>FT-INDOILLPG*</v>
      </c>
      <c r="G30" s="109" t="str">
        <f>'Local_Prices-KZK'!F29</f>
        <v>INDOILLPG</v>
      </c>
      <c r="H30" s="130">
        <f t="shared" si="3"/>
        <v>4.0999999999999996</v>
      </c>
      <c r="J30" s="130">
        <f>'Local_Prices-KZK'!E29</f>
        <v>4.0999999999999996</v>
      </c>
      <c r="K30" s="109" t="str">
        <f>'Local_Prices-KZK'!B29</f>
        <v>LPG</v>
      </c>
      <c r="L30" s="134"/>
    </row>
    <row r="31" spans="3:12" x14ac:dyDescent="0.25">
      <c r="C31" s="109" t="str">
        <f t="shared" si="0"/>
        <v>FLO_TAX</v>
      </c>
      <c r="D31" s="108">
        <f t="shared" si="1"/>
        <v>2017</v>
      </c>
      <c r="F31" s="109" t="str">
        <f t="shared" si="2"/>
        <v>FT-INDOILGSL*</v>
      </c>
      <c r="G31" s="109" t="str">
        <f>'Local_Prices-KZK'!F30</f>
        <v>INDOILGSL</v>
      </c>
      <c r="H31" s="130">
        <f t="shared" si="3"/>
        <v>4.0999999999999996</v>
      </c>
      <c r="J31" s="130">
        <f>'Local_Prices-KZK'!E30</f>
        <v>4.0999999999999996</v>
      </c>
      <c r="K31" s="109" t="str">
        <f>'Local_Prices-KZK'!B30</f>
        <v>Gasoline</v>
      </c>
      <c r="L31" s="134"/>
    </row>
    <row r="32" spans="3:12" x14ac:dyDescent="0.25">
      <c r="C32" s="109" t="str">
        <f t="shared" si="0"/>
        <v>FLO_TAX</v>
      </c>
      <c r="D32" s="108">
        <f t="shared" si="1"/>
        <v>2017</v>
      </c>
      <c r="F32" s="109" t="str">
        <f t="shared" si="2"/>
        <v>FT-INDGASNAT*</v>
      </c>
      <c r="G32" s="109" t="str">
        <f>'Local_Prices-KZK'!F31</f>
        <v>INDGASNAT</v>
      </c>
      <c r="H32" s="130">
        <f t="shared" si="3"/>
        <v>4.0999999999999996</v>
      </c>
      <c r="J32" s="130">
        <f>'Local_Prices-KZK'!E31</f>
        <v>4.0999999999999996</v>
      </c>
      <c r="K32" s="109" t="str">
        <f>'Local_Prices-KZK'!B31</f>
        <v>Natural Gas</v>
      </c>
      <c r="L32" s="134"/>
    </row>
    <row r="33" spans="3:12" x14ac:dyDescent="0.25">
      <c r="C33" s="109" t="str">
        <f t="shared" si="0"/>
        <v>FLO_TAX</v>
      </c>
      <c r="D33" s="108">
        <f t="shared" si="1"/>
        <v>2017</v>
      </c>
      <c r="F33" s="109" t="str">
        <f t="shared" si="2"/>
        <v>FT-INDCOASUB*</v>
      </c>
      <c r="G33" s="109" t="str">
        <f>'Local_Prices-KZK'!F32</f>
        <v>INDCOASUB</v>
      </c>
      <c r="H33" s="130">
        <f t="shared" si="3"/>
        <v>1.3666666666666665</v>
      </c>
      <c r="J33" s="130">
        <f>'Local_Prices-KZK'!E32</f>
        <v>1.3666666666666665</v>
      </c>
      <c r="K33" s="109" t="str">
        <f>'Local_Prices-KZK'!B32</f>
        <v>Coal</v>
      </c>
      <c r="L33" s="134"/>
    </row>
    <row r="34" spans="3:12" x14ac:dyDescent="0.25">
      <c r="C34" s="109" t="str">
        <f t="shared" si="0"/>
        <v>FLO_TAX</v>
      </c>
      <c r="D34" s="108">
        <f t="shared" si="1"/>
        <v>2017</v>
      </c>
      <c r="F34" s="109" t="str">
        <f t="shared" si="2"/>
        <v>FT-INDCOABCO*</v>
      </c>
      <c r="G34" s="109" t="str">
        <f>'Local_Prices-KZK'!F33</f>
        <v>INDCOABCO</v>
      </c>
      <c r="H34" s="130">
        <f t="shared" si="3"/>
        <v>1.3666666666666665</v>
      </c>
      <c r="J34" s="130">
        <f>'Local_Prices-KZK'!E33</f>
        <v>1.3666666666666665</v>
      </c>
      <c r="K34" s="109" t="str">
        <f>'Local_Prices-KZK'!B33</f>
        <v>Lignite</v>
      </c>
      <c r="L34" s="134"/>
    </row>
    <row r="35" spans="3:12" x14ac:dyDescent="0.25">
      <c r="C35" s="109" t="str">
        <f t="shared" si="0"/>
        <v>FLO_TAX</v>
      </c>
      <c r="D35" s="108">
        <f t="shared" si="1"/>
        <v>2017</v>
      </c>
      <c r="F35" s="109" t="str">
        <f t="shared" si="2"/>
        <v>FT-INDCOABIC*</v>
      </c>
      <c r="G35" s="109" t="str">
        <f>'Local_Prices-KZK'!F34</f>
        <v>INDCOABIC</v>
      </c>
      <c r="H35" s="130">
        <f t="shared" si="3"/>
        <v>1.3666666666666665</v>
      </c>
      <c r="J35" s="130">
        <f>'Local_Prices-KZK'!E34</f>
        <v>1.3666666666666665</v>
      </c>
      <c r="K35" s="109" t="str">
        <f>'Local_Prices-KZK'!B34</f>
        <v>Other bituminous</v>
      </c>
      <c r="L35" s="134"/>
    </row>
    <row r="36" spans="3:12" x14ac:dyDescent="0.25">
      <c r="C36" s="109" t="str">
        <f t="shared" si="0"/>
        <v>*</v>
      </c>
      <c r="D36" s="108">
        <f t="shared" si="1"/>
        <v>2017</v>
      </c>
      <c r="F36" s="109" t="str">
        <f t="shared" si="2"/>
        <v>FT-INDCOACOK*</v>
      </c>
      <c r="G36" s="109" t="str">
        <f>'Local_Prices-KZK'!F35</f>
        <v>INDCOACOK</v>
      </c>
      <c r="H36" s="130">
        <f t="shared" si="3"/>
        <v>0</v>
      </c>
      <c r="J36" s="130">
        <f>'Local_Prices-KZK'!E35</f>
        <v>0</v>
      </c>
      <c r="K36" s="109" t="str">
        <f>'Local_Prices-KZK'!B35</f>
        <v>Coke</v>
      </c>
      <c r="L36" s="134"/>
    </row>
    <row r="37" spans="3:12" x14ac:dyDescent="0.25">
      <c r="C37" s="109" t="str">
        <f t="shared" ref="C37:C68" si="4">IF(J37=0,"*",IF(J37&lt;0,"FLO_SUB","FLO_TAX"))</f>
        <v>*</v>
      </c>
      <c r="D37" s="108">
        <f t="shared" si="1"/>
        <v>2017</v>
      </c>
      <c r="F37" s="109" t="str">
        <f t="shared" si="2"/>
        <v>FT-INDCOABKB*</v>
      </c>
      <c r="G37" s="109" t="str">
        <f>'Local_Prices-KZK'!F36</f>
        <v>INDCOABKB</v>
      </c>
      <c r="H37" s="130">
        <f t="shared" si="3"/>
        <v>0</v>
      </c>
      <c r="J37" s="130">
        <f>'Local_Prices-KZK'!E36</f>
        <v>0</v>
      </c>
      <c r="K37" s="109" t="str">
        <f>'Local_Prices-KZK'!B36</f>
        <v>BKB</v>
      </c>
      <c r="L37" s="134"/>
    </row>
    <row r="38" spans="3:12" x14ac:dyDescent="0.25">
      <c r="C38" s="109" t="str">
        <f t="shared" si="4"/>
        <v>*</v>
      </c>
      <c r="D38" s="108">
        <f t="shared" si="1"/>
        <v>2017</v>
      </c>
      <c r="F38" s="109" t="str">
        <f t="shared" si="2"/>
        <v>FT-INDBIOLOG*</v>
      </c>
      <c r="G38" s="109" t="str">
        <f>'Local_Prices-KZK'!F37</f>
        <v>INDBIOLOG</v>
      </c>
      <c r="H38" s="130">
        <f t="shared" si="3"/>
        <v>0</v>
      </c>
      <c r="J38" s="130">
        <f>'Local_Prices-KZK'!E37</f>
        <v>0</v>
      </c>
      <c r="K38" s="109" t="str">
        <f>'Local_Prices-KZK'!B37</f>
        <v>Solid Biomass</v>
      </c>
      <c r="L38" s="134"/>
    </row>
    <row r="39" spans="3:12" x14ac:dyDescent="0.25">
      <c r="C39" s="109" t="str">
        <f t="shared" si="4"/>
        <v>*</v>
      </c>
      <c r="D39" s="108">
        <v>2030</v>
      </c>
      <c r="F39" s="109" t="str">
        <f>F38</f>
        <v>FT-INDBIOLOG*</v>
      </c>
      <c r="G39" s="109" t="str">
        <f>G38</f>
        <v>INDBIOLOG</v>
      </c>
      <c r="H39" s="130">
        <f t="shared" si="3"/>
        <v>0</v>
      </c>
      <c r="J39" s="130">
        <f>J38</f>
        <v>0</v>
      </c>
      <c r="L39" s="134"/>
    </row>
    <row r="40" spans="3:12" x14ac:dyDescent="0.25">
      <c r="C40" s="109" t="str">
        <f t="shared" si="4"/>
        <v>*</v>
      </c>
      <c r="D40" s="108">
        <f>BASE_YEAR</f>
        <v>2017</v>
      </c>
      <c r="F40" s="109" t="str">
        <f t="shared" si="2"/>
        <v>FT-INDBIOCHR*</v>
      </c>
      <c r="G40" s="109" t="s">
        <v>257</v>
      </c>
      <c r="H40" s="130">
        <f t="shared" si="3"/>
        <v>0</v>
      </c>
      <c r="J40" s="130">
        <f t="shared" ref="J40:J43" si="5">J39</f>
        <v>0</v>
      </c>
      <c r="L40" s="134"/>
    </row>
    <row r="41" spans="3:12" x14ac:dyDescent="0.25">
      <c r="C41" s="109" t="str">
        <f t="shared" si="4"/>
        <v>*</v>
      </c>
      <c r="D41" s="108">
        <v>2030</v>
      </c>
      <c r="F41" s="109" t="str">
        <f>F40</f>
        <v>FT-INDBIOCHR*</v>
      </c>
      <c r="G41" s="109" t="str">
        <f>G40</f>
        <v>INDBIOCHR</v>
      </c>
      <c r="H41" s="130">
        <f t="shared" si="3"/>
        <v>0</v>
      </c>
      <c r="J41" s="130">
        <f t="shared" si="5"/>
        <v>0</v>
      </c>
      <c r="L41" s="134"/>
    </row>
    <row r="42" spans="3:12" x14ac:dyDescent="0.25">
      <c r="C42" s="109" t="str">
        <f t="shared" si="4"/>
        <v>*</v>
      </c>
      <c r="D42" s="108">
        <f>BASE_YEAR</f>
        <v>2017</v>
      </c>
      <c r="F42" s="109" t="str">
        <f t="shared" ref="F42" si="6">"FT-"&amp;G42&amp;"*"</f>
        <v>FT-INDBIOPLT*</v>
      </c>
      <c r="G42" s="109" t="s">
        <v>258</v>
      </c>
      <c r="H42" s="130">
        <f t="shared" si="3"/>
        <v>0</v>
      </c>
      <c r="J42" s="130">
        <f t="shared" si="5"/>
        <v>0</v>
      </c>
      <c r="L42" s="134"/>
    </row>
    <row r="43" spans="3:12" x14ac:dyDescent="0.25">
      <c r="C43" s="109" t="str">
        <f t="shared" si="4"/>
        <v>*</v>
      </c>
      <c r="D43" s="108">
        <v>2030</v>
      </c>
      <c r="F43" s="109" t="str">
        <f>F42</f>
        <v>FT-INDBIOPLT*</v>
      </c>
      <c r="G43" s="109" t="str">
        <f>G42</f>
        <v>INDBIOPLT</v>
      </c>
      <c r="H43" s="130">
        <f t="shared" si="3"/>
        <v>0</v>
      </c>
      <c r="J43" s="130">
        <f t="shared" si="5"/>
        <v>0</v>
      </c>
      <c r="L43" s="134"/>
    </row>
    <row r="44" spans="3:12" x14ac:dyDescent="0.25">
      <c r="C44" s="109" t="str">
        <f t="shared" si="4"/>
        <v>FLO_TAX</v>
      </c>
      <c r="D44" s="108">
        <f t="shared" si="1"/>
        <v>2017</v>
      </c>
      <c r="F44" s="109" t="str">
        <f t="shared" si="2"/>
        <v>FT-INDHTH*</v>
      </c>
      <c r="G44" s="109" t="str">
        <f>'Local_Prices-KZK'!F38</f>
        <v>INDHTH</v>
      </c>
      <c r="H44" s="130">
        <f t="shared" si="3"/>
        <v>0.5</v>
      </c>
      <c r="J44" s="130">
        <f>'Local_Prices-KZK'!E38</f>
        <v>0.5</v>
      </c>
      <c r="K44" s="109" t="str">
        <f>'Local_Prices-KZK'!B38</f>
        <v>Heat</v>
      </c>
      <c r="L44" s="134"/>
    </row>
    <row r="45" spans="3:12" x14ac:dyDescent="0.25">
      <c r="C45" s="109" t="str">
        <f t="shared" si="4"/>
        <v>FLO_TAX</v>
      </c>
      <c r="D45" s="108">
        <f t="shared" si="1"/>
        <v>2017</v>
      </c>
      <c r="F45" s="109" t="str">
        <f t="shared" si="2"/>
        <v>FT-INDELC*</v>
      </c>
      <c r="G45" s="109" t="str">
        <f>'Local_Prices-KZK'!F39</f>
        <v>INDELC</v>
      </c>
      <c r="H45" s="130">
        <f t="shared" si="3"/>
        <v>9.5</v>
      </c>
      <c r="J45" s="130">
        <f>'Local_Prices-KZK'!E39</f>
        <v>9.5</v>
      </c>
      <c r="K45" s="109" t="str">
        <f>'Local_Prices-KZK'!B39</f>
        <v>Electricity</v>
      </c>
      <c r="L45" s="134"/>
    </row>
    <row r="46" spans="3:12" x14ac:dyDescent="0.25">
      <c r="C46" s="109" t="str">
        <f t="shared" si="4"/>
        <v>FLO_TAX</v>
      </c>
      <c r="D46" s="108">
        <f t="shared" si="1"/>
        <v>2017</v>
      </c>
      <c r="F46" s="109" t="str">
        <f t="shared" ref="F46:F56" si="7">"FT-"&amp;G46&amp;"*"</f>
        <v>FT-ELEOILDSL*</v>
      </c>
      <c r="G46" s="109" t="s">
        <v>243</v>
      </c>
      <c r="H46" s="130">
        <f t="shared" si="3"/>
        <v>1.8</v>
      </c>
      <c r="J46" s="130">
        <f>'Local_Prices-KZK'!E52</f>
        <v>1.8</v>
      </c>
      <c r="K46" s="109" t="str">
        <f>'Local_Prices-KZK'!B52</f>
        <v>Diesel</v>
      </c>
      <c r="L46" s="134" t="s">
        <v>196</v>
      </c>
    </row>
    <row r="47" spans="3:12" x14ac:dyDescent="0.25">
      <c r="C47" s="109" t="str">
        <f t="shared" si="4"/>
        <v>FLO_TAX</v>
      </c>
      <c r="D47" s="108">
        <f t="shared" si="1"/>
        <v>2017</v>
      </c>
      <c r="F47" s="109" t="str">
        <f t="shared" si="7"/>
        <v>FT-HETOILDSL*</v>
      </c>
      <c r="G47" s="109" t="s">
        <v>244</v>
      </c>
      <c r="H47" s="130">
        <f t="shared" si="3"/>
        <v>1.8</v>
      </c>
      <c r="J47" s="130">
        <f>J46</f>
        <v>1.8</v>
      </c>
      <c r="L47" s="134"/>
    </row>
    <row r="48" spans="3:12" x14ac:dyDescent="0.25">
      <c r="C48" s="109" t="str">
        <f t="shared" si="4"/>
        <v>FLO_TAX</v>
      </c>
      <c r="D48" s="108">
        <f t="shared" si="1"/>
        <v>2017</v>
      </c>
      <c r="F48" s="109" t="str">
        <f t="shared" si="7"/>
        <v>FT-ELEOILHFO*</v>
      </c>
      <c r="G48" s="109" t="s">
        <v>269</v>
      </c>
      <c r="H48" s="130">
        <f t="shared" si="3"/>
        <v>1.8</v>
      </c>
      <c r="J48" s="130">
        <f>'Local_Prices-KZK'!E53</f>
        <v>1.8</v>
      </c>
      <c r="K48" s="109" t="str">
        <f>'Local_Prices-KZK'!B53</f>
        <v>Fuel Oil</v>
      </c>
      <c r="L48" s="134"/>
    </row>
    <row r="49" spans="3:12" x14ac:dyDescent="0.25">
      <c r="C49" s="109" t="str">
        <f t="shared" si="4"/>
        <v>FLO_TAX</v>
      </c>
      <c r="D49" s="108">
        <f t="shared" si="1"/>
        <v>2017</v>
      </c>
      <c r="F49" s="109" t="str">
        <f t="shared" si="7"/>
        <v>FT-HETOILHFO*</v>
      </c>
      <c r="G49" s="109" t="s">
        <v>270</v>
      </c>
      <c r="H49" s="130">
        <f t="shared" si="3"/>
        <v>1.8</v>
      </c>
      <c r="J49" s="130">
        <f>J48</f>
        <v>1.8</v>
      </c>
      <c r="L49" s="134"/>
    </row>
    <row r="50" spans="3:12" x14ac:dyDescent="0.25">
      <c r="C50" s="109" t="str">
        <f t="shared" si="4"/>
        <v>FLO_TAX</v>
      </c>
      <c r="D50" s="108">
        <f t="shared" si="1"/>
        <v>2017</v>
      </c>
      <c r="F50" s="109" t="str">
        <f t="shared" si="7"/>
        <v>FT-ELEGASNAT*</v>
      </c>
      <c r="G50" s="109" t="s">
        <v>245</v>
      </c>
      <c r="H50" s="130">
        <f t="shared" si="3"/>
        <v>1.8</v>
      </c>
      <c r="J50" s="130">
        <f>'Local_Prices-KZK'!E54</f>
        <v>1.8</v>
      </c>
      <c r="K50" s="109" t="str">
        <f>'Local_Prices-KZK'!B54</f>
        <v>Natural Gas</v>
      </c>
      <c r="L50" s="134"/>
    </row>
    <row r="51" spans="3:12" x14ac:dyDescent="0.25">
      <c r="C51" s="109" t="str">
        <f t="shared" si="4"/>
        <v>FLO_TAX</v>
      </c>
      <c r="D51" s="108">
        <f t="shared" si="1"/>
        <v>2017</v>
      </c>
      <c r="F51" s="109" t="str">
        <f t="shared" si="7"/>
        <v>FT-HETGASNAT*</v>
      </c>
      <c r="G51" s="109" t="s">
        <v>246</v>
      </c>
      <c r="H51" s="130">
        <f t="shared" si="3"/>
        <v>1.8</v>
      </c>
      <c r="J51" s="130">
        <f>J50</f>
        <v>1.8</v>
      </c>
      <c r="L51" s="134"/>
    </row>
    <row r="52" spans="3:12" x14ac:dyDescent="0.25">
      <c r="C52" s="109" t="str">
        <f t="shared" si="4"/>
        <v>FLO_TAX</v>
      </c>
      <c r="D52" s="108">
        <f t="shared" si="1"/>
        <v>2017</v>
      </c>
      <c r="F52" s="109" t="str">
        <f t="shared" si="7"/>
        <v>FT-ELECOASUB*</v>
      </c>
      <c r="G52" s="109" t="s">
        <v>316</v>
      </c>
      <c r="H52" s="130">
        <f t="shared" si="3"/>
        <v>0.6</v>
      </c>
      <c r="J52" s="130">
        <f>'Local_Prices-KZK'!E55</f>
        <v>0.6</v>
      </c>
      <c r="K52" s="109" t="str">
        <f>'Local_Prices-KZK'!B55</f>
        <v>Coal</v>
      </c>
      <c r="L52" s="134"/>
    </row>
    <row r="53" spans="3:12" x14ac:dyDescent="0.25">
      <c r="C53" s="109" t="str">
        <f t="shared" si="4"/>
        <v>FLO_TAX</v>
      </c>
      <c r="D53" s="108">
        <f t="shared" si="1"/>
        <v>2017</v>
      </c>
      <c r="F53" s="109" t="str">
        <f t="shared" si="7"/>
        <v>FT-HETCOASUB*</v>
      </c>
      <c r="G53" s="109" t="s">
        <v>317</v>
      </c>
      <c r="H53" s="130">
        <f t="shared" si="3"/>
        <v>0.6</v>
      </c>
      <c r="J53" s="130">
        <f>J52</f>
        <v>0.6</v>
      </c>
      <c r="L53" s="134"/>
    </row>
    <row r="54" spans="3:12" x14ac:dyDescent="0.25">
      <c r="C54" s="109" t="str">
        <f t="shared" si="4"/>
        <v>FLO_TAX</v>
      </c>
      <c r="D54" s="108">
        <f t="shared" si="1"/>
        <v>2017</v>
      </c>
      <c r="F54" s="109" t="str">
        <f t="shared" si="7"/>
        <v>FT-ELEBIOLOG*</v>
      </c>
      <c r="G54" s="109" t="s">
        <v>247</v>
      </c>
      <c r="H54" s="130">
        <f t="shared" si="3"/>
        <v>0.6</v>
      </c>
      <c r="J54" s="130">
        <f>'Local_Prices-KZK'!E57</f>
        <v>0.6</v>
      </c>
      <c r="K54" s="109" t="str">
        <f>'Local_Prices-KZK'!B57</f>
        <v>Solid Biomass</v>
      </c>
      <c r="L54" s="134"/>
    </row>
    <row r="55" spans="3:12" x14ac:dyDescent="0.25">
      <c r="C55" s="109" t="str">
        <f t="shared" si="4"/>
        <v>FLO_TAX</v>
      </c>
      <c r="D55" s="108">
        <f t="shared" si="1"/>
        <v>2017</v>
      </c>
      <c r="F55" s="109" t="str">
        <f t="shared" si="7"/>
        <v>FT-HETBIOLOG*</v>
      </c>
      <c r="G55" s="109" t="s">
        <v>255</v>
      </c>
      <c r="H55" s="130">
        <f t="shared" si="3"/>
        <v>0.6</v>
      </c>
      <c r="J55" s="130">
        <f>J54</f>
        <v>0.6</v>
      </c>
      <c r="L55" s="134"/>
    </row>
    <row r="56" spans="3:12" x14ac:dyDescent="0.25">
      <c r="C56" s="109" t="str">
        <f t="shared" si="4"/>
        <v>FLO_TAX</v>
      </c>
      <c r="D56" s="108">
        <f t="shared" si="1"/>
        <v>2017</v>
      </c>
      <c r="F56" s="109" t="str">
        <f t="shared" si="7"/>
        <v>FT-HETBIOPLT*</v>
      </c>
      <c r="G56" s="109" t="s">
        <v>256</v>
      </c>
      <c r="H56" s="130">
        <f t="shared" si="3"/>
        <v>0.6</v>
      </c>
      <c r="J56" s="130">
        <f>J55</f>
        <v>0.6</v>
      </c>
      <c r="L56" s="134"/>
    </row>
    <row r="57" spans="3:12" x14ac:dyDescent="0.25">
      <c r="C57" s="109" t="str">
        <f t="shared" si="4"/>
        <v>FLO_TAX</v>
      </c>
      <c r="D57" s="108">
        <f t="shared" si="1"/>
        <v>2017</v>
      </c>
      <c r="F57" s="109" t="str">
        <f t="shared" ref="F57" si="8">"FT-"&amp;G57&amp;"*"</f>
        <v>FT-TRAOILDSL*</v>
      </c>
      <c r="G57" s="109" t="str">
        <f>'Local_Prices-KZK'!F58</f>
        <v>TRAOILDSL</v>
      </c>
      <c r="H57" s="130">
        <f t="shared" si="3"/>
        <v>0.5</v>
      </c>
      <c r="J57" s="130">
        <f>'Local_Prices-KZK'!E58</f>
        <v>0.5</v>
      </c>
      <c r="K57" s="109" t="str">
        <f>'Local_Prices-KZK'!B58</f>
        <v>Diesel Cars</v>
      </c>
      <c r="L57" s="134" t="s">
        <v>124</v>
      </c>
    </row>
    <row r="58" spans="3:12" x14ac:dyDescent="0.25">
      <c r="C58" s="109" t="str">
        <f t="shared" si="4"/>
        <v>FLO_TAX</v>
      </c>
      <c r="D58" s="108">
        <f t="shared" si="1"/>
        <v>2017</v>
      </c>
      <c r="F58" s="109" t="s">
        <v>232</v>
      </c>
      <c r="G58" s="109" t="str">
        <f>'Local_Prices-KZK'!F59</f>
        <v>TRAOILDSL</v>
      </c>
      <c r="H58" s="130">
        <f t="shared" si="3"/>
        <v>0.5</v>
      </c>
      <c r="J58" s="130">
        <f>'Local_Prices-KZK'!E59</f>
        <v>0.5</v>
      </c>
      <c r="K58" s="109" t="str">
        <f>'Local_Prices-KZK'!B59</f>
        <v>Diesel Rail</v>
      </c>
      <c r="L58" s="134"/>
    </row>
    <row r="59" spans="3:12" x14ac:dyDescent="0.25">
      <c r="C59" s="109" t="str">
        <f t="shared" si="4"/>
        <v>FLO_TAX</v>
      </c>
      <c r="D59" s="108">
        <f t="shared" si="1"/>
        <v>2017</v>
      </c>
      <c r="F59" s="109" t="s">
        <v>233</v>
      </c>
      <c r="G59" s="109" t="str">
        <f>'Local_Prices-KZK'!F60</f>
        <v>TRAOILDSL</v>
      </c>
      <c r="H59" s="130">
        <f t="shared" si="3"/>
        <v>0.5</v>
      </c>
      <c r="J59" s="130">
        <f>'Local_Prices-KZK'!E60</f>
        <v>0.5</v>
      </c>
      <c r="K59" s="109" t="str">
        <f>'Local_Prices-KZK'!B60</f>
        <v>Diesel Navigation</v>
      </c>
      <c r="L59" s="134"/>
    </row>
    <row r="60" spans="3:12" x14ac:dyDescent="0.25">
      <c r="C60" s="109" t="str">
        <f t="shared" si="4"/>
        <v>FLO_TAX</v>
      </c>
      <c r="D60" s="108">
        <f t="shared" si="1"/>
        <v>2017</v>
      </c>
      <c r="F60" s="109" t="str">
        <f t="shared" ref="F60:F68" si="9">"FT-"&amp;G60&amp;"*"</f>
        <v>FT-TRAOILGSL*</v>
      </c>
      <c r="G60" s="109" t="str">
        <f>'Local_Prices-KZK'!F61</f>
        <v>TRAOILGSL</v>
      </c>
      <c r="H60" s="130">
        <f t="shared" si="3"/>
        <v>1.5</v>
      </c>
      <c r="J60" s="130">
        <f>'Local_Prices-KZK'!E61</f>
        <v>1.5</v>
      </c>
      <c r="K60" s="109" t="str">
        <f>'Local_Prices-KZK'!B61</f>
        <v>Gasoline Cars</v>
      </c>
      <c r="L60" s="134"/>
    </row>
    <row r="61" spans="3:12" x14ac:dyDescent="0.25">
      <c r="C61" s="109" t="str">
        <f t="shared" si="4"/>
        <v>FLO_TAX</v>
      </c>
      <c r="D61" s="108">
        <f t="shared" si="1"/>
        <v>2017</v>
      </c>
      <c r="F61" s="109" t="str">
        <f t="shared" si="9"/>
        <v>FT-TRAOILLPG*</v>
      </c>
      <c r="G61" s="109" t="str">
        <f>'Local_Prices-KZK'!F62</f>
        <v>TRAOILLPG</v>
      </c>
      <c r="H61" s="130">
        <f t="shared" si="3"/>
        <v>1.5</v>
      </c>
      <c r="J61" s="130">
        <f>'Local_Prices-KZK'!E62</f>
        <v>1.5</v>
      </c>
      <c r="K61" s="109" t="str">
        <f>'Local_Prices-KZK'!B62</f>
        <v>LPG Cars</v>
      </c>
      <c r="L61" s="134"/>
    </row>
    <row r="62" spans="3:12" x14ac:dyDescent="0.25">
      <c r="C62" s="109" t="str">
        <f t="shared" si="4"/>
        <v>FLO_TAX</v>
      </c>
      <c r="D62" s="108">
        <f t="shared" si="1"/>
        <v>2017</v>
      </c>
      <c r="F62" s="109" t="str">
        <f t="shared" si="9"/>
        <v>FT-TRAGASNAT*</v>
      </c>
      <c r="G62" s="109" t="s">
        <v>248</v>
      </c>
      <c r="H62" s="130">
        <f t="shared" si="3"/>
        <v>0.5</v>
      </c>
      <c r="J62" s="130">
        <f>'Local_Prices-KZK'!E63</f>
        <v>0.5</v>
      </c>
      <c r="K62" s="109" t="str">
        <f>'Local_Prices-KZK'!B63</f>
        <v>CNG Cars</v>
      </c>
      <c r="L62" s="134"/>
    </row>
    <row r="63" spans="3:12" ht="12.75" customHeight="1" x14ac:dyDescent="0.25">
      <c r="C63" s="109" t="str">
        <f t="shared" si="4"/>
        <v>FLO_TAX</v>
      </c>
      <c r="D63" s="108">
        <f t="shared" si="1"/>
        <v>2017</v>
      </c>
      <c r="F63" s="109" t="str">
        <f t="shared" si="9"/>
        <v>FT-TRABIOBGS*</v>
      </c>
      <c r="G63" s="109" t="s">
        <v>249</v>
      </c>
      <c r="H63" s="130">
        <f t="shared" si="3"/>
        <v>0.5</v>
      </c>
      <c r="J63" s="130">
        <f>J62</f>
        <v>0.5</v>
      </c>
      <c r="L63" s="134"/>
    </row>
    <row r="64" spans="3:12" ht="12.75" customHeight="1" x14ac:dyDescent="0.25">
      <c r="C64" s="109" t="str">
        <f t="shared" si="4"/>
        <v>FLO_TAX</v>
      </c>
      <c r="D64" s="108">
        <f t="shared" si="1"/>
        <v>2017</v>
      </c>
      <c r="F64" s="109" t="str">
        <f t="shared" si="9"/>
        <v>FT-TRAOILKER*</v>
      </c>
      <c r="G64" s="109" t="s">
        <v>252</v>
      </c>
      <c r="H64" s="130">
        <f t="shared" si="3"/>
        <v>0.5</v>
      </c>
      <c r="J64" s="130">
        <f>'Local_Prices-KZK'!E64</f>
        <v>0.5</v>
      </c>
      <c r="K64" s="109" t="str">
        <f>'Local_Prices-KZK'!B64</f>
        <v>Kerosene</v>
      </c>
      <c r="L64" s="134"/>
    </row>
    <row r="65" spans="1:16" x14ac:dyDescent="0.25">
      <c r="C65" s="109" t="str">
        <f t="shared" si="4"/>
        <v>FLO_TAX</v>
      </c>
      <c r="D65" s="108">
        <f t="shared" si="1"/>
        <v>2017</v>
      </c>
      <c r="F65" s="109" t="str">
        <f t="shared" si="9"/>
        <v>FT-TRABIOKER*</v>
      </c>
      <c r="G65" s="109" t="s">
        <v>253</v>
      </c>
      <c r="H65" s="130">
        <f t="shared" si="3"/>
        <v>0.4</v>
      </c>
      <c r="J65" s="130">
        <f>J64*0.8</f>
        <v>0.4</v>
      </c>
      <c r="L65" s="134"/>
      <c r="N65" s="109" t="s">
        <v>318</v>
      </c>
    </row>
    <row r="66" spans="1:16" x14ac:dyDescent="0.25">
      <c r="C66" s="109" t="str">
        <f t="shared" si="4"/>
        <v>FLO_TAX</v>
      </c>
      <c r="D66" s="108">
        <f t="shared" si="1"/>
        <v>2017</v>
      </c>
      <c r="F66" s="109" t="str">
        <f t="shared" si="9"/>
        <v>FT-TRAOILGSA*</v>
      </c>
      <c r="G66" s="109" t="s">
        <v>254</v>
      </c>
      <c r="H66" s="130">
        <f t="shared" si="3"/>
        <v>0.5</v>
      </c>
      <c r="J66" s="130">
        <f>'Local_Prices-KZK'!E66</f>
        <v>0.5</v>
      </c>
      <c r="L66" s="134"/>
    </row>
    <row r="67" spans="1:16" x14ac:dyDescent="0.25">
      <c r="C67" s="109" t="str">
        <f t="shared" si="4"/>
        <v>FLO_TAX</v>
      </c>
      <c r="D67" s="108">
        <f t="shared" si="1"/>
        <v>2017</v>
      </c>
      <c r="F67" s="109" t="str">
        <f t="shared" si="9"/>
        <v>FT-TRABIOE**</v>
      </c>
      <c r="G67" s="109" t="str">
        <f>'Local_Prices-KZK'!F65</f>
        <v>TRABIOE*</v>
      </c>
      <c r="H67" s="130">
        <f t="shared" si="3"/>
        <v>0.5</v>
      </c>
      <c r="J67" s="130">
        <f>'Local_Prices-KZK'!E65</f>
        <v>0.5</v>
      </c>
      <c r="L67" s="134"/>
    </row>
    <row r="68" spans="1:16" x14ac:dyDescent="0.25">
      <c r="C68" s="109" t="str">
        <f t="shared" si="4"/>
        <v>FLO_TAX</v>
      </c>
      <c r="D68" s="108">
        <f t="shared" si="1"/>
        <v>2017</v>
      </c>
      <c r="F68" s="109" t="str">
        <f t="shared" si="9"/>
        <v>FT-TRABIODSL**</v>
      </c>
      <c r="G68" s="109" t="s">
        <v>250</v>
      </c>
      <c r="H68" s="130">
        <f t="shared" si="3"/>
        <v>0.5</v>
      </c>
      <c r="J68" s="130">
        <f>'Local_Prices-KZK'!E66</f>
        <v>0.5</v>
      </c>
      <c r="L68" s="134"/>
    </row>
    <row r="69" spans="1:16" x14ac:dyDescent="0.25">
      <c r="C69" s="109" t="str">
        <f t="shared" ref="C69:C100" si="10">IF(J69=0,"*",IF(J69&lt;0,"FLO_SUB","FLO_TAX"))</f>
        <v>FLO_TAX</v>
      </c>
      <c r="D69" s="108">
        <f t="shared" si="1"/>
        <v>2017</v>
      </c>
      <c r="F69" s="109" t="str">
        <f t="shared" ref="F69:F73" si="11">"FT-"&amp;G69&amp;"*"</f>
        <v>FT-TRABIOB20*</v>
      </c>
      <c r="G69" s="109" t="s">
        <v>251</v>
      </c>
      <c r="H69" s="130">
        <f t="shared" si="3"/>
        <v>0.5</v>
      </c>
      <c r="J69" s="130">
        <f>J68</f>
        <v>0.5</v>
      </c>
      <c r="L69" s="134"/>
    </row>
    <row r="70" spans="1:16" x14ac:dyDescent="0.25">
      <c r="C70" s="109" t="str">
        <f t="shared" si="10"/>
        <v>FLO_TAX</v>
      </c>
      <c r="D70" s="108">
        <f t="shared" si="1"/>
        <v>2017</v>
      </c>
      <c r="E70" s="109" t="str">
        <f>'Local_Prices-KZK'!F67</f>
        <v>TRAELC</v>
      </c>
      <c r="F70" s="174" t="s">
        <v>234</v>
      </c>
      <c r="G70" s="109" t="str">
        <f t="shared" ref="G70" si="12">E70</f>
        <v>TRAELC</v>
      </c>
      <c r="H70" s="130">
        <f t="shared" ref="H70:H73" si="13">J70</f>
        <v>7.8000000000000007</v>
      </c>
      <c r="J70" s="130">
        <f>'Local_Prices-KZK'!E67</f>
        <v>7.8000000000000007</v>
      </c>
      <c r="K70" s="109" t="str">
        <f>'Local_Prices-KZK'!B67</f>
        <v>Electricity-Private</v>
      </c>
      <c r="L70" s="134"/>
    </row>
    <row r="71" spans="1:16" x14ac:dyDescent="0.25">
      <c r="C71" s="109" t="str">
        <f t="shared" si="10"/>
        <v>FLO_TAX</v>
      </c>
      <c r="D71" s="108">
        <f t="shared" si="1"/>
        <v>2017</v>
      </c>
      <c r="F71" s="109" t="str">
        <f t="shared" si="11"/>
        <v>FT-TRAELC*</v>
      </c>
      <c r="G71" s="109" t="str">
        <f>'Local_Prices-KZK'!F68</f>
        <v>TRAELC</v>
      </c>
      <c r="H71" s="130">
        <f t="shared" si="13"/>
        <v>4</v>
      </c>
      <c r="J71" s="130">
        <f>'Local_Prices-KZK'!E68</f>
        <v>4</v>
      </c>
      <c r="K71" s="109" t="str">
        <f>'Local_Prices-KZK'!B68</f>
        <v>Electricity-Rail</v>
      </c>
      <c r="L71" s="134"/>
    </row>
    <row r="72" spans="1:16" x14ac:dyDescent="0.25">
      <c r="C72" s="109" t="str">
        <f t="shared" si="10"/>
        <v>FLO_TAX</v>
      </c>
      <c r="D72" s="108">
        <f t="shared" si="1"/>
        <v>2017</v>
      </c>
      <c r="F72" s="109" t="str">
        <f>"FT-"&amp;LEFT(G72,5)&amp;"*"</f>
        <v>FT-TRAH2*</v>
      </c>
      <c r="G72" s="109" t="s">
        <v>273</v>
      </c>
      <c r="H72" s="130">
        <f t="shared" si="13"/>
        <v>0.5</v>
      </c>
      <c r="J72" s="130">
        <f>'Local_Prices-KZK'!E63</f>
        <v>0.5</v>
      </c>
      <c r="L72" s="134"/>
    </row>
    <row r="73" spans="1:16" x14ac:dyDescent="0.25">
      <c r="C73" s="109" t="str">
        <f t="shared" si="10"/>
        <v>FLO_TAX</v>
      </c>
      <c r="D73" s="108">
        <f t="shared" si="1"/>
        <v>2017</v>
      </c>
      <c r="F73" s="109" t="str">
        <f t="shared" si="11"/>
        <v>FT-AGRELC*</v>
      </c>
      <c r="G73" s="109" t="str">
        <f>'Local_Prices-KZK'!F69</f>
        <v>AGRELC</v>
      </c>
      <c r="H73" s="130">
        <f t="shared" si="13"/>
        <v>7.8000000000000007</v>
      </c>
      <c r="J73" s="130">
        <f>'Local_Prices-KZK'!E69</f>
        <v>7.8000000000000007</v>
      </c>
      <c r="K73" s="109" t="str">
        <f>'Local_Prices-KZK'!B69</f>
        <v>Electricity</v>
      </c>
      <c r="L73" s="134" t="s">
        <v>237</v>
      </c>
    </row>
    <row r="74" spans="1:16" x14ac:dyDescent="0.25">
      <c r="C74" s="109" t="str">
        <f t="shared" si="10"/>
        <v>FLO_TAX</v>
      </c>
      <c r="D74" s="108">
        <f t="shared" si="1"/>
        <v>2017</v>
      </c>
      <c r="F74" s="109" t="str">
        <f t="shared" ref="F74:F76" si="14">"FT-"&amp;G74&amp;"*"</f>
        <v>FT-AGROILDSL*</v>
      </c>
      <c r="G74" s="109" t="str">
        <f>'Local_Prices-KZK'!F70</f>
        <v>AGROILDSL</v>
      </c>
      <c r="H74" s="130">
        <f t="shared" ref="H74:H137" si="15">J74</f>
        <v>0.5</v>
      </c>
      <c r="J74" s="130">
        <f>'Local_Prices-KZK'!E70</f>
        <v>0.5</v>
      </c>
      <c r="K74" s="109" t="str">
        <f>'Local_Prices-KZK'!B70</f>
        <v>Diesel</v>
      </c>
      <c r="L74" s="117"/>
    </row>
    <row r="75" spans="1:16" x14ac:dyDescent="0.25">
      <c r="C75" s="109" t="str">
        <f t="shared" si="10"/>
        <v>FLO_TAX</v>
      </c>
      <c r="D75" s="108">
        <f t="shared" si="1"/>
        <v>2017</v>
      </c>
      <c r="F75" s="109" t="str">
        <f t="shared" si="14"/>
        <v>FT-AGRGASNAT*</v>
      </c>
      <c r="G75" s="109" t="str">
        <f>'Local_Prices-KZK'!F71</f>
        <v>AGRGASNAT</v>
      </c>
      <c r="H75" s="130">
        <f t="shared" si="15"/>
        <v>3.3</v>
      </c>
      <c r="J75" s="130">
        <f>'Local_Prices-KZK'!E71</f>
        <v>3.3</v>
      </c>
      <c r="K75" s="109" t="str">
        <f>'Local_Prices-KZK'!B71</f>
        <v>Natural Gas</v>
      </c>
      <c r="L75" s="117"/>
    </row>
    <row r="76" spans="1:16" x14ac:dyDescent="0.25">
      <c r="A76" s="169"/>
      <c r="B76" s="169"/>
      <c r="C76" s="109" t="str">
        <f t="shared" si="10"/>
        <v>FLO_TAX</v>
      </c>
      <c r="D76" s="151">
        <f t="shared" si="1"/>
        <v>2017</v>
      </c>
      <c r="E76" s="169"/>
      <c r="F76" s="169" t="str">
        <f t="shared" si="14"/>
        <v>FT-AGRCOABIC*</v>
      </c>
      <c r="G76" s="169" t="str">
        <f>'Local_Prices-KZK'!F72</f>
        <v>AGRCOABIC</v>
      </c>
      <c r="H76" s="175">
        <f t="shared" si="15"/>
        <v>1.0999999999999999</v>
      </c>
      <c r="I76" s="169"/>
      <c r="J76" s="175">
        <f>'Local_Prices-KZK'!E72</f>
        <v>1.0999999999999999</v>
      </c>
      <c r="K76" s="169" t="str">
        <f>'Local_Prices-KZK'!B72</f>
        <v>Other bituminous</v>
      </c>
      <c r="L76" s="169"/>
      <c r="M76" s="169"/>
      <c r="N76" s="169"/>
      <c r="O76" s="169"/>
      <c r="P76" s="169"/>
    </row>
    <row r="77" spans="1:16" x14ac:dyDescent="0.25">
      <c r="C77" s="109" t="str">
        <f t="shared" si="10"/>
        <v>FLO_TAX</v>
      </c>
      <c r="D77" s="108">
        <f t="shared" ref="D77:D108" si="16">END_YEAR</f>
        <v>2050</v>
      </c>
      <c r="F77" s="109" t="str">
        <f t="shared" ref="F77:G92" si="17">F5</f>
        <v>FT-RSDOILDSL*</v>
      </c>
      <c r="G77" s="109" t="str">
        <f t="shared" si="17"/>
        <v>RSDOILDSL</v>
      </c>
      <c r="H77" s="130">
        <f t="shared" si="15"/>
        <v>3.4499999999999997</v>
      </c>
      <c r="J77" s="176">
        <f>J5*O77</f>
        <v>3.4499999999999997</v>
      </c>
      <c r="K77" s="109" t="str">
        <f t="shared" ref="K77:K92" si="18">K5</f>
        <v>Diesel</v>
      </c>
      <c r="O77" s="109">
        <v>1.5</v>
      </c>
      <c r="P77" s="109" t="s">
        <v>343</v>
      </c>
    </row>
    <row r="78" spans="1:16" x14ac:dyDescent="0.25">
      <c r="C78" s="109" t="str">
        <f t="shared" si="10"/>
        <v>FLO_TAX</v>
      </c>
      <c r="D78" s="108">
        <f t="shared" si="16"/>
        <v>2050</v>
      </c>
      <c r="F78" s="109" t="str">
        <f t="shared" si="17"/>
        <v>FT-RSDOILLPG*</v>
      </c>
      <c r="G78" s="109" t="str">
        <f t="shared" si="17"/>
        <v>RSDOILLPG</v>
      </c>
      <c r="H78" s="130">
        <f t="shared" si="15"/>
        <v>3.4499999999999997</v>
      </c>
      <c r="J78" s="176">
        <f t="shared" ref="J78:J141" si="19">J6*O78</f>
        <v>3.4499999999999997</v>
      </c>
      <c r="K78" s="109" t="str">
        <f t="shared" si="18"/>
        <v>LPG</v>
      </c>
      <c r="O78" s="109">
        <v>1.5</v>
      </c>
    </row>
    <row r="79" spans="1:16" x14ac:dyDescent="0.25">
      <c r="C79" s="109" t="str">
        <f t="shared" si="10"/>
        <v>FLO_TAX</v>
      </c>
      <c r="D79" s="108">
        <f t="shared" si="16"/>
        <v>2050</v>
      </c>
      <c r="F79" s="109" t="str">
        <f t="shared" si="17"/>
        <v>FT-RSDGASNAT*</v>
      </c>
      <c r="G79" s="109" t="str">
        <f t="shared" si="17"/>
        <v>RSDGASNAT</v>
      </c>
      <c r="H79" s="130">
        <f t="shared" si="15"/>
        <v>3.4499999999999997</v>
      </c>
      <c r="J79" s="176">
        <f t="shared" si="19"/>
        <v>3.4499999999999997</v>
      </c>
      <c r="K79" s="109" t="str">
        <f t="shared" si="18"/>
        <v>Natural Gas</v>
      </c>
      <c r="O79" s="109">
        <v>1.5</v>
      </c>
    </row>
    <row r="80" spans="1:16" x14ac:dyDescent="0.25">
      <c r="C80" s="109" t="str">
        <f t="shared" si="10"/>
        <v>FLO_TAX</v>
      </c>
      <c r="D80" s="108">
        <f t="shared" si="16"/>
        <v>2050</v>
      </c>
      <c r="F80" s="109" t="str">
        <f t="shared" si="17"/>
        <v>FT-RSDCOABIC*</v>
      </c>
      <c r="G80" s="109" t="str">
        <f t="shared" si="17"/>
        <v>RSDCOABIC</v>
      </c>
      <c r="H80" s="130">
        <f t="shared" si="15"/>
        <v>1.1499999999999999</v>
      </c>
      <c r="J80" s="176">
        <f t="shared" si="19"/>
        <v>1.1499999999999999</v>
      </c>
      <c r="K80" s="109" t="str">
        <f t="shared" si="18"/>
        <v>Coal</v>
      </c>
      <c r="O80" s="109">
        <v>1.5</v>
      </c>
    </row>
    <row r="81" spans="3:15" x14ac:dyDescent="0.25">
      <c r="C81" s="109" t="str">
        <f t="shared" si="10"/>
        <v>FLO_TAX</v>
      </c>
      <c r="D81" s="108">
        <f t="shared" si="16"/>
        <v>2050</v>
      </c>
      <c r="F81" s="109" t="str">
        <f t="shared" si="17"/>
        <v>FT-RSDCOABCO*</v>
      </c>
      <c r="G81" s="109" t="str">
        <f t="shared" si="17"/>
        <v>RSDCOABCO</v>
      </c>
      <c r="H81" s="130">
        <f t="shared" si="15"/>
        <v>1.1499999999999999</v>
      </c>
      <c r="J81" s="176">
        <f t="shared" si="19"/>
        <v>1.1499999999999999</v>
      </c>
      <c r="K81" s="109" t="str">
        <f t="shared" si="18"/>
        <v>Lignite</v>
      </c>
      <c r="O81" s="109">
        <v>1.5</v>
      </c>
    </row>
    <row r="82" spans="3:15" x14ac:dyDescent="0.25">
      <c r="C82" s="109" t="str">
        <f t="shared" si="10"/>
        <v>*</v>
      </c>
      <c r="D82" s="108">
        <f t="shared" si="16"/>
        <v>2050</v>
      </c>
      <c r="F82" s="109" t="str">
        <f t="shared" si="17"/>
        <v>FT-RSDBIOCHR*</v>
      </c>
      <c r="G82" s="109" t="str">
        <f t="shared" si="17"/>
        <v>RSDBIOCHR</v>
      </c>
      <c r="H82" s="130">
        <v>0</v>
      </c>
      <c r="J82" s="176">
        <f t="shared" si="19"/>
        <v>0</v>
      </c>
      <c r="K82" s="109" t="str">
        <f t="shared" si="18"/>
        <v>CHR</v>
      </c>
      <c r="O82" s="109">
        <v>1.5</v>
      </c>
    </row>
    <row r="83" spans="3:15" x14ac:dyDescent="0.25">
      <c r="C83" s="109" t="str">
        <f t="shared" si="10"/>
        <v>*</v>
      </c>
      <c r="D83" s="108">
        <f t="shared" si="16"/>
        <v>2050</v>
      </c>
      <c r="F83" s="109" t="str">
        <f t="shared" si="17"/>
        <v>FT-RSDBIOLOG*</v>
      </c>
      <c r="G83" s="109" t="str">
        <f t="shared" si="17"/>
        <v>RSDBIOLOG</v>
      </c>
      <c r="H83" s="130">
        <f t="shared" si="15"/>
        <v>0</v>
      </c>
      <c r="J83" s="176">
        <f t="shared" si="19"/>
        <v>0</v>
      </c>
      <c r="K83" s="109" t="str">
        <f t="shared" si="18"/>
        <v>Solid Biomass</v>
      </c>
      <c r="O83" s="109">
        <v>1.5</v>
      </c>
    </row>
    <row r="84" spans="3:15" x14ac:dyDescent="0.25">
      <c r="C84" s="109" t="str">
        <f t="shared" si="10"/>
        <v>*</v>
      </c>
      <c r="D84" s="108">
        <f t="shared" si="16"/>
        <v>2050</v>
      </c>
      <c r="F84" s="109" t="str">
        <f t="shared" si="17"/>
        <v>FT-RSDBIOPLT*</v>
      </c>
      <c r="G84" s="109" t="str">
        <f t="shared" si="17"/>
        <v>RSDBIOPLT</v>
      </c>
      <c r="H84" s="130">
        <f t="shared" si="15"/>
        <v>0</v>
      </c>
      <c r="J84" s="176">
        <f t="shared" si="19"/>
        <v>0</v>
      </c>
      <c r="K84" s="109" t="str">
        <f t="shared" si="18"/>
        <v>Pellets</v>
      </c>
      <c r="O84" s="109">
        <v>1.5</v>
      </c>
    </row>
    <row r="85" spans="3:15" x14ac:dyDescent="0.25">
      <c r="C85" s="109" t="str">
        <f t="shared" si="10"/>
        <v>FLO_TAX</v>
      </c>
      <c r="D85" s="108">
        <f t="shared" si="16"/>
        <v>2050</v>
      </c>
      <c r="F85" s="109" t="str">
        <f t="shared" si="17"/>
        <v>FT-RSDLTH*</v>
      </c>
      <c r="G85" s="109" t="str">
        <f t="shared" si="17"/>
        <v>RSDLTH</v>
      </c>
      <c r="H85" s="130">
        <f t="shared" si="15"/>
        <v>0.44999999999999973</v>
      </c>
      <c r="J85" s="176">
        <f t="shared" si="19"/>
        <v>0.44999999999999973</v>
      </c>
      <c r="K85" s="109" t="str">
        <f t="shared" si="18"/>
        <v>Heat</v>
      </c>
      <c r="O85" s="109">
        <v>1.5</v>
      </c>
    </row>
    <row r="86" spans="3:15" x14ac:dyDescent="0.25">
      <c r="C86" s="109" t="str">
        <f t="shared" si="10"/>
        <v>FLO_TAX</v>
      </c>
      <c r="D86" s="108">
        <f t="shared" si="16"/>
        <v>2050</v>
      </c>
      <c r="F86" s="109" t="str">
        <f t="shared" si="17"/>
        <v>FT-RSDELC*</v>
      </c>
      <c r="G86" s="109" t="str">
        <f t="shared" si="17"/>
        <v>RSDELC</v>
      </c>
      <c r="H86" s="130">
        <f t="shared" si="15"/>
        <v>9.75</v>
      </c>
      <c r="J86" s="176">
        <f t="shared" si="19"/>
        <v>9.75</v>
      </c>
      <c r="K86" s="109" t="str">
        <f t="shared" si="18"/>
        <v>Electricity</v>
      </c>
      <c r="O86" s="109">
        <v>1.5</v>
      </c>
    </row>
    <row r="87" spans="3:15" x14ac:dyDescent="0.25">
      <c r="C87" s="109" t="str">
        <f t="shared" si="10"/>
        <v>FLO_TAX</v>
      </c>
      <c r="D87" s="108">
        <f t="shared" si="16"/>
        <v>2050</v>
      </c>
      <c r="F87" s="109" t="str">
        <f t="shared" si="17"/>
        <v>FT-TEROILDSL*</v>
      </c>
      <c r="G87" s="109" t="str">
        <f t="shared" si="17"/>
        <v>TEROILDSL</v>
      </c>
      <c r="H87" s="130">
        <f t="shared" si="15"/>
        <v>4.9499999999999993</v>
      </c>
      <c r="J87" s="176">
        <f t="shared" si="19"/>
        <v>4.9499999999999993</v>
      </c>
      <c r="K87" s="109" t="str">
        <f t="shared" si="18"/>
        <v>Diesel</v>
      </c>
      <c r="O87" s="109">
        <v>1.5</v>
      </c>
    </row>
    <row r="88" spans="3:15" x14ac:dyDescent="0.25">
      <c r="C88" s="109" t="str">
        <f t="shared" si="10"/>
        <v>FLO_TAX</v>
      </c>
      <c r="D88" s="108">
        <f t="shared" si="16"/>
        <v>2050</v>
      </c>
      <c r="F88" s="109" t="str">
        <f t="shared" si="17"/>
        <v>FT-TEROILHFO*</v>
      </c>
      <c r="G88" s="109" t="str">
        <f t="shared" si="17"/>
        <v>TEROILHFO</v>
      </c>
      <c r="H88" s="130">
        <f t="shared" si="15"/>
        <v>4.9499999999999993</v>
      </c>
      <c r="J88" s="176">
        <f t="shared" si="19"/>
        <v>4.9499999999999993</v>
      </c>
      <c r="K88" s="109" t="str">
        <f t="shared" si="18"/>
        <v>HFO</v>
      </c>
      <c r="O88" s="109">
        <v>1.5</v>
      </c>
    </row>
    <row r="89" spans="3:15" x14ac:dyDescent="0.25">
      <c r="C89" s="109" t="str">
        <f t="shared" si="10"/>
        <v>FLO_TAX</v>
      </c>
      <c r="D89" s="108">
        <f t="shared" si="16"/>
        <v>2050</v>
      </c>
      <c r="F89" s="109" t="str">
        <f t="shared" si="17"/>
        <v>FT-TEROILLPG*</v>
      </c>
      <c r="G89" s="109" t="str">
        <f t="shared" si="17"/>
        <v>TEROILLPG</v>
      </c>
      <c r="H89" s="130">
        <f t="shared" si="15"/>
        <v>4.9499999999999993</v>
      </c>
      <c r="J89" s="176">
        <f t="shared" si="19"/>
        <v>4.9499999999999993</v>
      </c>
      <c r="K89" s="109" t="str">
        <f t="shared" si="18"/>
        <v>LPG</v>
      </c>
      <c r="O89" s="109">
        <v>1.5</v>
      </c>
    </row>
    <row r="90" spans="3:15" x14ac:dyDescent="0.25">
      <c r="C90" s="109" t="str">
        <f t="shared" si="10"/>
        <v>FLO_TAX</v>
      </c>
      <c r="D90" s="108">
        <f t="shared" si="16"/>
        <v>2050</v>
      </c>
      <c r="F90" s="109" t="str">
        <f t="shared" si="17"/>
        <v>FT-TERGASNAT*</v>
      </c>
      <c r="G90" s="109" t="str">
        <f t="shared" si="17"/>
        <v>TERGASNAT</v>
      </c>
      <c r="H90" s="130">
        <f t="shared" si="15"/>
        <v>4.9499999999999993</v>
      </c>
      <c r="J90" s="176">
        <f t="shared" si="19"/>
        <v>4.9499999999999993</v>
      </c>
      <c r="K90" s="109" t="str">
        <f t="shared" si="18"/>
        <v>Natural Gas</v>
      </c>
      <c r="O90" s="109">
        <v>1.5</v>
      </c>
    </row>
    <row r="91" spans="3:15" x14ac:dyDescent="0.25">
      <c r="C91" s="109" t="str">
        <f t="shared" si="10"/>
        <v>FLO_TAX</v>
      </c>
      <c r="D91" s="108">
        <f t="shared" si="16"/>
        <v>2050</v>
      </c>
      <c r="F91" s="109" t="str">
        <f t="shared" si="17"/>
        <v>FT-TERCOABIC*</v>
      </c>
      <c r="G91" s="109" t="str">
        <f t="shared" si="17"/>
        <v>TERCOABIC</v>
      </c>
      <c r="H91" s="130">
        <f t="shared" si="15"/>
        <v>1.65</v>
      </c>
      <c r="J91" s="176">
        <f t="shared" si="19"/>
        <v>1.65</v>
      </c>
      <c r="K91" s="109" t="str">
        <f t="shared" si="18"/>
        <v>Coal</v>
      </c>
      <c r="O91" s="109">
        <v>1.5</v>
      </c>
    </row>
    <row r="92" spans="3:15" x14ac:dyDescent="0.25">
      <c r="C92" s="109" t="str">
        <f t="shared" si="10"/>
        <v>FLO_TAX</v>
      </c>
      <c r="D92" s="108">
        <f t="shared" si="16"/>
        <v>2050</v>
      </c>
      <c r="F92" s="109" t="str">
        <f t="shared" si="17"/>
        <v>FT-TERCOABCO*</v>
      </c>
      <c r="G92" s="109" t="str">
        <f t="shared" si="17"/>
        <v>TERCOABCO</v>
      </c>
      <c r="H92" s="130">
        <f t="shared" si="15"/>
        <v>1.65</v>
      </c>
      <c r="J92" s="176">
        <f t="shared" si="19"/>
        <v>1.65</v>
      </c>
      <c r="K92" s="109" t="str">
        <f t="shared" si="18"/>
        <v>Lignite</v>
      </c>
      <c r="O92" s="109">
        <v>1.5</v>
      </c>
    </row>
    <row r="93" spans="3:15" x14ac:dyDescent="0.25">
      <c r="C93" s="109" t="str">
        <f t="shared" si="10"/>
        <v>*</v>
      </c>
      <c r="D93" s="108">
        <f t="shared" si="16"/>
        <v>2050</v>
      </c>
      <c r="F93" s="109" t="str">
        <f t="shared" ref="F93:G108" si="20">F21</f>
        <v>FT-TERBIOCHR*</v>
      </c>
      <c r="G93" s="109" t="str">
        <f t="shared" si="20"/>
        <v>TERBIOCHR</v>
      </c>
      <c r="H93" s="130">
        <f t="shared" si="15"/>
        <v>0</v>
      </c>
      <c r="J93" s="176">
        <f t="shared" si="19"/>
        <v>0</v>
      </c>
      <c r="K93" s="109" t="str">
        <f t="shared" ref="K93:K95" si="21">K21</f>
        <v>CHR</v>
      </c>
      <c r="O93" s="109">
        <v>1.5</v>
      </c>
    </row>
    <row r="94" spans="3:15" x14ac:dyDescent="0.25">
      <c r="C94" s="109" t="str">
        <f t="shared" si="10"/>
        <v>*</v>
      </c>
      <c r="D94" s="108">
        <f t="shared" si="16"/>
        <v>2050</v>
      </c>
      <c r="F94" s="109" t="str">
        <f t="shared" si="20"/>
        <v>FT-TERBIOLOG*</v>
      </c>
      <c r="G94" s="109" t="str">
        <f t="shared" si="20"/>
        <v>TERBIOLOG</v>
      </c>
      <c r="H94" s="130">
        <f t="shared" si="15"/>
        <v>0</v>
      </c>
      <c r="J94" s="176">
        <f t="shared" si="19"/>
        <v>0</v>
      </c>
      <c r="K94" s="109" t="str">
        <f t="shared" si="21"/>
        <v>Solid Biomass</v>
      </c>
      <c r="O94" s="109">
        <v>1.5</v>
      </c>
    </row>
    <row r="95" spans="3:15" x14ac:dyDescent="0.25">
      <c r="C95" s="109" t="str">
        <f t="shared" si="10"/>
        <v>*</v>
      </c>
      <c r="D95" s="108">
        <f t="shared" si="16"/>
        <v>2050</v>
      </c>
      <c r="F95" s="109" t="str">
        <f t="shared" si="20"/>
        <v>FT-TERBIOPLT*</v>
      </c>
      <c r="G95" s="109" t="str">
        <f t="shared" si="20"/>
        <v>TERBIOPLT</v>
      </c>
      <c r="H95" s="130">
        <f t="shared" si="15"/>
        <v>0</v>
      </c>
      <c r="J95" s="176">
        <f t="shared" si="19"/>
        <v>0</v>
      </c>
      <c r="K95" s="109" t="str">
        <f t="shared" si="21"/>
        <v>Pellets</v>
      </c>
      <c r="O95" s="109">
        <v>1.5</v>
      </c>
    </row>
    <row r="96" spans="3:15" x14ac:dyDescent="0.25">
      <c r="C96" s="109" t="str">
        <f t="shared" si="10"/>
        <v>*</v>
      </c>
      <c r="D96" s="108">
        <f t="shared" si="16"/>
        <v>2050</v>
      </c>
      <c r="F96" s="109" t="str">
        <f t="shared" si="20"/>
        <v>FT-0*</v>
      </c>
      <c r="G96" s="109">
        <f t="shared" si="20"/>
        <v>0</v>
      </c>
      <c r="H96" s="130">
        <f t="shared" si="15"/>
        <v>0</v>
      </c>
      <c r="J96" s="176">
        <f t="shared" si="19"/>
        <v>0</v>
      </c>
      <c r="O96" s="109">
        <v>1.5</v>
      </c>
    </row>
    <row r="97" spans="3:15" x14ac:dyDescent="0.25">
      <c r="C97" s="109" t="str">
        <f t="shared" si="10"/>
        <v>FLO_TAX</v>
      </c>
      <c r="D97" s="108">
        <f t="shared" si="16"/>
        <v>2050</v>
      </c>
      <c r="F97" s="109" t="str">
        <f t="shared" si="20"/>
        <v>FT-TERLTH*</v>
      </c>
      <c r="G97" s="109" t="str">
        <f t="shared" si="20"/>
        <v>TERLTH</v>
      </c>
      <c r="H97" s="130">
        <f t="shared" si="15"/>
        <v>0.75</v>
      </c>
      <c r="J97" s="176">
        <f t="shared" si="19"/>
        <v>0.75</v>
      </c>
      <c r="K97" s="109" t="str">
        <f t="shared" ref="K97:K100" si="22">K25</f>
        <v>Heat</v>
      </c>
      <c r="O97" s="109">
        <v>1.5</v>
      </c>
    </row>
    <row r="98" spans="3:15" x14ac:dyDescent="0.25">
      <c r="C98" s="109" t="str">
        <f t="shared" si="10"/>
        <v>FLO_TAX</v>
      </c>
      <c r="D98" s="108">
        <f t="shared" si="16"/>
        <v>2050</v>
      </c>
      <c r="F98" s="109" t="str">
        <f t="shared" si="20"/>
        <v>FT-TERELC*</v>
      </c>
      <c r="G98" s="109" t="str">
        <f t="shared" si="20"/>
        <v>TERELC</v>
      </c>
      <c r="H98" s="130">
        <f t="shared" si="15"/>
        <v>11.700000000000001</v>
      </c>
      <c r="J98" s="176">
        <f t="shared" si="19"/>
        <v>11.700000000000001</v>
      </c>
      <c r="K98" s="109" t="str">
        <f t="shared" si="22"/>
        <v>Electricity</v>
      </c>
      <c r="O98" s="109">
        <v>1.5</v>
      </c>
    </row>
    <row r="99" spans="3:15" x14ac:dyDescent="0.25">
      <c r="C99" s="109" t="str">
        <f t="shared" si="10"/>
        <v>FLO_TAX</v>
      </c>
      <c r="D99" s="108">
        <f t="shared" si="16"/>
        <v>2050</v>
      </c>
      <c r="F99" s="109" t="str">
        <f t="shared" si="20"/>
        <v>FT-INDOILDSL*</v>
      </c>
      <c r="G99" s="109" t="str">
        <f t="shared" si="20"/>
        <v>INDOILDSL</v>
      </c>
      <c r="H99" s="130">
        <f t="shared" si="15"/>
        <v>6.1499999999999995</v>
      </c>
      <c r="J99" s="176">
        <f t="shared" si="19"/>
        <v>6.1499999999999995</v>
      </c>
      <c r="K99" s="109" t="str">
        <f t="shared" si="22"/>
        <v>Diesel</v>
      </c>
      <c r="O99" s="109">
        <v>1.5</v>
      </c>
    </row>
    <row r="100" spans="3:15" x14ac:dyDescent="0.25">
      <c r="C100" s="109" t="str">
        <f t="shared" si="10"/>
        <v>FLO_TAX</v>
      </c>
      <c r="D100" s="108">
        <f t="shared" si="16"/>
        <v>2050</v>
      </c>
      <c r="F100" s="109" t="str">
        <f t="shared" si="20"/>
        <v>FT-INDOILHFO*</v>
      </c>
      <c r="G100" s="109" t="str">
        <f t="shared" si="20"/>
        <v>INDOILHFO</v>
      </c>
      <c r="H100" s="130">
        <f t="shared" si="15"/>
        <v>6.1499999999999995</v>
      </c>
      <c r="J100" s="176">
        <f t="shared" si="19"/>
        <v>6.1499999999999995</v>
      </c>
      <c r="K100" s="109" t="str">
        <f t="shared" si="22"/>
        <v>Fuel Oil</v>
      </c>
      <c r="O100" s="109">
        <v>1.5</v>
      </c>
    </row>
    <row r="101" spans="3:15" x14ac:dyDescent="0.25">
      <c r="C101" s="109" t="str">
        <f t="shared" ref="C101:C132" si="23">IF(J101=0,"*",IF(J101&lt;0,"FLO_SUB","FLO_TAX"))</f>
        <v>FLO_TAX</v>
      </c>
      <c r="D101" s="108">
        <f t="shared" si="16"/>
        <v>2050</v>
      </c>
      <c r="F101" s="109" t="str">
        <f t="shared" si="20"/>
        <v>FT-INDOILOTH*</v>
      </c>
      <c r="G101" s="109" t="str">
        <f t="shared" si="20"/>
        <v>INDOILOTH</v>
      </c>
      <c r="H101" s="130">
        <f t="shared" si="15"/>
        <v>6.1499999999999995</v>
      </c>
      <c r="J101" s="176">
        <f t="shared" si="19"/>
        <v>6.1499999999999995</v>
      </c>
      <c r="O101" s="109">
        <v>1.5</v>
      </c>
    </row>
    <row r="102" spans="3:15" x14ac:dyDescent="0.25">
      <c r="C102" s="109" t="str">
        <f t="shared" si="23"/>
        <v>FLO_TAX</v>
      </c>
      <c r="D102" s="108">
        <f t="shared" si="16"/>
        <v>2050</v>
      </c>
      <c r="F102" s="109" t="str">
        <f t="shared" si="20"/>
        <v>FT-INDOILLPG*</v>
      </c>
      <c r="G102" s="109" t="str">
        <f t="shared" si="20"/>
        <v>INDOILLPG</v>
      </c>
      <c r="H102" s="130">
        <f t="shared" si="15"/>
        <v>6.1499999999999995</v>
      </c>
      <c r="J102" s="176">
        <f t="shared" si="19"/>
        <v>6.1499999999999995</v>
      </c>
      <c r="K102" s="109" t="str">
        <f t="shared" ref="K102:K110" si="24">K30</f>
        <v>LPG</v>
      </c>
      <c r="O102" s="109">
        <v>1.5</v>
      </c>
    </row>
    <row r="103" spans="3:15" x14ac:dyDescent="0.25">
      <c r="C103" s="109" t="str">
        <f t="shared" si="23"/>
        <v>FLO_TAX</v>
      </c>
      <c r="D103" s="108">
        <f t="shared" si="16"/>
        <v>2050</v>
      </c>
      <c r="F103" s="109" t="str">
        <f t="shared" si="20"/>
        <v>FT-INDOILGSL*</v>
      </c>
      <c r="G103" s="109" t="str">
        <f t="shared" si="20"/>
        <v>INDOILGSL</v>
      </c>
      <c r="H103" s="130">
        <f t="shared" si="15"/>
        <v>6.1499999999999995</v>
      </c>
      <c r="J103" s="176">
        <f t="shared" si="19"/>
        <v>6.1499999999999995</v>
      </c>
      <c r="K103" s="109" t="str">
        <f t="shared" si="24"/>
        <v>Gasoline</v>
      </c>
      <c r="O103" s="109">
        <v>1.5</v>
      </c>
    </row>
    <row r="104" spans="3:15" x14ac:dyDescent="0.25">
      <c r="C104" s="109" t="str">
        <f t="shared" si="23"/>
        <v>FLO_TAX</v>
      </c>
      <c r="D104" s="108">
        <f t="shared" si="16"/>
        <v>2050</v>
      </c>
      <c r="F104" s="109" t="str">
        <f t="shared" si="20"/>
        <v>FT-INDGASNAT*</v>
      </c>
      <c r="G104" s="109" t="str">
        <f t="shared" si="20"/>
        <v>INDGASNAT</v>
      </c>
      <c r="H104" s="130">
        <f t="shared" si="15"/>
        <v>6.1499999999999995</v>
      </c>
      <c r="J104" s="176">
        <f t="shared" si="19"/>
        <v>6.1499999999999995</v>
      </c>
      <c r="K104" s="109" t="str">
        <f t="shared" si="24"/>
        <v>Natural Gas</v>
      </c>
      <c r="O104" s="109">
        <v>1.5</v>
      </c>
    </row>
    <row r="105" spans="3:15" x14ac:dyDescent="0.25">
      <c r="C105" s="109" t="str">
        <f t="shared" si="23"/>
        <v>FLO_TAX</v>
      </c>
      <c r="D105" s="108">
        <f t="shared" si="16"/>
        <v>2050</v>
      </c>
      <c r="F105" s="109" t="str">
        <f t="shared" si="20"/>
        <v>FT-INDCOASUB*</v>
      </c>
      <c r="G105" s="109" t="str">
        <f t="shared" si="20"/>
        <v>INDCOASUB</v>
      </c>
      <c r="H105" s="130">
        <f t="shared" si="15"/>
        <v>2.0499999999999998</v>
      </c>
      <c r="J105" s="176">
        <f t="shared" si="19"/>
        <v>2.0499999999999998</v>
      </c>
      <c r="K105" s="109" t="str">
        <f t="shared" si="24"/>
        <v>Coal</v>
      </c>
      <c r="O105" s="109">
        <v>1.5</v>
      </c>
    </row>
    <row r="106" spans="3:15" x14ac:dyDescent="0.25">
      <c r="C106" s="109" t="str">
        <f t="shared" si="23"/>
        <v>FLO_TAX</v>
      </c>
      <c r="D106" s="108">
        <f t="shared" si="16"/>
        <v>2050</v>
      </c>
      <c r="F106" s="109" t="str">
        <f t="shared" si="20"/>
        <v>FT-INDCOABCO*</v>
      </c>
      <c r="G106" s="109" t="str">
        <f t="shared" si="20"/>
        <v>INDCOABCO</v>
      </c>
      <c r="H106" s="130">
        <f t="shared" si="15"/>
        <v>2.0499999999999998</v>
      </c>
      <c r="J106" s="176">
        <f t="shared" si="19"/>
        <v>2.0499999999999998</v>
      </c>
      <c r="K106" s="109" t="str">
        <f t="shared" si="24"/>
        <v>Lignite</v>
      </c>
      <c r="O106" s="109">
        <v>1.5</v>
      </c>
    </row>
    <row r="107" spans="3:15" x14ac:dyDescent="0.25">
      <c r="C107" s="109" t="str">
        <f t="shared" si="23"/>
        <v>FLO_TAX</v>
      </c>
      <c r="D107" s="108">
        <f t="shared" si="16"/>
        <v>2050</v>
      </c>
      <c r="F107" s="109" t="str">
        <f t="shared" si="20"/>
        <v>FT-INDCOABIC*</v>
      </c>
      <c r="G107" s="109" t="str">
        <f t="shared" si="20"/>
        <v>INDCOABIC</v>
      </c>
      <c r="H107" s="130">
        <f t="shared" si="15"/>
        <v>2.0499999999999998</v>
      </c>
      <c r="J107" s="176">
        <f t="shared" si="19"/>
        <v>2.0499999999999998</v>
      </c>
      <c r="K107" s="109" t="str">
        <f t="shared" si="24"/>
        <v>Other bituminous</v>
      </c>
      <c r="O107" s="109">
        <v>1.5</v>
      </c>
    </row>
    <row r="108" spans="3:15" x14ac:dyDescent="0.25">
      <c r="C108" s="109" t="str">
        <f t="shared" si="23"/>
        <v>*</v>
      </c>
      <c r="D108" s="108">
        <f t="shared" si="16"/>
        <v>2050</v>
      </c>
      <c r="F108" s="109" t="str">
        <f t="shared" si="20"/>
        <v>FT-INDCOACOK*</v>
      </c>
      <c r="G108" s="109" t="str">
        <f t="shared" si="20"/>
        <v>INDCOACOK</v>
      </c>
      <c r="H108" s="130">
        <f t="shared" si="15"/>
        <v>0</v>
      </c>
      <c r="J108" s="176">
        <f t="shared" si="19"/>
        <v>0</v>
      </c>
      <c r="K108" s="109" t="str">
        <f t="shared" si="24"/>
        <v>Coke</v>
      </c>
      <c r="O108" s="109">
        <v>1.5</v>
      </c>
    </row>
    <row r="109" spans="3:15" x14ac:dyDescent="0.25">
      <c r="C109" s="109" t="str">
        <f t="shared" si="23"/>
        <v>*</v>
      </c>
      <c r="D109" s="108">
        <f t="shared" ref="D109:D140" si="25">END_YEAR</f>
        <v>2050</v>
      </c>
      <c r="F109" s="109" t="str">
        <f t="shared" ref="F109:G124" si="26">F37</f>
        <v>FT-INDCOABKB*</v>
      </c>
      <c r="G109" s="109" t="str">
        <f t="shared" si="26"/>
        <v>INDCOABKB</v>
      </c>
      <c r="H109" s="130">
        <f t="shared" si="15"/>
        <v>0</v>
      </c>
      <c r="J109" s="176">
        <f t="shared" si="19"/>
        <v>0</v>
      </c>
      <c r="K109" s="109" t="str">
        <f t="shared" si="24"/>
        <v>BKB</v>
      </c>
      <c r="O109" s="109">
        <v>1.5</v>
      </c>
    </row>
    <row r="110" spans="3:15" x14ac:dyDescent="0.25">
      <c r="C110" s="109" t="str">
        <f t="shared" si="23"/>
        <v>*</v>
      </c>
      <c r="D110" s="108">
        <f t="shared" si="25"/>
        <v>2050</v>
      </c>
      <c r="F110" s="109" t="str">
        <f t="shared" si="26"/>
        <v>FT-INDBIOLOG*</v>
      </c>
      <c r="G110" s="109" t="str">
        <f t="shared" si="26"/>
        <v>INDBIOLOG</v>
      </c>
      <c r="H110" s="130">
        <f t="shared" si="15"/>
        <v>0</v>
      </c>
      <c r="J110" s="176">
        <f t="shared" si="19"/>
        <v>0</v>
      </c>
      <c r="K110" s="109" t="str">
        <f t="shared" si="24"/>
        <v>Solid Biomass</v>
      </c>
      <c r="O110" s="109">
        <v>1.5</v>
      </c>
    </row>
    <row r="111" spans="3:15" x14ac:dyDescent="0.25">
      <c r="C111" s="109" t="str">
        <f t="shared" si="23"/>
        <v>*</v>
      </c>
      <c r="D111" s="108">
        <f t="shared" si="25"/>
        <v>2050</v>
      </c>
      <c r="F111" s="109" t="str">
        <f t="shared" si="26"/>
        <v>FT-INDBIOLOG*</v>
      </c>
      <c r="G111" s="109" t="str">
        <f t="shared" si="26"/>
        <v>INDBIOLOG</v>
      </c>
      <c r="H111" s="130">
        <f t="shared" si="15"/>
        <v>0</v>
      </c>
      <c r="J111" s="176">
        <f t="shared" si="19"/>
        <v>0</v>
      </c>
      <c r="O111" s="109">
        <v>1.5</v>
      </c>
    </row>
    <row r="112" spans="3:15" x14ac:dyDescent="0.25">
      <c r="C112" s="109" t="str">
        <f t="shared" si="23"/>
        <v>*</v>
      </c>
      <c r="D112" s="108">
        <f t="shared" si="25"/>
        <v>2050</v>
      </c>
      <c r="F112" s="109" t="str">
        <f t="shared" si="26"/>
        <v>FT-INDBIOCHR*</v>
      </c>
      <c r="G112" s="109" t="str">
        <f t="shared" si="26"/>
        <v>INDBIOCHR</v>
      </c>
      <c r="H112" s="130">
        <f t="shared" si="15"/>
        <v>0</v>
      </c>
      <c r="J112" s="176">
        <f t="shared" si="19"/>
        <v>0</v>
      </c>
      <c r="O112" s="109">
        <v>1.5</v>
      </c>
    </row>
    <row r="113" spans="3:15" x14ac:dyDescent="0.25">
      <c r="C113" s="109" t="str">
        <f t="shared" si="23"/>
        <v>*</v>
      </c>
      <c r="D113" s="108">
        <f t="shared" si="25"/>
        <v>2050</v>
      </c>
      <c r="F113" s="109" t="str">
        <f t="shared" si="26"/>
        <v>FT-INDBIOCHR*</v>
      </c>
      <c r="G113" s="109" t="str">
        <f t="shared" si="26"/>
        <v>INDBIOCHR</v>
      </c>
      <c r="H113" s="130">
        <f t="shared" si="15"/>
        <v>0</v>
      </c>
      <c r="J113" s="176">
        <f t="shared" si="19"/>
        <v>0</v>
      </c>
      <c r="O113" s="109">
        <v>1.5</v>
      </c>
    </row>
    <row r="114" spans="3:15" x14ac:dyDescent="0.25">
      <c r="C114" s="109" t="str">
        <f t="shared" si="23"/>
        <v>*</v>
      </c>
      <c r="D114" s="108">
        <f t="shared" si="25"/>
        <v>2050</v>
      </c>
      <c r="F114" s="109" t="str">
        <f t="shared" si="26"/>
        <v>FT-INDBIOPLT*</v>
      </c>
      <c r="G114" s="109" t="str">
        <f t="shared" si="26"/>
        <v>INDBIOPLT</v>
      </c>
      <c r="H114" s="130">
        <f t="shared" si="15"/>
        <v>0</v>
      </c>
      <c r="J114" s="176">
        <f t="shared" si="19"/>
        <v>0</v>
      </c>
      <c r="O114" s="109">
        <v>1.5</v>
      </c>
    </row>
    <row r="115" spans="3:15" x14ac:dyDescent="0.25">
      <c r="C115" s="109" t="str">
        <f t="shared" si="23"/>
        <v>*</v>
      </c>
      <c r="D115" s="108">
        <f t="shared" si="25"/>
        <v>2050</v>
      </c>
      <c r="F115" s="109" t="str">
        <f t="shared" si="26"/>
        <v>FT-INDBIOPLT*</v>
      </c>
      <c r="G115" s="109" t="str">
        <f t="shared" si="26"/>
        <v>INDBIOPLT</v>
      </c>
      <c r="H115" s="130">
        <f t="shared" si="15"/>
        <v>0</v>
      </c>
      <c r="J115" s="176">
        <f t="shared" si="19"/>
        <v>0</v>
      </c>
      <c r="O115" s="109">
        <v>1.5</v>
      </c>
    </row>
    <row r="116" spans="3:15" x14ac:dyDescent="0.25">
      <c r="C116" s="109" t="str">
        <f t="shared" si="23"/>
        <v>FLO_TAX</v>
      </c>
      <c r="D116" s="108">
        <f t="shared" si="25"/>
        <v>2050</v>
      </c>
      <c r="F116" s="109" t="str">
        <f t="shared" si="26"/>
        <v>FT-INDHTH*</v>
      </c>
      <c r="G116" s="109" t="str">
        <f t="shared" si="26"/>
        <v>INDHTH</v>
      </c>
      <c r="H116" s="130">
        <f t="shared" si="15"/>
        <v>0.75</v>
      </c>
      <c r="J116" s="176">
        <f t="shared" si="19"/>
        <v>0.75</v>
      </c>
      <c r="K116" s="109" t="str">
        <f t="shared" ref="K116:K118" si="27">K44</f>
        <v>Heat</v>
      </c>
      <c r="O116" s="109">
        <v>1.5</v>
      </c>
    </row>
    <row r="117" spans="3:15" x14ac:dyDescent="0.25">
      <c r="C117" s="109" t="str">
        <f t="shared" si="23"/>
        <v>FLO_TAX</v>
      </c>
      <c r="D117" s="108">
        <f t="shared" si="25"/>
        <v>2050</v>
      </c>
      <c r="F117" s="109" t="str">
        <f t="shared" si="26"/>
        <v>FT-INDELC*</v>
      </c>
      <c r="G117" s="109" t="str">
        <f t="shared" si="26"/>
        <v>INDELC</v>
      </c>
      <c r="H117" s="130">
        <f t="shared" si="15"/>
        <v>14.25</v>
      </c>
      <c r="J117" s="176">
        <f t="shared" si="19"/>
        <v>14.25</v>
      </c>
      <c r="K117" s="109" t="str">
        <f t="shared" si="27"/>
        <v>Electricity</v>
      </c>
      <c r="O117" s="109">
        <v>1.5</v>
      </c>
    </row>
    <row r="118" spans="3:15" x14ac:dyDescent="0.25">
      <c r="C118" s="109" t="str">
        <f t="shared" si="23"/>
        <v>FLO_TAX</v>
      </c>
      <c r="D118" s="108">
        <f t="shared" si="25"/>
        <v>2050</v>
      </c>
      <c r="F118" s="109" t="str">
        <f t="shared" si="26"/>
        <v>FT-ELEOILDSL*</v>
      </c>
      <c r="G118" s="109" t="str">
        <f t="shared" si="26"/>
        <v>ELEOILDSL</v>
      </c>
      <c r="H118" s="130">
        <f t="shared" si="15"/>
        <v>2.7</v>
      </c>
      <c r="J118" s="176">
        <f t="shared" si="19"/>
        <v>2.7</v>
      </c>
      <c r="K118" s="109" t="str">
        <f t="shared" si="27"/>
        <v>Diesel</v>
      </c>
      <c r="O118" s="109">
        <v>1.5</v>
      </c>
    </row>
    <row r="119" spans="3:15" x14ac:dyDescent="0.25">
      <c r="C119" s="109" t="str">
        <f t="shared" si="23"/>
        <v>FLO_TAX</v>
      </c>
      <c r="D119" s="108">
        <f t="shared" si="25"/>
        <v>2050</v>
      </c>
      <c r="F119" s="109" t="str">
        <f t="shared" si="26"/>
        <v>FT-HETOILDSL*</v>
      </c>
      <c r="G119" s="109" t="str">
        <f t="shared" si="26"/>
        <v>HETOILDSL</v>
      </c>
      <c r="H119" s="130">
        <v>0</v>
      </c>
      <c r="J119" s="176">
        <f t="shared" si="19"/>
        <v>2.7</v>
      </c>
      <c r="O119" s="109">
        <v>1.5</v>
      </c>
    </row>
    <row r="120" spans="3:15" x14ac:dyDescent="0.25">
      <c r="C120" s="109" t="str">
        <f t="shared" si="23"/>
        <v>FLO_TAX</v>
      </c>
      <c r="D120" s="108">
        <f t="shared" si="25"/>
        <v>2050</v>
      </c>
      <c r="F120" s="109" t="str">
        <f t="shared" si="26"/>
        <v>FT-ELEOILHFO*</v>
      </c>
      <c r="G120" s="109" t="str">
        <f t="shared" si="26"/>
        <v>ELEOILHFO</v>
      </c>
      <c r="H120" s="130">
        <f t="shared" si="15"/>
        <v>2.7</v>
      </c>
      <c r="J120" s="176">
        <f t="shared" si="19"/>
        <v>2.7</v>
      </c>
      <c r="K120" s="109" t="str">
        <f t="shared" ref="K120" si="28">K48</f>
        <v>Fuel Oil</v>
      </c>
      <c r="O120" s="109">
        <v>1.5</v>
      </c>
    </row>
    <row r="121" spans="3:15" x14ac:dyDescent="0.25">
      <c r="C121" s="109" t="str">
        <f t="shared" si="23"/>
        <v>FLO_TAX</v>
      </c>
      <c r="D121" s="108">
        <f t="shared" si="25"/>
        <v>2050</v>
      </c>
      <c r="F121" s="109" t="str">
        <f t="shared" si="26"/>
        <v>FT-HETOILHFO*</v>
      </c>
      <c r="G121" s="109" t="str">
        <f t="shared" si="26"/>
        <v>HETOILHFO</v>
      </c>
      <c r="H121" s="130">
        <f t="shared" si="15"/>
        <v>2.7</v>
      </c>
      <c r="J121" s="176">
        <f t="shared" si="19"/>
        <v>2.7</v>
      </c>
      <c r="O121" s="109">
        <v>1.5</v>
      </c>
    </row>
    <row r="122" spans="3:15" x14ac:dyDescent="0.25">
      <c r="C122" s="109" t="str">
        <f t="shared" si="23"/>
        <v>FLO_TAX</v>
      </c>
      <c r="D122" s="108">
        <f t="shared" si="25"/>
        <v>2050</v>
      </c>
      <c r="F122" s="109" t="str">
        <f t="shared" si="26"/>
        <v>FT-ELEGASNAT*</v>
      </c>
      <c r="G122" s="109" t="str">
        <f t="shared" si="26"/>
        <v>ELEGASNAT</v>
      </c>
      <c r="H122" s="130">
        <f t="shared" si="15"/>
        <v>2.7</v>
      </c>
      <c r="J122" s="176">
        <f t="shared" si="19"/>
        <v>2.7</v>
      </c>
      <c r="K122" s="109" t="str">
        <f t="shared" ref="K122" si="29">K50</f>
        <v>Natural Gas</v>
      </c>
      <c r="O122" s="109">
        <v>1.5</v>
      </c>
    </row>
    <row r="123" spans="3:15" x14ac:dyDescent="0.25">
      <c r="C123" s="109" t="str">
        <f t="shared" si="23"/>
        <v>FLO_TAX</v>
      </c>
      <c r="D123" s="108">
        <f t="shared" si="25"/>
        <v>2050</v>
      </c>
      <c r="F123" s="109" t="str">
        <f t="shared" si="26"/>
        <v>FT-HETGASNAT*</v>
      </c>
      <c r="G123" s="109" t="str">
        <f t="shared" si="26"/>
        <v>HETGASNAT</v>
      </c>
      <c r="H123" s="130">
        <f t="shared" si="15"/>
        <v>2.7</v>
      </c>
      <c r="J123" s="176">
        <f t="shared" si="19"/>
        <v>2.7</v>
      </c>
      <c r="O123" s="109">
        <v>1.5</v>
      </c>
    </row>
    <row r="124" spans="3:15" x14ac:dyDescent="0.25">
      <c r="C124" s="109" t="str">
        <f t="shared" si="23"/>
        <v>FLO_TAX</v>
      </c>
      <c r="D124" s="108">
        <f t="shared" si="25"/>
        <v>2050</v>
      </c>
      <c r="F124" s="109" t="str">
        <f t="shared" si="26"/>
        <v>FT-ELECOASUB*</v>
      </c>
      <c r="G124" s="109" t="str">
        <f t="shared" si="26"/>
        <v>ELECOASUB</v>
      </c>
      <c r="H124" s="130">
        <f t="shared" si="15"/>
        <v>0.89999999999999991</v>
      </c>
      <c r="J124" s="176">
        <f t="shared" si="19"/>
        <v>0.89999999999999991</v>
      </c>
      <c r="K124" s="109" t="str">
        <f t="shared" ref="K124" si="30">K52</f>
        <v>Coal</v>
      </c>
      <c r="O124" s="109">
        <v>1.5</v>
      </c>
    </row>
    <row r="125" spans="3:15" x14ac:dyDescent="0.25">
      <c r="C125" s="109" t="str">
        <f t="shared" si="23"/>
        <v>FLO_TAX</v>
      </c>
      <c r="D125" s="108">
        <f t="shared" si="25"/>
        <v>2050</v>
      </c>
      <c r="F125" s="109" t="str">
        <f t="shared" ref="F125:G140" si="31">F53</f>
        <v>FT-HETCOASUB*</v>
      </c>
      <c r="G125" s="109" t="str">
        <f t="shared" si="31"/>
        <v>HETCOASUB</v>
      </c>
      <c r="H125" s="130">
        <f t="shared" si="15"/>
        <v>0.89999999999999991</v>
      </c>
      <c r="J125" s="176">
        <f t="shared" si="19"/>
        <v>0.89999999999999991</v>
      </c>
      <c r="O125" s="109">
        <v>1.5</v>
      </c>
    </row>
    <row r="126" spans="3:15" x14ac:dyDescent="0.25">
      <c r="C126" s="109" t="str">
        <f t="shared" si="23"/>
        <v>FLO_TAX</v>
      </c>
      <c r="D126" s="108">
        <f t="shared" si="25"/>
        <v>2050</v>
      </c>
      <c r="F126" s="109" t="str">
        <f t="shared" si="31"/>
        <v>FT-ELEBIOLOG*</v>
      </c>
      <c r="G126" s="109" t="str">
        <f t="shared" si="31"/>
        <v>ELEBIOLOG</v>
      </c>
      <c r="H126" s="130">
        <f t="shared" si="15"/>
        <v>0.89999999999999991</v>
      </c>
      <c r="J126" s="176">
        <f t="shared" si="19"/>
        <v>0.89999999999999991</v>
      </c>
      <c r="K126" s="109" t="str">
        <f t="shared" ref="K126" si="32">K54</f>
        <v>Solid Biomass</v>
      </c>
      <c r="O126" s="109">
        <v>1.5</v>
      </c>
    </row>
    <row r="127" spans="3:15" x14ac:dyDescent="0.25">
      <c r="C127" s="109" t="str">
        <f t="shared" si="23"/>
        <v>FLO_TAX</v>
      </c>
      <c r="D127" s="108">
        <f t="shared" si="25"/>
        <v>2050</v>
      </c>
      <c r="F127" s="109" t="str">
        <f t="shared" si="31"/>
        <v>FT-HETBIOLOG*</v>
      </c>
      <c r="G127" s="109" t="str">
        <f t="shared" si="31"/>
        <v>HETBIOLOG</v>
      </c>
      <c r="H127" s="130">
        <f t="shared" si="15"/>
        <v>0.89999999999999991</v>
      </c>
      <c r="J127" s="176">
        <f t="shared" si="19"/>
        <v>0.89999999999999991</v>
      </c>
      <c r="O127" s="109">
        <v>1.5</v>
      </c>
    </row>
    <row r="128" spans="3:15" x14ac:dyDescent="0.25">
      <c r="C128" s="109" t="str">
        <f t="shared" si="23"/>
        <v>FLO_TAX</v>
      </c>
      <c r="D128" s="108">
        <f t="shared" si="25"/>
        <v>2050</v>
      </c>
      <c r="F128" s="109" t="str">
        <f t="shared" si="31"/>
        <v>FT-HETBIOPLT*</v>
      </c>
      <c r="G128" s="109" t="str">
        <f t="shared" si="31"/>
        <v>HETBIOPLT</v>
      </c>
      <c r="H128" s="130">
        <f t="shared" si="15"/>
        <v>0.89999999999999991</v>
      </c>
      <c r="J128" s="176">
        <f t="shared" si="19"/>
        <v>0.89999999999999991</v>
      </c>
      <c r="O128" s="109">
        <v>1.5</v>
      </c>
    </row>
    <row r="129" spans="3:15" x14ac:dyDescent="0.25">
      <c r="C129" s="109" t="str">
        <f t="shared" si="23"/>
        <v>FLO_TAX</v>
      </c>
      <c r="D129" s="108">
        <f t="shared" si="25"/>
        <v>2050</v>
      </c>
      <c r="F129" s="109" t="str">
        <f t="shared" si="31"/>
        <v>FT-TRAOILDSL*</v>
      </c>
      <c r="G129" s="109" t="str">
        <f t="shared" si="31"/>
        <v>TRAOILDSL</v>
      </c>
      <c r="H129" s="130">
        <f t="shared" si="15"/>
        <v>0.75</v>
      </c>
      <c r="J129" s="176">
        <f t="shared" si="19"/>
        <v>0.75</v>
      </c>
      <c r="K129" s="109" t="str">
        <f t="shared" ref="K129:K144" si="33">K57</f>
        <v>Diesel Cars</v>
      </c>
      <c r="O129" s="109">
        <v>1.5</v>
      </c>
    </row>
    <row r="130" spans="3:15" x14ac:dyDescent="0.25">
      <c r="C130" s="109" t="str">
        <f t="shared" si="23"/>
        <v>FLO_TAX</v>
      </c>
      <c r="D130" s="108">
        <f t="shared" si="25"/>
        <v>2050</v>
      </c>
      <c r="F130" s="109" t="str">
        <f t="shared" si="31"/>
        <v>TRARAIL*</v>
      </c>
      <c r="G130" s="109" t="str">
        <f t="shared" si="31"/>
        <v>TRAOILDSL</v>
      </c>
      <c r="H130" s="130">
        <f t="shared" si="15"/>
        <v>0.75</v>
      </c>
      <c r="J130" s="176">
        <f t="shared" si="19"/>
        <v>0.75</v>
      </c>
      <c r="K130" s="109" t="str">
        <f t="shared" si="33"/>
        <v>Diesel Rail</v>
      </c>
      <c r="O130" s="109">
        <v>1.5</v>
      </c>
    </row>
    <row r="131" spans="3:15" x14ac:dyDescent="0.25">
      <c r="C131" s="109" t="str">
        <f t="shared" si="23"/>
        <v>FLO_TAX</v>
      </c>
      <c r="D131" s="108">
        <f t="shared" si="25"/>
        <v>2050</v>
      </c>
      <c r="F131" s="109" t="str">
        <f t="shared" si="31"/>
        <v>TRANAV*</v>
      </c>
      <c r="G131" s="109" t="str">
        <f t="shared" si="31"/>
        <v>TRAOILDSL</v>
      </c>
      <c r="H131" s="130">
        <f t="shared" si="15"/>
        <v>0.75</v>
      </c>
      <c r="J131" s="176">
        <f t="shared" si="19"/>
        <v>0.75</v>
      </c>
      <c r="K131" s="109" t="str">
        <f t="shared" si="33"/>
        <v>Diesel Navigation</v>
      </c>
      <c r="O131" s="109">
        <v>1.5</v>
      </c>
    </row>
    <row r="132" spans="3:15" x14ac:dyDescent="0.25">
      <c r="C132" s="109" t="str">
        <f t="shared" si="23"/>
        <v>FLO_TAX</v>
      </c>
      <c r="D132" s="108">
        <f t="shared" si="25"/>
        <v>2050</v>
      </c>
      <c r="F132" s="109" t="str">
        <f t="shared" si="31"/>
        <v>FT-TRAOILGSL*</v>
      </c>
      <c r="G132" s="109" t="str">
        <f t="shared" si="31"/>
        <v>TRAOILGSL</v>
      </c>
      <c r="H132" s="130">
        <f t="shared" si="15"/>
        <v>2.25</v>
      </c>
      <c r="J132" s="176">
        <f t="shared" si="19"/>
        <v>2.25</v>
      </c>
      <c r="K132" s="109" t="str">
        <f t="shared" si="33"/>
        <v>Gasoline Cars</v>
      </c>
      <c r="O132" s="109">
        <v>1.5</v>
      </c>
    </row>
    <row r="133" spans="3:15" x14ac:dyDescent="0.25">
      <c r="C133" s="109" t="str">
        <f t="shared" ref="C133:C148" si="34">IF(J133=0,"*",IF(J133&lt;0,"FLO_SUB","FLO_TAX"))</f>
        <v>FLO_TAX</v>
      </c>
      <c r="D133" s="108">
        <f t="shared" si="25"/>
        <v>2050</v>
      </c>
      <c r="F133" s="109" t="str">
        <f t="shared" si="31"/>
        <v>FT-TRAOILLPG*</v>
      </c>
      <c r="G133" s="109" t="str">
        <f t="shared" si="31"/>
        <v>TRAOILLPG</v>
      </c>
      <c r="H133" s="130">
        <f t="shared" si="15"/>
        <v>2.25</v>
      </c>
      <c r="J133" s="176">
        <f t="shared" si="19"/>
        <v>2.25</v>
      </c>
      <c r="K133" s="109" t="str">
        <f t="shared" si="33"/>
        <v>LPG Cars</v>
      </c>
      <c r="O133" s="109">
        <v>1.5</v>
      </c>
    </row>
    <row r="134" spans="3:15" x14ac:dyDescent="0.25">
      <c r="C134" s="109" t="str">
        <f t="shared" si="34"/>
        <v>FLO_TAX</v>
      </c>
      <c r="D134" s="108">
        <f t="shared" si="25"/>
        <v>2050</v>
      </c>
      <c r="F134" s="109" t="str">
        <f t="shared" si="31"/>
        <v>FT-TRAGASNAT*</v>
      </c>
      <c r="G134" s="109" t="str">
        <f t="shared" si="31"/>
        <v>TRAGASNAT</v>
      </c>
      <c r="H134" s="130">
        <f t="shared" si="15"/>
        <v>0.75</v>
      </c>
      <c r="J134" s="176">
        <f t="shared" si="19"/>
        <v>0.75</v>
      </c>
      <c r="K134" s="109" t="str">
        <f t="shared" si="33"/>
        <v>CNG Cars</v>
      </c>
      <c r="O134" s="109">
        <v>1.5</v>
      </c>
    </row>
    <row r="135" spans="3:15" x14ac:dyDescent="0.25">
      <c r="C135" s="109" t="str">
        <f t="shared" si="34"/>
        <v>FLO_TAX</v>
      </c>
      <c r="D135" s="108">
        <f t="shared" si="25"/>
        <v>2050</v>
      </c>
      <c r="F135" s="109" t="str">
        <f t="shared" si="31"/>
        <v>FT-TRABIOBGS*</v>
      </c>
      <c r="G135" s="109" t="str">
        <f t="shared" si="31"/>
        <v>TRABIOBGS</v>
      </c>
      <c r="H135" s="130">
        <f t="shared" si="15"/>
        <v>0.75</v>
      </c>
      <c r="J135" s="176">
        <f t="shared" si="19"/>
        <v>0.75</v>
      </c>
      <c r="K135" s="109">
        <f t="shared" si="33"/>
        <v>0</v>
      </c>
      <c r="O135" s="109">
        <v>1.5</v>
      </c>
    </row>
    <row r="136" spans="3:15" x14ac:dyDescent="0.25">
      <c r="C136" s="109" t="str">
        <f t="shared" si="34"/>
        <v>FLO_TAX</v>
      </c>
      <c r="D136" s="108">
        <f t="shared" si="25"/>
        <v>2050</v>
      </c>
      <c r="F136" s="109" t="str">
        <f t="shared" si="31"/>
        <v>FT-TRAOILKER*</v>
      </c>
      <c r="G136" s="109" t="str">
        <f t="shared" si="31"/>
        <v>TRAOILKER</v>
      </c>
      <c r="H136" s="130">
        <f t="shared" si="15"/>
        <v>0.75</v>
      </c>
      <c r="J136" s="176">
        <f t="shared" si="19"/>
        <v>0.75</v>
      </c>
      <c r="K136" s="109" t="str">
        <f t="shared" si="33"/>
        <v>Kerosene</v>
      </c>
      <c r="O136" s="109">
        <v>1.5</v>
      </c>
    </row>
    <row r="137" spans="3:15" x14ac:dyDescent="0.25">
      <c r="C137" s="109" t="str">
        <f t="shared" si="34"/>
        <v>FLO_TAX</v>
      </c>
      <c r="D137" s="108">
        <f t="shared" si="25"/>
        <v>2050</v>
      </c>
      <c r="F137" s="109" t="str">
        <f t="shared" si="31"/>
        <v>FT-TRABIOKER*</v>
      </c>
      <c r="G137" s="109" t="str">
        <f t="shared" si="31"/>
        <v>TRABIOKER</v>
      </c>
      <c r="H137" s="130">
        <f t="shared" si="15"/>
        <v>0.60000000000000009</v>
      </c>
      <c r="J137" s="176">
        <f t="shared" si="19"/>
        <v>0.60000000000000009</v>
      </c>
      <c r="K137" s="109">
        <f t="shared" si="33"/>
        <v>0</v>
      </c>
      <c r="O137" s="109">
        <v>1.5</v>
      </c>
    </row>
    <row r="138" spans="3:15" x14ac:dyDescent="0.25">
      <c r="C138" s="109" t="str">
        <f t="shared" si="34"/>
        <v>FLO_TAX</v>
      </c>
      <c r="D138" s="108">
        <f t="shared" si="25"/>
        <v>2050</v>
      </c>
      <c r="F138" s="109" t="str">
        <f t="shared" si="31"/>
        <v>FT-TRAOILGSA*</v>
      </c>
      <c r="G138" s="109" t="str">
        <f t="shared" si="31"/>
        <v>TRAOILGSA</v>
      </c>
      <c r="H138" s="130">
        <f t="shared" ref="H138:H148" si="35">J138</f>
        <v>0.75</v>
      </c>
      <c r="J138" s="176">
        <f t="shared" si="19"/>
        <v>0.75</v>
      </c>
      <c r="K138" s="109">
        <f t="shared" si="33"/>
        <v>0</v>
      </c>
      <c r="O138" s="109">
        <v>1.5</v>
      </c>
    </row>
    <row r="139" spans="3:15" x14ac:dyDescent="0.25">
      <c r="C139" s="109" t="str">
        <f t="shared" si="34"/>
        <v>FLO_TAX</v>
      </c>
      <c r="D139" s="108">
        <f t="shared" si="25"/>
        <v>2050</v>
      </c>
      <c r="F139" s="109" t="str">
        <f t="shared" si="31"/>
        <v>FT-TRABIOE**</v>
      </c>
      <c r="G139" s="109" t="str">
        <f t="shared" si="31"/>
        <v>TRABIOE*</v>
      </c>
      <c r="H139" s="130">
        <f t="shared" si="35"/>
        <v>0.75</v>
      </c>
      <c r="J139" s="176">
        <f t="shared" si="19"/>
        <v>0.75</v>
      </c>
      <c r="K139" s="109">
        <f t="shared" si="33"/>
        <v>0</v>
      </c>
      <c r="O139" s="109">
        <v>1.5</v>
      </c>
    </row>
    <row r="140" spans="3:15" x14ac:dyDescent="0.25">
      <c r="C140" s="109" t="str">
        <f t="shared" si="34"/>
        <v>FLO_TAX</v>
      </c>
      <c r="D140" s="108">
        <f t="shared" si="25"/>
        <v>2050</v>
      </c>
      <c r="F140" s="109" t="str">
        <f t="shared" si="31"/>
        <v>FT-TRABIODSL**</v>
      </c>
      <c r="G140" s="109" t="str">
        <f t="shared" si="31"/>
        <v>TRABIODSL*</v>
      </c>
      <c r="H140" s="130">
        <f t="shared" si="35"/>
        <v>0.75</v>
      </c>
      <c r="J140" s="176">
        <f t="shared" si="19"/>
        <v>0.75</v>
      </c>
      <c r="K140" s="109">
        <f t="shared" si="33"/>
        <v>0</v>
      </c>
      <c r="O140" s="109">
        <v>1.5</v>
      </c>
    </row>
    <row r="141" spans="3:15" x14ac:dyDescent="0.25">
      <c r="C141" s="109" t="str">
        <f t="shared" si="34"/>
        <v>FLO_TAX</v>
      </c>
      <c r="D141" s="108">
        <f t="shared" ref="D141:D148" si="36">END_YEAR</f>
        <v>2050</v>
      </c>
      <c r="F141" s="109" t="str">
        <f t="shared" ref="F141:G148" si="37">F69</f>
        <v>FT-TRABIOB20*</v>
      </c>
      <c r="G141" s="109" t="str">
        <f t="shared" si="37"/>
        <v>TRABIOB20</v>
      </c>
      <c r="H141" s="130">
        <f t="shared" si="35"/>
        <v>0.75</v>
      </c>
      <c r="J141" s="176">
        <f t="shared" si="19"/>
        <v>0.75</v>
      </c>
      <c r="K141" s="109">
        <f t="shared" si="33"/>
        <v>0</v>
      </c>
      <c r="O141" s="109">
        <v>1.5</v>
      </c>
    </row>
    <row r="142" spans="3:15" x14ac:dyDescent="0.25">
      <c r="C142" s="109" t="str">
        <f t="shared" si="34"/>
        <v>FLO_TAX</v>
      </c>
      <c r="D142" s="108">
        <f t="shared" si="36"/>
        <v>2050</v>
      </c>
      <c r="E142" s="109" t="str">
        <f>E70</f>
        <v>TRAELC</v>
      </c>
      <c r="F142" s="109" t="str">
        <f t="shared" si="37"/>
        <v>-TRARAIL*</v>
      </c>
      <c r="G142" s="109" t="str">
        <f t="shared" si="37"/>
        <v>TRAELC</v>
      </c>
      <c r="H142" s="130">
        <f t="shared" si="35"/>
        <v>11.700000000000001</v>
      </c>
      <c r="J142" s="176">
        <f t="shared" ref="J142:J148" si="38">J70*O142</f>
        <v>11.700000000000001</v>
      </c>
      <c r="K142" s="109" t="str">
        <f t="shared" si="33"/>
        <v>Electricity-Private</v>
      </c>
      <c r="O142" s="109">
        <v>1.5</v>
      </c>
    </row>
    <row r="143" spans="3:15" x14ac:dyDescent="0.25">
      <c r="C143" s="109" t="str">
        <f t="shared" si="34"/>
        <v>FLO_TAX</v>
      </c>
      <c r="D143" s="108">
        <f t="shared" si="36"/>
        <v>2050</v>
      </c>
      <c r="F143" s="109" t="str">
        <f t="shared" si="37"/>
        <v>FT-TRAELC*</v>
      </c>
      <c r="G143" s="109" t="str">
        <f t="shared" si="37"/>
        <v>TRAELC</v>
      </c>
      <c r="H143" s="130">
        <f t="shared" si="35"/>
        <v>6</v>
      </c>
      <c r="J143" s="176">
        <f t="shared" si="38"/>
        <v>6</v>
      </c>
      <c r="K143" s="109" t="str">
        <f t="shared" si="33"/>
        <v>Electricity-Rail</v>
      </c>
      <c r="O143" s="109">
        <v>1.5</v>
      </c>
    </row>
    <row r="144" spans="3:15" x14ac:dyDescent="0.25">
      <c r="C144" s="109" t="str">
        <f t="shared" si="34"/>
        <v>FLO_TAX</v>
      </c>
      <c r="D144" s="108">
        <f t="shared" si="36"/>
        <v>2050</v>
      </c>
      <c r="F144" s="109" t="str">
        <f t="shared" si="37"/>
        <v>FT-TRAH2*</v>
      </c>
      <c r="G144" s="109" t="str">
        <f t="shared" si="37"/>
        <v>TRAH2G</v>
      </c>
      <c r="H144" s="130">
        <f t="shared" si="35"/>
        <v>0.75</v>
      </c>
      <c r="J144" s="176">
        <f t="shared" si="38"/>
        <v>0.75</v>
      </c>
      <c r="K144" s="109">
        <f t="shared" si="33"/>
        <v>0</v>
      </c>
      <c r="O144" s="109">
        <v>1.5</v>
      </c>
    </row>
    <row r="145" spans="1:15" x14ac:dyDescent="0.25">
      <c r="C145" s="109" t="str">
        <f t="shared" si="34"/>
        <v>FLO_TAX</v>
      </c>
      <c r="D145" s="108">
        <f t="shared" si="36"/>
        <v>2050</v>
      </c>
      <c r="F145" s="109" t="str">
        <f t="shared" si="37"/>
        <v>FT-AGRELC*</v>
      </c>
      <c r="G145" s="109" t="str">
        <f t="shared" si="37"/>
        <v>AGRELC</v>
      </c>
      <c r="H145" s="130">
        <f t="shared" si="35"/>
        <v>11.700000000000001</v>
      </c>
      <c r="J145" s="176">
        <f t="shared" si="38"/>
        <v>11.700000000000001</v>
      </c>
      <c r="K145" s="109" t="str">
        <f t="shared" ref="K145:K148" si="39">K73</f>
        <v>Electricity</v>
      </c>
      <c r="O145" s="109">
        <v>1.5</v>
      </c>
    </row>
    <row r="146" spans="1:15" x14ac:dyDescent="0.25">
      <c r="C146" s="109" t="str">
        <f t="shared" si="34"/>
        <v>FLO_TAX</v>
      </c>
      <c r="D146" s="108">
        <f t="shared" si="36"/>
        <v>2050</v>
      </c>
      <c r="F146" s="109" t="str">
        <f t="shared" si="37"/>
        <v>FT-AGROILDSL*</v>
      </c>
      <c r="G146" s="109" t="str">
        <f t="shared" si="37"/>
        <v>AGROILDSL</v>
      </c>
      <c r="H146" s="130">
        <f t="shared" si="35"/>
        <v>0.75</v>
      </c>
      <c r="J146" s="176">
        <f t="shared" si="38"/>
        <v>0.75</v>
      </c>
      <c r="K146" s="109" t="str">
        <f t="shared" si="39"/>
        <v>Diesel</v>
      </c>
      <c r="O146" s="109">
        <v>1.5</v>
      </c>
    </row>
    <row r="147" spans="1:15" x14ac:dyDescent="0.25">
      <c r="C147" s="109" t="str">
        <f t="shared" si="34"/>
        <v>FLO_TAX</v>
      </c>
      <c r="D147" s="108">
        <f t="shared" si="36"/>
        <v>2050</v>
      </c>
      <c r="F147" s="109" t="str">
        <f t="shared" si="37"/>
        <v>FT-AGRGASNAT*</v>
      </c>
      <c r="G147" s="109" t="str">
        <f t="shared" si="37"/>
        <v>AGRGASNAT</v>
      </c>
      <c r="H147" s="130">
        <f t="shared" si="35"/>
        <v>4.9499999999999993</v>
      </c>
      <c r="J147" s="176">
        <f t="shared" si="38"/>
        <v>4.9499999999999993</v>
      </c>
      <c r="K147" s="109" t="str">
        <f t="shared" si="39"/>
        <v>Natural Gas</v>
      </c>
      <c r="O147" s="109">
        <v>1.5</v>
      </c>
    </row>
    <row r="148" spans="1:15" x14ac:dyDescent="0.25">
      <c r="A148" s="169"/>
      <c r="B148" s="169"/>
      <c r="C148" s="109" t="str">
        <f t="shared" si="34"/>
        <v>FLO_TAX</v>
      </c>
      <c r="D148" s="151">
        <f t="shared" si="36"/>
        <v>2050</v>
      </c>
      <c r="E148" s="169"/>
      <c r="F148" s="169" t="str">
        <f t="shared" si="37"/>
        <v>FT-AGRCOABIC*</v>
      </c>
      <c r="G148" s="169" t="str">
        <f t="shared" si="37"/>
        <v>AGRCOABIC</v>
      </c>
      <c r="H148" s="175">
        <f t="shared" si="35"/>
        <v>1.65</v>
      </c>
      <c r="I148" s="169"/>
      <c r="J148" s="177">
        <f t="shared" si="38"/>
        <v>1.65</v>
      </c>
      <c r="K148" s="169" t="str">
        <f t="shared" si="39"/>
        <v>Other bituminous</v>
      </c>
      <c r="L148" s="169"/>
      <c r="M148" s="169"/>
      <c r="O148" s="109">
        <v>1.5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0FB9-B6C5-4A71-8393-12D1DC127449}">
  <dimension ref="A1:P164"/>
  <sheetViews>
    <sheetView topLeftCell="A60" zoomScale="70" zoomScaleNormal="70" workbookViewId="0">
      <selection activeCell="A60" sqref="A1:XFD1048576"/>
    </sheetView>
  </sheetViews>
  <sheetFormatPr defaultColWidth="9.109375" defaultRowHeight="13.2" x14ac:dyDescent="0.25"/>
  <cols>
    <col min="1" max="1" width="9.109375" style="109"/>
    <col min="2" max="2" width="11" style="109" bestFit="1" customWidth="1"/>
    <col min="3" max="3" width="13.44140625" style="109" customWidth="1"/>
    <col min="4" max="4" width="15.88671875" style="109" customWidth="1"/>
    <col min="5" max="5" width="28.5546875" style="109" customWidth="1"/>
    <col min="6" max="6" width="50.5546875" style="109" customWidth="1"/>
    <col min="7" max="7" width="36.44140625" style="109" bestFit="1" customWidth="1"/>
    <col min="8" max="8" width="13.88671875" style="109" customWidth="1"/>
    <col min="9" max="9" width="9.109375" style="109"/>
    <col min="10" max="10" width="15.33203125" style="109" bestFit="1" customWidth="1"/>
    <col min="11" max="11" width="16.44140625" style="109" bestFit="1" customWidth="1"/>
    <col min="12" max="12" width="28.5546875" style="109" bestFit="1" customWidth="1"/>
    <col min="13" max="16384" width="9.109375" style="109"/>
  </cols>
  <sheetData>
    <row r="1" spans="1:12" ht="17.399999999999999" x14ac:dyDescent="0.3">
      <c r="A1" s="111" t="s">
        <v>264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3" spans="1:12" x14ac:dyDescent="0.25">
      <c r="B3" s="116" t="s">
        <v>47</v>
      </c>
      <c r="L3" s="134"/>
    </row>
    <row r="4" spans="1:12" ht="14.4" thickBot="1" x14ac:dyDescent="0.3">
      <c r="B4" s="157" t="s">
        <v>220</v>
      </c>
      <c r="C4" s="157" t="s">
        <v>40</v>
      </c>
      <c r="D4" s="157" t="s">
        <v>41</v>
      </c>
      <c r="E4" s="157" t="s">
        <v>221</v>
      </c>
      <c r="F4" s="157" t="s">
        <v>42</v>
      </c>
      <c r="G4" s="157" t="s">
        <v>43</v>
      </c>
      <c r="H4" s="157" t="s">
        <v>307</v>
      </c>
      <c r="I4" s="126"/>
      <c r="J4" s="119" t="s">
        <v>222</v>
      </c>
      <c r="L4" s="164" t="s">
        <v>104</v>
      </c>
    </row>
    <row r="5" spans="1:12" x14ac:dyDescent="0.25">
      <c r="C5" s="109" t="str">
        <f t="shared" ref="C5:C36" si="0">IF(J5=0,"*",IF(J5&lt;0,"FLO_SUB","FLO_TAX"))</f>
        <v>FLO_TAX</v>
      </c>
      <c r="D5" s="108">
        <f t="shared" ref="D5:D75" si="1">BASE_YEAR</f>
        <v>2017</v>
      </c>
      <c r="F5" s="109" t="str">
        <f>"FT-"&amp;G5&amp;"*"</f>
        <v>FT-RSDOILDSL*</v>
      </c>
      <c r="G5" s="109" t="str">
        <f>'Local_Prices-KZK'!F5</f>
        <v>RSDOILDSL</v>
      </c>
      <c r="H5" s="130">
        <f t="shared" ref="H5:H36" si="2">J5</f>
        <v>0.20000000000000018</v>
      </c>
      <c r="J5" s="130">
        <f>'Local_Prices-AZJ'!E5</f>
        <v>0.20000000000000018</v>
      </c>
      <c r="K5" s="109" t="str">
        <f>'Local_Prices-KZK'!B5</f>
        <v>Diesel</v>
      </c>
      <c r="L5" s="134" t="s">
        <v>194</v>
      </c>
    </row>
    <row r="6" spans="1:12" x14ac:dyDescent="0.25">
      <c r="C6" s="109" t="str">
        <f t="shared" si="0"/>
        <v>FLO_TAX</v>
      </c>
      <c r="D6" s="108">
        <f t="shared" si="1"/>
        <v>2017</v>
      </c>
      <c r="F6" s="109" t="str">
        <f t="shared" ref="F6:F57" si="3">"FT-"&amp;G6&amp;"*"</f>
        <v>FT-RSDOILLPG*</v>
      </c>
      <c r="G6" s="109" t="str">
        <f>'Local_Prices-KZK'!F6</f>
        <v>RSDOILLPG</v>
      </c>
      <c r="H6" s="130">
        <f t="shared" si="2"/>
        <v>0.20000000000000018</v>
      </c>
      <c r="J6" s="130">
        <f>'Local_Prices-AZJ'!E6</f>
        <v>0.20000000000000018</v>
      </c>
      <c r="K6" s="109" t="str">
        <f>'Local_Prices-KZK'!B6</f>
        <v>LPG</v>
      </c>
      <c r="L6" s="134"/>
    </row>
    <row r="7" spans="1:12" x14ac:dyDescent="0.25">
      <c r="C7" s="109" t="str">
        <f t="shared" si="0"/>
        <v>FLO_TAX</v>
      </c>
      <c r="D7" s="108">
        <f t="shared" si="1"/>
        <v>2017</v>
      </c>
      <c r="F7" s="109" t="str">
        <f t="shared" si="3"/>
        <v>FT-RSDGASNAT*</v>
      </c>
      <c r="G7" s="109" t="str">
        <f>'Local_Prices-KZK'!F7</f>
        <v>RSDGASNAT</v>
      </c>
      <c r="H7" s="130">
        <f t="shared" si="2"/>
        <v>0.20000000000000018</v>
      </c>
      <c r="J7" s="130">
        <f>'Local_Prices-AZJ'!E7</f>
        <v>0.20000000000000018</v>
      </c>
      <c r="K7" s="109" t="str">
        <f>'Local_Prices-KZK'!B7</f>
        <v>Natural Gas</v>
      </c>
      <c r="L7" s="134"/>
    </row>
    <row r="8" spans="1:12" x14ac:dyDescent="0.25">
      <c r="C8" s="109" t="str">
        <f t="shared" si="0"/>
        <v>FLO_TAX</v>
      </c>
      <c r="D8" s="108">
        <f t="shared" si="1"/>
        <v>2017</v>
      </c>
      <c r="F8" s="109" t="str">
        <f t="shared" si="3"/>
        <v>FT-RSDCOABIC*</v>
      </c>
      <c r="G8" s="109" t="str">
        <f>'Local_Prices-KZK'!F8</f>
        <v>RSDCOABIC</v>
      </c>
      <c r="H8" s="130">
        <f t="shared" si="2"/>
        <v>6.6666666666666721E-2</v>
      </c>
      <c r="J8" s="130">
        <f>'Local_Prices-AZJ'!E8</f>
        <v>6.6666666666666721E-2</v>
      </c>
      <c r="K8" s="109" t="str">
        <f>'Local_Prices-KZK'!B8</f>
        <v>Coal</v>
      </c>
      <c r="L8" s="134"/>
    </row>
    <row r="9" spans="1:12" x14ac:dyDescent="0.25">
      <c r="C9" s="109" t="str">
        <f t="shared" si="0"/>
        <v>FLO_TAX</v>
      </c>
      <c r="D9" s="108">
        <f t="shared" si="1"/>
        <v>2017</v>
      </c>
      <c r="F9" s="109" t="str">
        <f t="shared" si="3"/>
        <v>FT-RSDCOABCO*</v>
      </c>
      <c r="G9" s="109" t="str">
        <f>'Local_Prices-KZK'!F9</f>
        <v>RSDCOABCO</v>
      </c>
      <c r="H9" s="130">
        <f t="shared" si="2"/>
        <v>6.6666666666666721E-2</v>
      </c>
      <c r="J9" s="130">
        <f>'Local_Prices-AZJ'!E9</f>
        <v>6.6666666666666721E-2</v>
      </c>
      <c r="K9" s="109" t="str">
        <f>'Local_Prices-KZK'!B9</f>
        <v>Lignite</v>
      </c>
      <c r="L9" s="134"/>
    </row>
    <row r="10" spans="1:12" x14ac:dyDescent="0.25">
      <c r="C10" s="109" t="str">
        <f t="shared" si="0"/>
        <v>*</v>
      </c>
      <c r="D10" s="108">
        <f t="shared" si="1"/>
        <v>2017</v>
      </c>
      <c r="F10" s="109" t="str">
        <f t="shared" si="3"/>
        <v>FT-RSDBIOCHR*</v>
      </c>
      <c r="G10" s="109" t="str">
        <f>'Local_Prices-KZK'!F10</f>
        <v>RSDBIOCHR</v>
      </c>
      <c r="H10" s="130">
        <v>0</v>
      </c>
      <c r="J10" s="130">
        <f>'Local_Prices-AZJ'!E10</f>
        <v>0</v>
      </c>
      <c r="K10" s="109" t="str">
        <f>'Local_Prices-KZK'!B10</f>
        <v>CHR</v>
      </c>
      <c r="L10" s="134"/>
    </row>
    <row r="11" spans="1:12" x14ac:dyDescent="0.25">
      <c r="C11" s="109" t="str">
        <f t="shared" si="0"/>
        <v>*</v>
      </c>
      <c r="D11" s="108">
        <f t="shared" si="1"/>
        <v>2017</v>
      </c>
      <c r="F11" s="109" t="str">
        <f t="shared" si="3"/>
        <v>FT-RSDBIOLOG*</v>
      </c>
      <c r="G11" s="109" t="str">
        <f>'Local_Prices-KZK'!F11</f>
        <v>RSDBIOLOG</v>
      </c>
      <c r="H11" s="130">
        <f t="shared" si="2"/>
        <v>0</v>
      </c>
      <c r="J11" s="130">
        <f>'Local_Prices-AZJ'!E11</f>
        <v>0</v>
      </c>
      <c r="K11" s="109" t="str">
        <f>'Local_Prices-KZK'!B11</f>
        <v>Solid Biomass</v>
      </c>
      <c r="L11" s="134"/>
    </row>
    <row r="12" spans="1:12" x14ac:dyDescent="0.25">
      <c r="C12" s="109" t="str">
        <f t="shared" si="0"/>
        <v>*</v>
      </c>
      <c r="D12" s="108">
        <f t="shared" si="1"/>
        <v>2017</v>
      </c>
      <c r="F12" s="109" t="str">
        <f t="shared" si="3"/>
        <v>FT-RSDBIOPLT*</v>
      </c>
      <c r="G12" s="109" t="str">
        <f>'Local_Prices-KZK'!F12</f>
        <v>RSDBIOPLT</v>
      </c>
      <c r="H12" s="130">
        <f t="shared" si="2"/>
        <v>0</v>
      </c>
      <c r="J12" s="130">
        <f>'Local_Prices-AZJ'!E12</f>
        <v>0</v>
      </c>
      <c r="K12" s="109" t="str">
        <f>'Local_Prices-KZK'!B12</f>
        <v>Pellets</v>
      </c>
      <c r="L12" s="134"/>
    </row>
    <row r="13" spans="1:12" x14ac:dyDescent="0.25">
      <c r="C13" s="109" t="str">
        <f t="shared" si="0"/>
        <v>FLO_TAX</v>
      </c>
      <c r="D13" s="108">
        <f t="shared" si="1"/>
        <v>2017</v>
      </c>
      <c r="F13" s="109" t="str">
        <f t="shared" si="3"/>
        <v>FT-RSDLTH*</v>
      </c>
      <c r="G13" s="109" t="str">
        <f>'Local_Prices-KZK'!F13</f>
        <v>RSDLTH</v>
      </c>
      <c r="H13" s="130">
        <f t="shared" si="2"/>
        <v>0.20000000000000018</v>
      </c>
      <c r="J13" s="130">
        <f>'Local_Prices-AZJ'!E13</f>
        <v>0.20000000000000018</v>
      </c>
      <c r="K13" s="109" t="str">
        <f>'Local_Prices-KZK'!B13</f>
        <v>Heat</v>
      </c>
      <c r="L13" s="134"/>
    </row>
    <row r="14" spans="1:12" x14ac:dyDescent="0.25">
      <c r="C14" s="109" t="str">
        <f t="shared" si="0"/>
        <v>FLO_TAX</v>
      </c>
      <c r="D14" s="108">
        <f t="shared" si="1"/>
        <v>2017</v>
      </c>
      <c r="F14" s="109" t="str">
        <f t="shared" si="3"/>
        <v>FT-RSDELC*</v>
      </c>
      <c r="G14" s="109" t="str">
        <f>'Local_Prices-KZK'!F14</f>
        <v>RSDELC</v>
      </c>
      <c r="H14" s="130">
        <f t="shared" si="2"/>
        <v>1.5</v>
      </c>
      <c r="J14" s="130">
        <f>'Local_Prices-AZJ'!E14</f>
        <v>1.5</v>
      </c>
      <c r="K14" s="109" t="str">
        <f>'Local_Prices-KZK'!B14</f>
        <v>Electricity</v>
      </c>
      <c r="L14" s="134"/>
    </row>
    <row r="15" spans="1:12" x14ac:dyDescent="0.25">
      <c r="C15" s="109" t="str">
        <f t="shared" si="0"/>
        <v>FLO_TAX</v>
      </c>
      <c r="D15" s="108">
        <f t="shared" si="1"/>
        <v>2017</v>
      </c>
      <c r="F15" s="109" t="str">
        <f t="shared" si="3"/>
        <v>FT-TEROILDSL*</v>
      </c>
      <c r="G15" s="109" t="str">
        <f>'Local_Prices-KZK'!F15</f>
        <v>TEROILDSL</v>
      </c>
      <c r="H15" s="130">
        <f t="shared" si="2"/>
        <v>0.70000000000000018</v>
      </c>
      <c r="J15" s="130">
        <f>'Local_Prices-AZJ'!E15</f>
        <v>0.70000000000000018</v>
      </c>
      <c r="K15" s="109" t="str">
        <f>'Local_Prices-KZK'!B15</f>
        <v>Diesel</v>
      </c>
      <c r="L15" s="134" t="s">
        <v>195</v>
      </c>
    </row>
    <row r="16" spans="1:12" x14ac:dyDescent="0.25">
      <c r="C16" s="109" t="str">
        <f t="shared" si="0"/>
        <v>FLO_TAX</v>
      </c>
      <c r="D16" s="108">
        <f t="shared" si="1"/>
        <v>2017</v>
      </c>
      <c r="F16" s="109" t="str">
        <f t="shared" si="3"/>
        <v>FT-TEROILHFO*</v>
      </c>
      <c r="G16" s="109" t="str">
        <f>'Local_Prices-KZK'!F16</f>
        <v>TEROILHFO</v>
      </c>
      <c r="H16" s="130">
        <f t="shared" si="2"/>
        <v>0.70000000000000018</v>
      </c>
      <c r="J16" s="130">
        <f>'Local_Prices-AZJ'!E16</f>
        <v>0.70000000000000018</v>
      </c>
      <c r="K16" s="109" t="str">
        <f>'Local_Prices-KZK'!B16</f>
        <v>HFO</v>
      </c>
      <c r="L16" s="134"/>
    </row>
    <row r="17" spans="3:12" x14ac:dyDescent="0.25">
      <c r="C17" s="109" t="str">
        <f t="shared" si="0"/>
        <v>FLO_TAX</v>
      </c>
      <c r="D17" s="108">
        <f t="shared" si="1"/>
        <v>2017</v>
      </c>
      <c r="F17" s="109" t="str">
        <f t="shared" si="3"/>
        <v>FT-TEROILLPG*</v>
      </c>
      <c r="G17" s="109" t="str">
        <f>'Local_Prices-KZK'!F17</f>
        <v>TEROILLPG</v>
      </c>
      <c r="H17" s="130">
        <f t="shared" si="2"/>
        <v>0.70000000000000018</v>
      </c>
      <c r="J17" s="130">
        <f>'Local_Prices-AZJ'!E17</f>
        <v>0.70000000000000018</v>
      </c>
      <c r="K17" s="109" t="str">
        <f>'Local_Prices-KZK'!B17</f>
        <v>LPG</v>
      </c>
      <c r="L17" s="134"/>
    </row>
    <row r="18" spans="3:12" x14ac:dyDescent="0.25">
      <c r="C18" s="109" t="str">
        <f t="shared" si="0"/>
        <v>FLO_TAX</v>
      </c>
      <c r="D18" s="108">
        <f t="shared" si="1"/>
        <v>2017</v>
      </c>
      <c r="F18" s="109" t="str">
        <f t="shared" si="3"/>
        <v>FT-TERGASNAT*</v>
      </c>
      <c r="G18" s="109" t="str">
        <f>'Local_Prices-KZK'!F18</f>
        <v>TERGASNAT</v>
      </c>
      <c r="H18" s="130">
        <f t="shared" si="2"/>
        <v>0.70000000000000018</v>
      </c>
      <c r="J18" s="130">
        <f>'Local_Prices-AZJ'!E18</f>
        <v>0.70000000000000018</v>
      </c>
      <c r="K18" s="109" t="str">
        <f>'Local_Prices-KZK'!B18</f>
        <v>Natural Gas</v>
      </c>
      <c r="L18" s="134"/>
    </row>
    <row r="19" spans="3:12" x14ac:dyDescent="0.25">
      <c r="C19" s="109" t="str">
        <f t="shared" si="0"/>
        <v>FLO_TAX</v>
      </c>
      <c r="D19" s="108">
        <f t="shared" si="1"/>
        <v>2017</v>
      </c>
      <c r="F19" s="109" t="str">
        <f t="shared" si="3"/>
        <v>FT-TERCOABIC*</v>
      </c>
      <c r="G19" s="109" t="str">
        <f>'Local_Prices-KZK'!F19</f>
        <v>TERCOABIC</v>
      </c>
      <c r="H19" s="130">
        <f t="shared" si="2"/>
        <v>0.23333333333333339</v>
      </c>
      <c r="J19" s="130">
        <f>'Local_Prices-AZJ'!E19</f>
        <v>0.23333333333333339</v>
      </c>
      <c r="K19" s="109" t="str">
        <f>'Local_Prices-KZK'!B19</f>
        <v>Coal</v>
      </c>
      <c r="L19" s="134"/>
    </row>
    <row r="20" spans="3:12" x14ac:dyDescent="0.25">
      <c r="C20" s="109" t="str">
        <f t="shared" si="0"/>
        <v>FLO_TAX</v>
      </c>
      <c r="D20" s="108">
        <f t="shared" si="1"/>
        <v>2017</v>
      </c>
      <c r="F20" s="109" t="str">
        <f t="shared" si="3"/>
        <v>FT-TERCOABCO*</v>
      </c>
      <c r="G20" s="109" t="str">
        <f>'Local_Prices-KZK'!F20</f>
        <v>TERCOABCO</v>
      </c>
      <c r="H20" s="130">
        <f t="shared" si="2"/>
        <v>0.23333333333333339</v>
      </c>
      <c r="J20" s="130">
        <f>'Local_Prices-AZJ'!E20</f>
        <v>0.23333333333333339</v>
      </c>
      <c r="K20" s="109" t="str">
        <f>'Local_Prices-KZK'!B20</f>
        <v>Lignite</v>
      </c>
      <c r="L20" s="134"/>
    </row>
    <row r="21" spans="3:12" x14ac:dyDescent="0.25">
      <c r="C21" s="109" t="str">
        <f t="shared" si="0"/>
        <v>*</v>
      </c>
      <c r="D21" s="108">
        <f t="shared" si="1"/>
        <v>2017</v>
      </c>
      <c r="F21" s="109" t="str">
        <f t="shared" si="3"/>
        <v>FT-TERBIOCHR*</v>
      </c>
      <c r="G21" s="109" t="str">
        <f>'Local_Prices-KZK'!F21</f>
        <v>TERBIOCHR</v>
      </c>
      <c r="H21" s="130">
        <f t="shared" si="2"/>
        <v>0</v>
      </c>
      <c r="J21" s="130">
        <f>'Local_Prices-AZJ'!E21</f>
        <v>0</v>
      </c>
      <c r="K21" s="109" t="str">
        <f>'Local_Prices-KZK'!B21</f>
        <v>CHR</v>
      </c>
      <c r="L21" s="134"/>
    </row>
    <row r="22" spans="3:12" x14ac:dyDescent="0.25">
      <c r="C22" s="109" t="str">
        <f t="shared" si="0"/>
        <v>*</v>
      </c>
      <c r="D22" s="108">
        <f t="shared" si="1"/>
        <v>2017</v>
      </c>
      <c r="F22" s="109" t="str">
        <f t="shared" si="3"/>
        <v>FT-TERBIOLOG*</v>
      </c>
      <c r="G22" s="109" t="str">
        <f>'Local_Prices-KZK'!F22</f>
        <v>TERBIOLOG</v>
      </c>
      <c r="H22" s="130">
        <f t="shared" si="2"/>
        <v>0</v>
      </c>
      <c r="J22" s="130">
        <f>'Local_Prices-AZJ'!E22</f>
        <v>0</v>
      </c>
      <c r="K22" s="109" t="str">
        <f>'Local_Prices-KZK'!B22</f>
        <v>Solid Biomass</v>
      </c>
      <c r="L22" s="134"/>
    </row>
    <row r="23" spans="3:12" x14ac:dyDescent="0.25">
      <c r="C23" s="109" t="str">
        <f t="shared" si="0"/>
        <v>*</v>
      </c>
      <c r="D23" s="108">
        <f t="shared" si="1"/>
        <v>2017</v>
      </c>
      <c r="F23" s="109" t="str">
        <f t="shared" si="3"/>
        <v>FT-TERBIOPLT*</v>
      </c>
      <c r="G23" s="109" t="str">
        <f>'Local_Prices-KZK'!F23</f>
        <v>TERBIOPLT</v>
      </c>
      <c r="H23" s="130">
        <f t="shared" si="2"/>
        <v>0</v>
      </c>
      <c r="J23" s="130">
        <f>'Local_Prices-AZJ'!E23</f>
        <v>0</v>
      </c>
      <c r="K23" s="109" t="str">
        <f>'Local_Prices-KZK'!B23</f>
        <v>Pellets</v>
      </c>
      <c r="L23" s="134"/>
    </row>
    <row r="24" spans="3:12" x14ac:dyDescent="0.25">
      <c r="C24" s="109" t="str">
        <f t="shared" si="0"/>
        <v>*</v>
      </c>
      <c r="D24" s="108">
        <f t="shared" si="1"/>
        <v>2017</v>
      </c>
      <c r="F24" s="109" t="str">
        <f t="shared" si="3"/>
        <v>FT-0*</v>
      </c>
      <c r="G24" s="109">
        <f>'Local_Prices-KZK'!F24</f>
        <v>0</v>
      </c>
      <c r="H24" s="130">
        <f t="shared" si="2"/>
        <v>0</v>
      </c>
      <c r="J24" s="130">
        <f>'Local_Prices-AZJ'!E24</f>
        <v>0</v>
      </c>
      <c r="K24" s="109">
        <f>'Local_Prices-KZK'!B24</f>
        <v>0</v>
      </c>
      <c r="L24" s="134"/>
    </row>
    <row r="25" spans="3:12" x14ac:dyDescent="0.25">
      <c r="C25" s="109" t="str">
        <f t="shared" si="0"/>
        <v>FLO_TAX</v>
      </c>
      <c r="D25" s="108">
        <f t="shared" si="1"/>
        <v>2017</v>
      </c>
      <c r="F25" s="109" t="str">
        <f t="shared" si="3"/>
        <v>FT-TERLTH*</v>
      </c>
      <c r="G25" s="109" t="str">
        <f>'Local_Prices-KZK'!F25</f>
        <v>TERLTH</v>
      </c>
      <c r="H25" s="130">
        <f t="shared" si="2"/>
        <v>0.20000000000000018</v>
      </c>
      <c r="J25" s="130">
        <f>'Local_Prices-AZJ'!E25</f>
        <v>0.20000000000000018</v>
      </c>
      <c r="K25" s="109" t="str">
        <f>'Local_Prices-KZK'!B25</f>
        <v>Heat</v>
      </c>
      <c r="L25" s="134"/>
    </row>
    <row r="26" spans="3:12" x14ac:dyDescent="0.25">
      <c r="C26" s="109" t="str">
        <f t="shared" si="0"/>
        <v>FLO_TAX</v>
      </c>
      <c r="D26" s="108">
        <f t="shared" si="1"/>
        <v>2017</v>
      </c>
      <c r="F26" s="109" t="str">
        <f t="shared" si="3"/>
        <v>FT-TERELC*</v>
      </c>
      <c r="G26" s="109" t="str">
        <f>'Local_Prices-KZK'!F26</f>
        <v>TERELC</v>
      </c>
      <c r="H26" s="130">
        <f t="shared" si="2"/>
        <v>4.6999999999999993</v>
      </c>
      <c r="J26" s="130">
        <f>'Local_Prices-AZJ'!E26</f>
        <v>4.6999999999999993</v>
      </c>
      <c r="K26" s="109" t="str">
        <f>'Local_Prices-KZK'!B26</f>
        <v>Electricity</v>
      </c>
      <c r="L26" s="134"/>
    </row>
    <row r="27" spans="3:12" x14ac:dyDescent="0.25">
      <c r="C27" s="109" t="str">
        <f t="shared" si="0"/>
        <v>FLO_TAX</v>
      </c>
      <c r="D27" s="108">
        <f t="shared" si="1"/>
        <v>2017</v>
      </c>
      <c r="F27" s="109" t="str">
        <f t="shared" si="3"/>
        <v>FT-INDOILDSL*</v>
      </c>
      <c r="G27" s="109" t="s">
        <v>241</v>
      </c>
      <c r="H27" s="130">
        <f t="shared" si="2"/>
        <v>1.5</v>
      </c>
      <c r="J27" s="130">
        <f>'Local_Prices-AZJ'!E27</f>
        <v>1.5</v>
      </c>
      <c r="K27" s="109" t="str">
        <f>'Local_Prices-KZK'!B27</f>
        <v>Diesel</v>
      </c>
      <c r="L27" s="134" t="s">
        <v>218</v>
      </c>
    </row>
    <row r="28" spans="3:12" x14ac:dyDescent="0.25">
      <c r="C28" s="109" t="str">
        <f t="shared" si="0"/>
        <v>FLO_TAX</v>
      </c>
      <c r="D28" s="108">
        <f t="shared" si="1"/>
        <v>2017</v>
      </c>
      <c r="F28" s="109" t="str">
        <f t="shared" si="3"/>
        <v>FT-INDOILHFO*</v>
      </c>
      <c r="G28" s="109" t="s">
        <v>268</v>
      </c>
      <c r="H28" s="130">
        <f t="shared" si="2"/>
        <v>1.5</v>
      </c>
      <c r="J28" s="130">
        <f>'Local_Prices-AZJ'!E28</f>
        <v>1.5</v>
      </c>
      <c r="K28" s="109" t="str">
        <f>'Local_Prices-KZK'!B28</f>
        <v>Fuel Oil</v>
      </c>
      <c r="L28" s="134"/>
    </row>
    <row r="29" spans="3:12" x14ac:dyDescent="0.25">
      <c r="C29" s="109" t="str">
        <f t="shared" si="0"/>
        <v>FLO_TAX</v>
      </c>
      <c r="D29" s="108">
        <f t="shared" si="1"/>
        <v>2017</v>
      </c>
      <c r="F29" s="109" t="str">
        <f t="shared" si="3"/>
        <v>FT-INDOILOTH*</v>
      </c>
      <c r="G29" s="109" t="s">
        <v>242</v>
      </c>
      <c r="H29" s="130">
        <f t="shared" si="2"/>
        <v>1.5</v>
      </c>
      <c r="J29" s="130">
        <f>J28</f>
        <v>1.5</v>
      </c>
      <c r="L29" s="134"/>
    </row>
    <row r="30" spans="3:12" x14ac:dyDescent="0.25">
      <c r="C30" s="109" t="str">
        <f t="shared" si="0"/>
        <v>FLO_TAX</v>
      </c>
      <c r="D30" s="108">
        <f t="shared" si="1"/>
        <v>2017</v>
      </c>
      <c r="F30" s="109" t="str">
        <f t="shared" si="3"/>
        <v>FT-INDOILLPG*</v>
      </c>
      <c r="G30" s="109" t="str">
        <f>'Local_Prices-KZK'!F29</f>
        <v>INDOILLPG</v>
      </c>
      <c r="H30" s="130">
        <f t="shared" si="2"/>
        <v>1.5</v>
      </c>
      <c r="J30" s="130">
        <f>'Local_Prices-AZJ'!E29</f>
        <v>1.5</v>
      </c>
      <c r="K30" s="109" t="str">
        <f>'Local_Prices-KZK'!B29</f>
        <v>LPG</v>
      </c>
      <c r="L30" s="134"/>
    </row>
    <row r="31" spans="3:12" x14ac:dyDescent="0.25">
      <c r="C31" s="109" t="str">
        <f t="shared" si="0"/>
        <v>FLO_TAX</v>
      </c>
      <c r="D31" s="108">
        <f t="shared" si="1"/>
        <v>2017</v>
      </c>
      <c r="F31" s="109" t="str">
        <f t="shared" si="3"/>
        <v>FT-INDOILGSL*</v>
      </c>
      <c r="G31" s="109" t="str">
        <f>'Local_Prices-KZK'!F30</f>
        <v>INDOILGSL</v>
      </c>
      <c r="H31" s="130">
        <f t="shared" si="2"/>
        <v>1.5</v>
      </c>
      <c r="J31" s="130">
        <f>'Local_Prices-AZJ'!E30</f>
        <v>1.5</v>
      </c>
      <c r="K31" s="109" t="str">
        <f>'Local_Prices-KZK'!B30</f>
        <v>Gasoline</v>
      </c>
      <c r="L31" s="134"/>
    </row>
    <row r="32" spans="3:12" x14ac:dyDescent="0.25">
      <c r="C32" s="109" t="str">
        <f t="shared" si="0"/>
        <v>FLO_TAX</v>
      </c>
      <c r="D32" s="108">
        <f t="shared" si="1"/>
        <v>2017</v>
      </c>
      <c r="F32" s="109" t="str">
        <f t="shared" si="3"/>
        <v>FT-INDGASNAT*</v>
      </c>
      <c r="G32" s="109" t="str">
        <f>'Local_Prices-KZK'!F31</f>
        <v>INDGASNAT</v>
      </c>
      <c r="H32" s="130">
        <f t="shared" si="2"/>
        <v>1.5</v>
      </c>
      <c r="J32" s="130">
        <f>'Local_Prices-AZJ'!E31</f>
        <v>1.5</v>
      </c>
      <c r="K32" s="109" t="str">
        <f>'Local_Prices-KZK'!B31</f>
        <v>Natural Gas</v>
      </c>
      <c r="L32" s="134"/>
    </row>
    <row r="33" spans="3:12" x14ac:dyDescent="0.25">
      <c r="C33" s="109" t="str">
        <f t="shared" si="0"/>
        <v>FLO_TAX</v>
      </c>
      <c r="D33" s="108">
        <f t="shared" si="1"/>
        <v>2017</v>
      </c>
      <c r="F33" s="109" t="str">
        <f t="shared" si="3"/>
        <v>FT-INDCOASUB*</v>
      </c>
      <c r="G33" s="109" t="str">
        <f>'Local_Prices-KZK'!F32</f>
        <v>INDCOASUB</v>
      </c>
      <c r="H33" s="130">
        <f t="shared" si="2"/>
        <v>0.5</v>
      </c>
      <c r="J33" s="130">
        <f>'Local_Prices-AZJ'!E32</f>
        <v>0.5</v>
      </c>
      <c r="K33" s="109" t="str">
        <f>'Local_Prices-KZK'!B32</f>
        <v>Coal</v>
      </c>
      <c r="L33" s="134"/>
    </row>
    <row r="34" spans="3:12" x14ac:dyDescent="0.25">
      <c r="C34" s="109" t="str">
        <f t="shared" si="0"/>
        <v>FLO_TAX</v>
      </c>
      <c r="D34" s="108">
        <f t="shared" si="1"/>
        <v>2017</v>
      </c>
      <c r="F34" s="109" t="str">
        <f t="shared" si="3"/>
        <v>FT-INDCOABCO*</v>
      </c>
      <c r="G34" s="109" t="str">
        <f>'Local_Prices-KZK'!F33</f>
        <v>INDCOABCO</v>
      </c>
      <c r="H34" s="130">
        <f t="shared" si="2"/>
        <v>0.5</v>
      </c>
      <c r="J34" s="130">
        <f>'Local_Prices-AZJ'!E33</f>
        <v>0.5</v>
      </c>
      <c r="K34" s="109" t="str">
        <f>'Local_Prices-KZK'!B33</f>
        <v>Lignite</v>
      </c>
      <c r="L34" s="134"/>
    </row>
    <row r="35" spans="3:12" x14ac:dyDescent="0.25">
      <c r="C35" s="109" t="str">
        <f t="shared" si="0"/>
        <v>FLO_TAX</v>
      </c>
      <c r="D35" s="108">
        <f t="shared" si="1"/>
        <v>2017</v>
      </c>
      <c r="F35" s="109" t="str">
        <f t="shared" si="3"/>
        <v>FT-INDCOABIC*</v>
      </c>
      <c r="G35" s="109" t="str">
        <f>'Local_Prices-KZK'!F34</f>
        <v>INDCOABIC</v>
      </c>
      <c r="H35" s="130">
        <f t="shared" si="2"/>
        <v>0.5</v>
      </c>
      <c r="J35" s="130">
        <f>'Local_Prices-AZJ'!E34</f>
        <v>0.5</v>
      </c>
      <c r="K35" s="109" t="str">
        <f>'Local_Prices-KZK'!B34</f>
        <v>Other bituminous</v>
      </c>
      <c r="L35" s="134"/>
    </row>
    <row r="36" spans="3:12" x14ac:dyDescent="0.25">
      <c r="C36" s="109" t="str">
        <f t="shared" si="0"/>
        <v>*</v>
      </c>
      <c r="D36" s="108">
        <f t="shared" si="1"/>
        <v>2017</v>
      </c>
      <c r="F36" s="109" t="str">
        <f t="shared" si="3"/>
        <v>FT-INDCOACOK*</v>
      </c>
      <c r="G36" s="109" t="str">
        <f>'Local_Prices-KZK'!F35</f>
        <v>INDCOACOK</v>
      </c>
      <c r="H36" s="130">
        <f t="shared" si="2"/>
        <v>0</v>
      </c>
      <c r="J36" s="130">
        <f>'Local_Prices-AZJ'!E35</f>
        <v>0</v>
      </c>
      <c r="K36" s="109" t="str">
        <f>'Local_Prices-KZK'!B35</f>
        <v>Coke</v>
      </c>
      <c r="L36" s="134"/>
    </row>
    <row r="37" spans="3:12" x14ac:dyDescent="0.25">
      <c r="C37" s="109" t="str">
        <f t="shared" ref="C37:C68" si="4">IF(J37=0,"*",IF(J37&lt;0,"FLO_SUB","FLO_TAX"))</f>
        <v>*</v>
      </c>
      <c r="D37" s="108">
        <f t="shared" si="1"/>
        <v>2017</v>
      </c>
      <c r="F37" s="109" t="str">
        <f t="shared" si="3"/>
        <v>FT-INDCOABKB*</v>
      </c>
      <c r="G37" s="109" t="str">
        <f>'Local_Prices-KZK'!F36</f>
        <v>INDCOABKB</v>
      </c>
      <c r="H37" s="130">
        <f t="shared" ref="H37:H68" si="5">J37</f>
        <v>0</v>
      </c>
      <c r="J37" s="130">
        <f>'Local_Prices-AZJ'!E36</f>
        <v>0</v>
      </c>
      <c r="K37" s="109" t="str">
        <f>'Local_Prices-KZK'!B36</f>
        <v>BKB</v>
      </c>
      <c r="L37" s="134"/>
    </row>
    <row r="38" spans="3:12" x14ac:dyDescent="0.25">
      <c r="C38" s="109" t="str">
        <f t="shared" si="4"/>
        <v>*</v>
      </c>
      <c r="D38" s="108">
        <f t="shared" si="1"/>
        <v>2017</v>
      </c>
      <c r="F38" s="109" t="str">
        <f t="shared" si="3"/>
        <v>FT-INDBIOLOG*</v>
      </c>
      <c r="G38" s="109" t="str">
        <f>'Local_Prices-KZK'!F37</f>
        <v>INDBIOLOG</v>
      </c>
      <c r="H38" s="130">
        <f t="shared" si="5"/>
        <v>0</v>
      </c>
      <c r="J38" s="130">
        <f>'Local_Prices-AZJ'!E37</f>
        <v>0</v>
      </c>
      <c r="K38" s="109" t="str">
        <f>'Local_Prices-KZK'!B37</f>
        <v>Solid Biomass</v>
      </c>
      <c r="L38" s="134"/>
    </row>
    <row r="39" spans="3:12" x14ac:dyDescent="0.25">
      <c r="C39" s="109" t="str">
        <f t="shared" si="4"/>
        <v>*</v>
      </c>
      <c r="D39" s="108">
        <v>2030</v>
      </c>
      <c r="F39" s="109" t="str">
        <f>F38</f>
        <v>FT-INDBIOLOG*</v>
      </c>
      <c r="G39" s="109" t="str">
        <f>G38</f>
        <v>INDBIOLOG</v>
      </c>
      <c r="H39" s="130">
        <f t="shared" si="5"/>
        <v>0</v>
      </c>
      <c r="J39" s="130">
        <f>J38</f>
        <v>0</v>
      </c>
      <c r="L39" s="134"/>
    </row>
    <row r="40" spans="3:12" x14ac:dyDescent="0.25">
      <c r="C40" s="109" t="str">
        <f t="shared" si="4"/>
        <v>*</v>
      </c>
      <c r="D40" s="108">
        <f>BASE_YEAR</f>
        <v>2017</v>
      </c>
      <c r="F40" s="109" t="str">
        <f t="shared" si="3"/>
        <v>FT-INDBIOCHR*</v>
      </c>
      <c r="G40" s="109" t="s">
        <v>257</v>
      </c>
      <c r="H40" s="130">
        <f t="shared" si="5"/>
        <v>0</v>
      </c>
      <c r="J40" s="130">
        <f t="shared" ref="J40:J43" si="6">J39</f>
        <v>0</v>
      </c>
      <c r="L40" s="134"/>
    </row>
    <row r="41" spans="3:12" x14ac:dyDescent="0.25">
      <c r="C41" s="109" t="str">
        <f t="shared" si="4"/>
        <v>*</v>
      </c>
      <c r="D41" s="108">
        <v>2030</v>
      </c>
      <c r="F41" s="109" t="str">
        <f>F40</f>
        <v>FT-INDBIOCHR*</v>
      </c>
      <c r="G41" s="109" t="str">
        <f>G40</f>
        <v>INDBIOCHR</v>
      </c>
      <c r="H41" s="130">
        <f t="shared" si="5"/>
        <v>0</v>
      </c>
      <c r="J41" s="130">
        <f t="shared" si="6"/>
        <v>0</v>
      </c>
      <c r="L41" s="134"/>
    </row>
    <row r="42" spans="3:12" x14ac:dyDescent="0.25">
      <c r="C42" s="109" t="str">
        <f t="shared" si="4"/>
        <v>*</v>
      </c>
      <c r="D42" s="108">
        <f>BASE_YEAR</f>
        <v>2017</v>
      </c>
      <c r="F42" s="109" t="str">
        <f t="shared" ref="F42" si="7">"FT-"&amp;G42&amp;"*"</f>
        <v>FT-INDBIOPLT*</v>
      </c>
      <c r="G42" s="109" t="s">
        <v>258</v>
      </c>
      <c r="H42" s="130">
        <f t="shared" si="5"/>
        <v>0</v>
      </c>
      <c r="J42" s="130">
        <f t="shared" si="6"/>
        <v>0</v>
      </c>
      <c r="L42" s="134"/>
    </row>
    <row r="43" spans="3:12" x14ac:dyDescent="0.25">
      <c r="C43" s="109" t="str">
        <f t="shared" si="4"/>
        <v>*</v>
      </c>
      <c r="D43" s="108">
        <v>2030</v>
      </c>
      <c r="F43" s="109" t="str">
        <f>F42</f>
        <v>FT-INDBIOPLT*</v>
      </c>
      <c r="G43" s="109" t="str">
        <f>G42</f>
        <v>INDBIOPLT</v>
      </c>
      <c r="H43" s="130">
        <f t="shared" si="5"/>
        <v>0</v>
      </c>
      <c r="J43" s="130">
        <f t="shared" si="6"/>
        <v>0</v>
      </c>
      <c r="L43" s="134"/>
    </row>
    <row r="44" spans="3:12" x14ac:dyDescent="0.25">
      <c r="C44" s="109" t="str">
        <f t="shared" si="4"/>
        <v>FLO_TAX</v>
      </c>
      <c r="D44" s="108">
        <f t="shared" si="1"/>
        <v>2017</v>
      </c>
      <c r="F44" s="109" t="str">
        <f t="shared" si="3"/>
        <v>FT-INDHTH*</v>
      </c>
      <c r="G44" s="109" t="str">
        <f>'Local_Prices-KZK'!F38</f>
        <v>INDHTH</v>
      </c>
      <c r="H44" s="130">
        <f t="shared" si="5"/>
        <v>0.10000000000000009</v>
      </c>
      <c r="J44" s="130">
        <f>'Local_Prices-AZJ'!E38</f>
        <v>0.10000000000000009</v>
      </c>
      <c r="K44" s="109" t="str">
        <f>'Local_Prices-KZK'!B38</f>
        <v>Heat</v>
      </c>
      <c r="L44" s="134"/>
    </row>
    <row r="45" spans="3:12" x14ac:dyDescent="0.25">
      <c r="C45" s="109" t="str">
        <f t="shared" si="4"/>
        <v>FLO_TAX</v>
      </c>
      <c r="D45" s="108">
        <f t="shared" si="1"/>
        <v>2017</v>
      </c>
      <c r="F45" s="109" t="str">
        <f t="shared" si="3"/>
        <v>FT-INDELC*</v>
      </c>
      <c r="G45" s="109" t="str">
        <f>'Local_Prices-KZK'!F39</f>
        <v>INDELC</v>
      </c>
      <c r="H45" s="130">
        <f t="shared" si="5"/>
        <v>4.6999999999999993</v>
      </c>
      <c r="J45" s="130">
        <f>'Local_Prices-AZJ'!E39</f>
        <v>4.6999999999999993</v>
      </c>
      <c r="K45" s="109" t="str">
        <f>'Local_Prices-KZK'!B39</f>
        <v>Electricity</v>
      </c>
      <c r="L45" s="134"/>
    </row>
    <row r="46" spans="3:12" x14ac:dyDescent="0.25">
      <c r="C46" s="109" t="str">
        <f t="shared" si="4"/>
        <v>FLO_TAX</v>
      </c>
      <c r="D46" s="108">
        <f t="shared" si="1"/>
        <v>2017</v>
      </c>
      <c r="F46" s="109" t="str">
        <f t="shared" si="3"/>
        <v>FT-ELEOILDSL*</v>
      </c>
      <c r="G46" s="109" t="s">
        <v>243</v>
      </c>
      <c r="H46" s="130">
        <f t="shared" si="5"/>
        <v>0.5</v>
      </c>
      <c r="J46" s="130">
        <f>'Local_Prices-AZJ'!E52</f>
        <v>0.5</v>
      </c>
      <c r="K46" s="109" t="str">
        <f>'Local_Prices-KZK'!B52</f>
        <v>Diesel</v>
      </c>
      <c r="L46" s="134" t="s">
        <v>196</v>
      </c>
    </row>
    <row r="47" spans="3:12" x14ac:dyDescent="0.25">
      <c r="C47" s="109" t="str">
        <f t="shared" si="4"/>
        <v>FLO_TAX</v>
      </c>
      <c r="D47" s="108">
        <f t="shared" si="1"/>
        <v>2017</v>
      </c>
      <c r="F47" s="109" t="str">
        <f t="shared" si="3"/>
        <v>FT-HETOILDSL*</v>
      </c>
      <c r="G47" s="109" t="s">
        <v>244</v>
      </c>
      <c r="H47" s="130">
        <f t="shared" si="5"/>
        <v>0.5</v>
      </c>
      <c r="J47" s="130">
        <f>J46</f>
        <v>0.5</v>
      </c>
      <c r="L47" s="134"/>
    </row>
    <row r="48" spans="3:12" x14ac:dyDescent="0.25">
      <c r="C48" s="109" t="str">
        <f t="shared" si="4"/>
        <v>FLO_TAX</v>
      </c>
      <c r="D48" s="108">
        <f t="shared" si="1"/>
        <v>2017</v>
      </c>
      <c r="F48" s="109" t="str">
        <f t="shared" si="3"/>
        <v>FT-ELEOILHFO*</v>
      </c>
      <c r="G48" s="109" t="s">
        <v>269</v>
      </c>
      <c r="H48" s="130">
        <f t="shared" si="5"/>
        <v>0.5</v>
      </c>
      <c r="J48" s="130">
        <f>'Local_Prices-AZJ'!E53</f>
        <v>0.5</v>
      </c>
      <c r="K48" s="109" t="str">
        <f>'Local_Prices-KZK'!B53</f>
        <v>Fuel Oil</v>
      </c>
      <c r="L48" s="134"/>
    </row>
    <row r="49" spans="3:12" x14ac:dyDescent="0.25">
      <c r="C49" s="109" t="str">
        <f t="shared" si="4"/>
        <v>FLO_TAX</v>
      </c>
      <c r="D49" s="108">
        <f t="shared" si="1"/>
        <v>2017</v>
      </c>
      <c r="F49" s="109" t="str">
        <f t="shared" si="3"/>
        <v>FT-HETOILHFO*</v>
      </c>
      <c r="G49" s="109" t="s">
        <v>270</v>
      </c>
      <c r="H49" s="130">
        <f t="shared" si="5"/>
        <v>0.5</v>
      </c>
      <c r="J49" s="130">
        <f>J48</f>
        <v>0.5</v>
      </c>
      <c r="L49" s="134"/>
    </row>
    <row r="50" spans="3:12" x14ac:dyDescent="0.25">
      <c r="C50" s="109" t="str">
        <f t="shared" si="4"/>
        <v>FLO_TAX</v>
      </c>
      <c r="D50" s="108">
        <f t="shared" si="1"/>
        <v>2017</v>
      </c>
      <c r="F50" s="109" t="str">
        <f t="shared" si="3"/>
        <v>FT-ELEGASNAT*</v>
      </c>
      <c r="G50" s="109" t="s">
        <v>245</v>
      </c>
      <c r="H50" s="130">
        <f t="shared" si="5"/>
        <v>0.5</v>
      </c>
      <c r="J50" s="130">
        <f>'Local_Prices-AZJ'!E54</f>
        <v>0.5</v>
      </c>
      <c r="K50" s="109" t="str">
        <f>'Local_Prices-KZK'!B54</f>
        <v>Natural Gas</v>
      </c>
      <c r="L50" s="134"/>
    </row>
    <row r="51" spans="3:12" x14ac:dyDescent="0.25">
      <c r="C51" s="109" t="str">
        <f t="shared" si="4"/>
        <v>FLO_TAX</v>
      </c>
      <c r="D51" s="108">
        <f t="shared" si="1"/>
        <v>2017</v>
      </c>
      <c r="F51" s="109" t="str">
        <f t="shared" si="3"/>
        <v>FT-HETGASNAT*</v>
      </c>
      <c r="G51" s="109" t="s">
        <v>246</v>
      </c>
      <c r="H51" s="130">
        <f t="shared" si="5"/>
        <v>0.5</v>
      </c>
      <c r="J51" s="130">
        <f>J50</f>
        <v>0.5</v>
      </c>
      <c r="L51" s="134"/>
    </row>
    <row r="52" spans="3:12" x14ac:dyDescent="0.25">
      <c r="C52" s="109" t="str">
        <f t="shared" si="4"/>
        <v>FLO_TAX</v>
      </c>
      <c r="D52" s="108">
        <f t="shared" si="1"/>
        <v>2017</v>
      </c>
      <c r="F52" s="109" t="str">
        <f t="shared" si="3"/>
        <v>FT-ELECOASUB*</v>
      </c>
      <c r="G52" s="109" t="s">
        <v>316</v>
      </c>
      <c r="H52" s="130">
        <f t="shared" si="5"/>
        <v>0.16666666666666666</v>
      </c>
      <c r="J52" s="130">
        <f>'Local_Prices-AZJ'!E55</f>
        <v>0.16666666666666666</v>
      </c>
      <c r="K52" s="109" t="str">
        <f>'Local_Prices-KZK'!B55</f>
        <v>Coal</v>
      </c>
      <c r="L52" s="134"/>
    </row>
    <row r="53" spans="3:12" x14ac:dyDescent="0.25">
      <c r="C53" s="109" t="str">
        <f t="shared" si="4"/>
        <v>FLO_TAX</v>
      </c>
      <c r="D53" s="108">
        <f t="shared" si="1"/>
        <v>2017</v>
      </c>
      <c r="F53" s="109" t="str">
        <f t="shared" si="3"/>
        <v>FT-HETCOASUB*</v>
      </c>
      <c r="G53" s="109" t="s">
        <v>317</v>
      </c>
      <c r="H53" s="130">
        <f t="shared" si="5"/>
        <v>0.16666666666666666</v>
      </c>
      <c r="J53" s="130">
        <f>J52</f>
        <v>0.16666666666666666</v>
      </c>
      <c r="L53" s="134"/>
    </row>
    <row r="54" spans="3:12" x14ac:dyDescent="0.25">
      <c r="C54" s="109" t="str">
        <f t="shared" si="4"/>
        <v>FLO_TAX</v>
      </c>
      <c r="D54" s="108">
        <f t="shared" si="1"/>
        <v>2017</v>
      </c>
      <c r="F54" s="109" t="str">
        <f t="shared" si="3"/>
        <v>FT-ELEBIOLOG*</v>
      </c>
      <c r="G54" s="109" t="s">
        <v>247</v>
      </c>
      <c r="H54" s="130">
        <f t="shared" si="5"/>
        <v>0.16666666666666666</v>
      </c>
      <c r="J54" s="130">
        <f>'Local_Prices-AZJ'!E57</f>
        <v>0.16666666666666666</v>
      </c>
      <c r="K54" s="109" t="str">
        <f>'Local_Prices-KZK'!B57</f>
        <v>Solid Biomass</v>
      </c>
      <c r="L54" s="134"/>
    </row>
    <row r="55" spans="3:12" x14ac:dyDescent="0.25">
      <c r="C55" s="109" t="str">
        <f t="shared" si="4"/>
        <v>FLO_TAX</v>
      </c>
      <c r="D55" s="108">
        <f t="shared" si="1"/>
        <v>2017</v>
      </c>
      <c r="F55" s="109" t="str">
        <f t="shared" si="3"/>
        <v>FT-HETBIOLOG*</v>
      </c>
      <c r="G55" s="109" t="s">
        <v>255</v>
      </c>
      <c r="H55" s="130">
        <f t="shared" si="5"/>
        <v>0.16666666666666666</v>
      </c>
      <c r="J55" s="130">
        <f>J54</f>
        <v>0.16666666666666666</v>
      </c>
      <c r="L55" s="134"/>
    </row>
    <row r="56" spans="3:12" x14ac:dyDescent="0.25">
      <c r="C56" s="109" t="str">
        <f t="shared" si="4"/>
        <v>FLO_TAX</v>
      </c>
      <c r="D56" s="108">
        <f t="shared" si="1"/>
        <v>2017</v>
      </c>
      <c r="F56" s="109" t="str">
        <f t="shared" si="3"/>
        <v>FT-HETBIOPLT*</v>
      </c>
      <c r="G56" s="109" t="s">
        <v>256</v>
      </c>
      <c r="H56" s="130">
        <f t="shared" si="5"/>
        <v>0.16666666666666666</v>
      </c>
      <c r="J56" s="130">
        <f>J55</f>
        <v>0.16666666666666666</v>
      </c>
      <c r="L56" s="134"/>
    </row>
    <row r="57" spans="3:12" x14ac:dyDescent="0.25">
      <c r="C57" s="109" t="str">
        <f t="shared" si="4"/>
        <v>FLO_TAX</v>
      </c>
      <c r="D57" s="108">
        <f t="shared" si="1"/>
        <v>2017</v>
      </c>
      <c r="F57" s="109" t="str">
        <f t="shared" si="3"/>
        <v>FT-TRAOILDSL*</v>
      </c>
      <c r="G57" s="109" t="str">
        <f>'Local_Prices-KZK'!F58</f>
        <v>TRAOILDSL</v>
      </c>
      <c r="H57" s="130">
        <f t="shared" si="5"/>
        <v>2</v>
      </c>
      <c r="J57" s="130">
        <f>'Local_Prices-AZJ'!E58</f>
        <v>2</v>
      </c>
      <c r="K57" s="109" t="str">
        <f>'Local_Prices-KZK'!B58</f>
        <v>Diesel Cars</v>
      </c>
      <c r="L57" s="134" t="s">
        <v>124</v>
      </c>
    </row>
    <row r="58" spans="3:12" x14ac:dyDescent="0.25">
      <c r="C58" s="109" t="str">
        <f t="shared" si="4"/>
        <v>FLO_TAX</v>
      </c>
      <c r="D58" s="108">
        <f t="shared" si="1"/>
        <v>2017</v>
      </c>
      <c r="F58" s="109" t="s">
        <v>232</v>
      </c>
      <c r="G58" s="109" t="str">
        <f>'Local_Prices-KZK'!F59</f>
        <v>TRAOILDSL</v>
      </c>
      <c r="H58" s="130">
        <f t="shared" si="5"/>
        <v>2</v>
      </c>
      <c r="J58" s="130">
        <f>'Local_Prices-AZJ'!E59</f>
        <v>2</v>
      </c>
      <c r="K58" s="109" t="str">
        <f>'Local_Prices-KZK'!B59</f>
        <v>Diesel Rail</v>
      </c>
      <c r="L58" s="134"/>
    </row>
    <row r="59" spans="3:12" x14ac:dyDescent="0.25">
      <c r="C59" s="109" t="str">
        <f t="shared" si="4"/>
        <v>FLO_TAX</v>
      </c>
      <c r="D59" s="108">
        <f t="shared" si="1"/>
        <v>2017</v>
      </c>
      <c r="F59" s="109" t="s">
        <v>233</v>
      </c>
      <c r="G59" s="109" t="str">
        <f>'Local_Prices-KZK'!F60</f>
        <v>TRAOILDSL</v>
      </c>
      <c r="H59" s="130">
        <f t="shared" si="5"/>
        <v>2</v>
      </c>
      <c r="J59" s="130">
        <f>'Local_Prices-AZJ'!E60</f>
        <v>2</v>
      </c>
      <c r="K59" s="109" t="str">
        <f>'Local_Prices-KZK'!B60</f>
        <v>Diesel Navigation</v>
      </c>
      <c r="L59" s="134"/>
    </row>
    <row r="60" spans="3:12" x14ac:dyDescent="0.25">
      <c r="C60" s="109" t="str">
        <f t="shared" si="4"/>
        <v>FLO_TAX</v>
      </c>
      <c r="D60" s="108">
        <f t="shared" si="1"/>
        <v>2017</v>
      </c>
      <c r="F60" s="109" t="str">
        <f t="shared" ref="F60:F71" si="8">"FT-"&amp;G60&amp;"*"</f>
        <v>FT-TRAOILGSL*</v>
      </c>
      <c r="G60" s="109" t="str">
        <f>'Local_Prices-KZK'!F61</f>
        <v>TRAOILGSL</v>
      </c>
      <c r="H60" s="130">
        <f t="shared" si="5"/>
        <v>9</v>
      </c>
      <c r="J60" s="130">
        <f>'Local_Prices-AZJ'!E61</f>
        <v>9</v>
      </c>
      <c r="K60" s="109" t="str">
        <f>'Local_Prices-KZK'!B61</f>
        <v>Gasoline Cars</v>
      </c>
      <c r="L60" s="134"/>
    </row>
    <row r="61" spans="3:12" x14ac:dyDescent="0.25">
      <c r="C61" s="109" t="str">
        <f t="shared" si="4"/>
        <v>FLO_TAX</v>
      </c>
      <c r="D61" s="108">
        <f t="shared" si="1"/>
        <v>2017</v>
      </c>
      <c r="F61" s="109" t="str">
        <f t="shared" si="8"/>
        <v>FT-TRAOILLPG*</v>
      </c>
      <c r="G61" s="109" t="str">
        <f>'Local_Prices-KZK'!F62</f>
        <v>TRAOILLPG</v>
      </c>
      <c r="H61" s="130">
        <f t="shared" si="5"/>
        <v>9</v>
      </c>
      <c r="J61" s="130">
        <f>'Local_Prices-AZJ'!E62</f>
        <v>9</v>
      </c>
      <c r="K61" s="109" t="str">
        <f>'Local_Prices-KZK'!B62</f>
        <v>LPG Cars</v>
      </c>
      <c r="L61" s="134"/>
    </row>
    <row r="62" spans="3:12" x14ac:dyDescent="0.25">
      <c r="C62" s="109" t="str">
        <f t="shared" si="4"/>
        <v>FLO_TAX</v>
      </c>
      <c r="D62" s="108">
        <f t="shared" si="1"/>
        <v>2017</v>
      </c>
      <c r="F62" s="109" t="str">
        <f t="shared" si="8"/>
        <v>FT-TRAGASNAT*</v>
      </c>
      <c r="G62" s="109" t="s">
        <v>248</v>
      </c>
      <c r="H62" s="130">
        <f t="shared" si="5"/>
        <v>1</v>
      </c>
      <c r="J62" s="130">
        <f>'Local_Prices-AZJ'!E63</f>
        <v>1</v>
      </c>
      <c r="K62" s="109" t="str">
        <f>'Local_Prices-KZK'!B63</f>
        <v>CNG Cars</v>
      </c>
      <c r="L62" s="134"/>
    </row>
    <row r="63" spans="3:12" ht="12.75" customHeight="1" x14ac:dyDescent="0.25">
      <c r="C63" s="109" t="str">
        <f t="shared" si="4"/>
        <v>FLO_TAX</v>
      </c>
      <c r="D63" s="108">
        <f t="shared" si="1"/>
        <v>2017</v>
      </c>
      <c r="F63" s="109" t="str">
        <f t="shared" si="8"/>
        <v>FT-TRABIOBGS*</v>
      </c>
      <c r="G63" s="109" t="s">
        <v>249</v>
      </c>
      <c r="H63" s="130">
        <f t="shared" si="5"/>
        <v>1</v>
      </c>
      <c r="J63" s="130">
        <f>J62</f>
        <v>1</v>
      </c>
      <c r="L63" s="134"/>
    </row>
    <row r="64" spans="3:12" ht="12.75" customHeight="1" x14ac:dyDescent="0.25">
      <c r="C64" s="109" t="str">
        <f t="shared" si="4"/>
        <v>FLO_TAX</v>
      </c>
      <c r="D64" s="108">
        <f t="shared" si="1"/>
        <v>2017</v>
      </c>
      <c r="F64" s="109" t="str">
        <f t="shared" si="8"/>
        <v>FT-TRAOILKER*</v>
      </c>
      <c r="G64" s="109" t="s">
        <v>252</v>
      </c>
      <c r="H64" s="130">
        <f t="shared" si="5"/>
        <v>3</v>
      </c>
      <c r="J64" s="130">
        <f>'Local_Prices-AZJ'!E64</f>
        <v>3</v>
      </c>
      <c r="K64" s="109" t="str">
        <f>'Local_Prices-KZK'!B64</f>
        <v>Kerosene</v>
      </c>
      <c r="L64" s="134"/>
    </row>
    <row r="65" spans="1:16" x14ac:dyDescent="0.25">
      <c r="C65" s="109" t="str">
        <f t="shared" si="4"/>
        <v>FLO_TAX</v>
      </c>
      <c r="D65" s="108">
        <f t="shared" si="1"/>
        <v>2017</v>
      </c>
      <c r="F65" s="109" t="str">
        <f t="shared" si="8"/>
        <v>FT-TRABIOKER*</v>
      </c>
      <c r="G65" s="109" t="s">
        <v>253</v>
      </c>
      <c r="H65" s="130">
        <f t="shared" si="5"/>
        <v>2.4000000000000004</v>
      </c>
      <c r="J65" s="130">
        <f>J64*0.8</f>
        <v>2.4000000000000004</v>
      </c>
      <c r="L65" s="134"/>
    </row>
    <row r="66" spans="1:16" x14ac:dyDescent="0.25">
      <c r="C66" s="109" t="str">
        <f t="shared" si="4"/>
        <v>FLO_TAX</v>
      </c>
      <c r="D66" s="108">
        <f t="shared" si="1"/>
        <v>2017</v>
      </c>
      <c r="F66" s="109" t="str">
        <f t="shared" si="8"/>
        <v>FT-TRAOILGSA*</v>
      </c>
      <c r="G66" s="109" t="s">
        <v>254</v>
      </c>
      <c r="H66" s="130">
        <f t="shared" si="5"/>
        <v>3</v>
      </c>
      <c r="J66" s="130">
        <f>'Local_Prices-AZJ'!E66</f>
        <v>3</v>
      </c>
      <c r="L66" s="134"/>
    </row>
    <row r="67" spans="1:16" x14ac:dyDescent="0.25">
      <c r="C67" s="109" t="str">
        <f t="shared" si="4"/>
        <v>FLO_TAX</v>
      </c>
      <c r="D67" s="108">
        <f t="shared" si="1"/>
        <v>2017</v>
      </c>
      <c r="F67" s="109" t="str">
        <f t="shared" si="8"/>
        <v>FT-TRABIOE**</v>
      </c>
      <c r="G67" s="109" t="str">
        <f>'Local_Prices-KZK'!F65</f>
        <v>TRABIOE*</v>
      </c>
      <c r="H67" s="130">
        <f t="shared" si="5"/>
        <v>3</v>
      </c>
      <c r="J67" s="130">
        <f>'Local_Prices-AZJ'!E65</f>
        <v>3</v>
      </c>
      <c r="L67" s="134"/>
    </row>
    <row r="68" spans="1:16" x14ac:dyDescent="0.25">
      <c r="C68" s="109" t="str">
        <f t="shared" si="4"/>
        <v>FLO_TAX</v>
      </c>
      <c r="D68" s="108">
        <f t="shared" si="1"/>
        <v>2017</v>
      </c>
      <c r="F68" s="109" t="str">
        <f t="shared" si="8"/>
        <v>FT-TRABIODSL**</v>
      </c>
      <c r="G68" s="109" t="s">
        <v>250</v>
      </c>
      <c r="H68" s="130">
        <f t="shared" si="5"/>
        <v>3</v>
      </c>
      <c r="J68" s="130">
        <f>'Local_Prices-AZJ'!E66</f>
        <v>3</v>
      </c>
      <c r="L68" s="134"/>
    </row>
    <row r="69" spans="1:16" x14ac:dyDescent="0.25">
      <c r="C69" s="109" t="str">
        <f t="shared" ref="C69:C100" si="9">IF(J69=0,"*",IF(J69&lt;0,"FLO_SUB","FLO_TAX"))</f>
        <v>FLO_TAX</v>
      </c>
      <c r="D69" s="108">
        <f t="shared" si="1"/>
        <v>2017</v>
      </c>
      <c r="F69" s="109" t="str">
        <f t="shared" si="8"/>
        <v>FT-TRABIOB20*</v>
      </c>
      <c r="G69" s="109" t="s">
        <v>251</v>
      </c>
      <c r="H69" s="130">
        <f t="shared" ref="H69:H132" si="10">J69</f>
        <v>3</v>
      </c>
      <c r="J69" s="130">
        <f>J68</f>
        <v>3</v>
      </c>
      <c r="L69" s="134"/>
    </row>
    <row r="70" spans="1:16" x14ac:dyDescent="0.25">
      <c r="C70" s="109" t="str">
        <f t="shared" si="9"/>
        <v>FLO_TAX</v>
      </c>
      <c r="D70" s="108">
        <f t="shared" si="1"/>
        <v>2017</v>
      </c>
      <c r="E70" s="109" t="str">
        <f>'Local_Prices-KZK'!F67</f>
        <v>TRAELC</v>
      </c>
      <c r="F70" s="174" t="s">
        <v>234</v>
      </c>
      <c r="G70" s="109" t="str">
        <f t="shared" ref="G70" si="11">E70</f>
        <v>TRAELC</v>
      </c>
      <c r="H70" s="130">
        <f t="shared" si="10"/>
        <v>9.6999999999999993</v>
      </c>
      <c r="J70" s="130">
        <f>'Local_Prices-AZJ'!E67</f>
        <v>9.6999999999999993</v>
      </c>
      <c r="K70" s="109" t="str">
        <f>'Local_Prices-KZK'!B67</f>
        <v>Electricity-Private</v>
      </c>
      <c r="L70" s="134"/>
    </row>
    <row r="71" spans="1:16" x14ac:dyDescent="0.25">
      <c r="C71" s="109" t="str">
        <f t="shared" si="9"/>
        <v>FLO_TAX</v>
      </c>
      <c r="D71" s="108">
        <f t="shared" si="1"/>
        <v>2017</v>
      </c>
      <c r="F71" s="109" t="str">
        <f t="shared" si="8"/>
        <v>FT-TRAELC*</v>
      </c>
      <c r="G71" s="109" t="str">
        <f>'Local_Prices-KZK'!F68</f>
        <v>TRAELC</v>
      </c>
      <c r="H71" s="130">
        <f t="shared" si="10"/>
        <v>1</v>
      </c>
      <c r="J71" s="130">
        <f>'Local_Prices-AZJ'!E68</f>
        <v>1</v>
      </c>
      <c r="K71" s="109" t="str">
        <f>'Local_Prices-KZK'!B68</f>
        <v>Electricity-Rail</v>
      </c>
      <c r="L71" s="134"/>
    </row>
    <row r="72" spans="1:16" x14ac:dyDescent="0.25">
      <c r="C72" s="109" t="str">
        <f t="shared" si="9"/>
        <v>FLO_TAX</v>
      </c>
      <c r="D72" s="108">
        <f t="shared" si="1"/>
        <v>2017</v>
      </c>
      <c r="F72" s="109" t="str">
        <f>"FT-"&amp;LEFT(G72,5)&amp;"*"</f>
        <v>FT-TRAH2*</v>
      </c>
      <c r="G72" s="109" t="s">
        <v>273</v>
      </c>
      <c r="H72" s="130">
        <f t="shared" si="10"/>
        <v>1</v>
      </c>
      <c r="J72" s="130">
        <f>'Local_Prices-AZJ'!E63</f>
        <v>1</v>
      </c>
      <c r="L72" s="134"/>
    </row>
    <row r="73" spans="1:16" x14ac:dyDescent="0.25">
      <c r="C73" s="109" t="str">
        <f t="shared" si="9"/>
        <v>FLO_TAX</v>
      </c>
      <c r="D73" s="108">
        <f t="shared" si="1"/>
        <v>2017</v>
      </c>
      <c r="F73" s="109" t="str">
        <f t="shared" ref="F73:F76" si="12">"FT-"&amp;G73&amp;"*"</f>
        <v>FT-AGRELC*</v>
      </c>
      <c r="G73" s="109" t="str">
        <f>'Local_Prices-KZK'!F69</f>
        <v>AGRELC</v>
      </c>
      <c r="H73" s="130">
        <f t="shared" si="10"/>
        <v>4.6999999999999993</v>
      </c>
      <c r="J73" s="130">
        <f>'Local_Prices-AZJ'!E69</f>
        <v>4.6999999999999993</v>
      </c>
      <c r="K73" s="109" t="str">
        <f>'Local_Prices-KZK'!B69</f>
        <v>Electricity</v>
      </c>
      <c r="L73" s="134" t="s">
        <v>237</v>
      </c>
    </row>
    <row r="74" spans="1:16" x14ac:dyDescent="0.25">
      <c r="C74" s="109" t="str">
        <f t="shared" si="9"/>
        <v>FLO_TAX</v>
      </c>
      <c r="D74" s="108">
        <f t="shared" si="1"/>
        <v>2017</v>
      </c>
      <c r="F74" s="109" t="str">
        <f t="shared" si="12"/>
        <v>FT-AGROILDSL*</v>
      </c>
      <c r="G74" s="109" t="str">
        <f>'Local_Prices-KZK'!F70</f>
        <v>AGROILDSL</v>
      </c>
      <c r="H74" s="130">
        <f t="shared" si="10"/>
        <v>2</v>
      </c>
      <c r="J74" s="130">
        <f>'Local_Prices-AZJ'!E70</f>
        <v>2</v>
      </c>
      <c r="K74" s="109" t="str">
        <f>'Local_Prices-KZK'!B70</f>
        <v>Diesel</v>
      </c>
      <c r="L74" s="117"/>
    </row>
    <row r="75" spans="1:16" x14ac:dyDescent="0.25">
      <c r="C75" s="109" t="str">
        <f t="shared" si="9"/>
        <v>FLO_TAX</v>
      </c>
      <c r="D75" s="108">
        <f t="shared" si="1"/>
        <v>2017</v>
      </c>
      <c r="F75" s="109" t="str">
        <f t="shared" si="12"/>
        <v>FT-AGRGASNAT*</v>
      </c>
      <c r="G75" s="109" t="str">
        <f>'Local_Prices-KZK'!F71</f>
        <v>AGRGASNAT</v>
      </c>
      <c r="H75" s="130">
        <f t="shared" si="10"/>
        <v>0.70000000000000018</v>
      </c>
      <c r="J75" s="130">
        <f>'Local_Prices-AZJ'!E71</f>
        <v>0.70000000000000018</v>
      </c>
      <c r="K75" s="109" t="str">
        <f>'Local_Prices-KZK'!B71</f>
        <v>Natural Gas</v>
      </c>
      <c r="L75" s="117"/>
    </row>
    <row r="76" spans="1:16" x14ac:dyDescent="0.25">
      <c r="A76" s="169"/>
      <c r="B76" s="169"/>
      <c r="C76" s="109" t="str">
        <f t="shared" si="9"/>
        <v>FLO_TAX</v>
      </c>
      <c r="D76" s="151">
        <f t="shared" ref="D76" si="13">BASE_YEAR</f>
        <v>2017</v>
      </c>
      <c r="E76" s="169"/>
      <c r="F76" s="169" t="str">
        <f t="shared" si="12"/>
        <v>FT-AGRCOABIC*</v>
      </c>
      <c r="G76" s="169" t="str">
        <f>'Local_Prices-KZK'!F72</f>
        <v>AGRCOABIC</v>
      </c>
      <c r="H76" s="175">
        <f t="shared" si="10"/>
        <v>0.23333333333333339</v>
      </c>
      <c r="I76" s="169"/>
      <c r="J76" s="175">
        <f>'Local_Prices-AZJ'!E72</f>
        <v>0.23333333333333339</v>
      </c>
      <c r="K76" s="169" t="str">
        <f>'Local_Prices-KZK'!B72</f>
        <v>Other bituminous</v>
      </c>
      <c r="L76" s="169"/>
      <c r="M76" s="169"/>
      <c r="N76" s="169"/>
      <c r="O76" s="169"/>
      <c r="P76" s="169"/>
    </row>
    <row r="77" spans="1:16" x14ac:dyDescent="0.25">
      <c r="C77" s="109" t="str">
        <f t="shared" si="9"/>
        <v>FLO_TAX</v>
      </c>
      <c r="D77" s="108">
        <f t="shared" ref="D77:D108" si="14">END_YEAR</f>
        <v>2050</v>
      </c>
      <c r="F77" s="109" t="str">
        <f t="shared" ref="F77:G92" si="15">F5</f>
        <v>FT-RSDOILDSL*</v>
      </c>
      <c r="G77" s="109" t="str">
        <f t="shared" si="15"/>
        <v>RSDOILDSL</v>
      </c>
      <c r="H77" s="130">
        <f t="shared" si="10"/>
        <v>0.26000000000000023</v>
      </c>
      <c r="J77" s="176">
        <f>J5*O77</f>
        <v>0.26000000000000023</v>
      </c>
      <c r="K77" s="109" t="str">
        <f t="shared" ref="K77:K92" si="16">K5</f>
        <v>Diesel</v>
      </c>
      <c r="O77" s="109">
        <v>1.3</v>
      </c>
      <c r="P77" s="109" t="s">
        <v>343</v>
      </c>
    </row>
    <row r="78" spans="1:16" x14ac:dyDescent="0.25">
      <c r="C78" s="109" t="str">
        <f t="shared" si="9"/>
        <v>FLO_TAX</v>
      </c>
      <c r="D78" s="108">
        <f t="shared" si="14"/>
        <v>2050</v>
      </c>
      <c r="F78" s="109" t="str">
        <f t="shared" si="15"/>
        <v>FT-RSDOILLPG*</v>
      </c>
      <c r="G78" s="109" t="str">
        <f t="shared" si="15"/>
        <v>RSDOILLPG</v>
      </c>
      <c r="H78" s="130">
        <f t="shared" si="10"/>
        <v>0.26000000000000023</v>
      </c>
      <c r="J78" s="176">
        <f t="shared" ref="J78:J141" si="17">J6*O78</f>
        <v>0.26000000000000023</v>
      </c>
      <c r="K78" s="109" t="str">
        <f t="shared" si="16"/>
        <v>LPG</v>
      </c>
      <c r="O78" s="109">
        <v>1.3</v>
      </c>
    </row>
    <row r="79" spans="1:16" x14ac:dyDescent="0.25">
      <c r="C79" s="109" t="str">
        <f t="shared" si="9"/>
        <v>FLO_TAX</v>
      </c>
      <c r="D79" s="108">
        <f t="shared" si="14"/>
        <v>2050</v>
      </c>
      <c r="F79" s="109" t="str">
        <f t="shared" si="15"/>
        <v>FT-RSDGASNAT*</v>
      </c>
      <c r="G79" s="109" t="str">
        <f t="shared" si="15"/>
        <v>RSDGASNAT</v>
      </c>
      <c r="H79" s="130">
        <f t="shared" si="10"/>
        <v>0.26000000000000023</v>
      </c>
      <c r="J79" s="176">
        <f t="shared" si="17"/>
        <v>0.26000000000000023</v>
      </c>
      <c r="K79" s="109" t="str">
        <f t="shared" si="16"/>
        <v>Natural Gas</v>
      </c>
      <c r="O79" s="109">
        <v>1.3</v>
      </c>
    </row>
    <row r="80" spans="1:16" x14ac:dyDescent="0.25">
      <c r="C80" s="109" t="str">
        <f t="shared" si="9"/>
        <v>FLO_TAX</v>
      </c>
      <c r="D80" s="108">
        <f t="shared" si="14"/>
        <v>2050</v>
      </c>
      <c r="F80" s="109" t="str">
        <f t="shared" si="15"/>
        <v>FT-RSDCOABIC*</v>
      </c>
      <c r="G80" s="109" t="str">
        <f t="shared" si="15"/>
        <v>RSDCOABIC</v>
      </c>
      <c r="H80" s="130">
        <f t="shared" si="10"/>
        <v>8.6666666666666739E-2</v>
      </c>
      <c r="J80" s="176">
        <f t="shared" si="17"/>
        <v>8.6666666666666739E-2</v>
      </c>
      <c r="K80" s="109" t="str">
        <f t="shared" si="16"/>
        <v>Coal</v>
      </c>
      <c r="O80" s="109">
        <v>1.3</v>
      </c>
    </row>
    <row r="81" spans="3:15" x14ac:dyDescent="0.25">
      <c r="C81" s="109" t="str">
        <f t="shared" si="9"/>
        <v>FLO_TAX</v>
      </c>
      <c r="D81" s="108">
        <f t="shared" si="14"/>
        <v>2050</v>
      </c>
      <c r="F81" s="109" t="str">
        <f t="shared" si="15"/>
        <v>FT-RSDCOABCO*</v>
      </c>
      <c r="G81" s="109" t="str">
        <f t="shared" si="15"/>
        <v>RSDCOABCO</v>
      </c>
      <c r="H81" s="130">
        <f t="shared" si="10"/>
        <v>8.6666666666666739E-2</v>
      </c>
      <c r="J81" s="176">
        <f t="shared" si="17"/>
        <v>8.6666666666666739E-2</v>
      </c>
      <c r="K81" s="109" t="str">
        <f t="shared" si="16"/>
        <v>Lignite</v>
      </c>
      <c r="O81" s="109">
        <v>1.3</v>
      </c>
    </row>
    <row r="82" spans="3:15" x14ac:dyDescent="0.25">
      <c r="C82" s="109" t="str">
        <f t="shared" si="9"/>
        <v>*</v>
      </c>
      <c r="D82" s="108">
        <f t="shared" si="14"/>
        <v>2050</v>
      </c>
      <c r="F82" s="109" t="str">
        <f t="shared" si="15"/>
        <v>FT-RSDBIOCHR*</v>
      </c>
      <c r="G82" s="109" t="str">
        <f t="shared" si="15"/>
        <v>RSDBIOCHR</v>
      </c>
      <c r="H82" s="130">
        <v>0</v>
      </c>
      <c r="J82" s="176">
        <f t="shared" si="17"/>
        <v>0</v>
      </c>
      <c r="K82" s="109" t="str">
        <f t="shared" si="16"/>
        <v>CHR</v>
      </c>
      <c r="O82" s="109">
        <v>1.3</v>
      </c>
    </row>
    <row r="83" spans="3:15" x14ac:dyDescent="0.25">
      <c r="C83" s="109" t="str">
        <f t="shared" si="9"/>
        <v>*</v>
      </c>
      <c r="D83" s="108">
        <f t="shared" si="14"/>
        <v>2050</v>
      </c>
      <c r="F83" s="109" t="str">
        <f t="shared" si="15"/>
        <v>FT-RSDBIOLOG*</v>
      </c>
      <c r="G83" s="109" t="str">
        <f t="shared" si="15"/>
        <v>RSDBIOLOG</v>
      </c>
      <c r="H83" s="130">
        <f t="shared" si="10"/>
        <v>0</v>
      </c>
      <c r="J83" s="176">
        <f t="shared" si="17"/>
        <v>0</v>
      </c>
      <c r="K83" s="109" t="str">
        <f t="shared" si="16"/>
        <v>Solid Biomass</v>
      </c>
      <c r="O83" s="109">
        <v>1.3</v>
      </c>
    </row>
    <row r="84" spans="3:15" x14ac:dyDescent="0.25">
      <c r="C84" s="109" t="str">
        <f t="shared" si="9"/>
        <v>*</v>
      </c>
      <c r="D84" s="108">
        <f t="shared" si="14"/>
        <v>2050</v>
      </c>
      <c r="F84" s="109" t="str">
        <f t="shared" si="15"/>
        <v>FT-RSDBIOPLT*</v>
      </c>
      <c r="G84" s="109" t="str">
        <f t="shared" si="15"/>
        <v>RSDBIOPLT</v>
      </c>
      <c r="H84" s="130">
        <f t="shared" si="10"/>
        <v>0</v>
      </c>
      <c r="J84" s="176">
        <f t="shared" si="17"/>
        <v>0</v>
      </c>
      <c r="K84" s="109" t="str">
        <f t="shared" si="16"/>
        <v>Pellets</v>
      </c>
      <c r="O84" s="109">
        <v>1.3</v>
      </c>
    </row>
    <row r="85" spans="3:15" x14ac:dyDescent="0.25">
      <c r="C85" s="109" t="str">
        <f t="shared" si="9"/>
        <v>FLO_TAX</v>
      </c>
      <c r="D85" s="108">
        <f t="shared" si="14"/>
        <v>2050</v>
      </c>
      <c r="F85" s="109" t="str">
        <f t="shared" si="15"/>
        <v>FT-RSDLTH*</v>
      </c>
      <c r="G85" s="109" t="str">
        <f t="shared" si="15"/>
        <v>RSDLTH</v>
      </c>
      <c r="H85" s="130">
        <f t="shared" si="10"/>
        <v>0.26000000000000023</v>
      </c>
      <c r="J85" s="176">
        <f t="shared" si="17"/>
        <v>0.26000000000000023</v>
      </c>
      <c r="K85" s="109" t="str">
        <f t="shared" si="16"/>
        <v>Heat</v>
      </c>
      <c r="O85" s="109">
        <v>1.3</v>
      </c>
    </row>
    <row r="86" spans="3:15" x14ac:dyDescent="0.25">
      <c r="C86" s="109" t="str">
        <f t="shared" si="9"/>
        <v>FLO_TAX</v>
      </c>
      <c r="D86" s="108">
        <f t="shared" si="14"/>
        <v>2050</v>
      </c>
      <c r="F86" s="109" t="str">
        <f t="shared" si="15"/>
        <v>FT-RSDELC*</v>
      </c>
      <c r="G86" s="109" t="str">
        <f t="shared" si="15"/>
        <v>RSDELC</v>
      </c>
      <c r="H86" s="130">
        <f t="shared" si="10"/>
        <v>1.9500000000000002</v>
      </c>
      <c r="J86" s="176">
        <f t="shared" si="17"/>
        <v>1.9500000000000002</v>
      </c>
      <c r="K86" s="109" t="str">
        <f t="shared" si="16"/>
        <v>Electricity</v>
      </c>
      <c r="O86" s="109">
        <v>1.3</v>
      </c>
    </row>
    <row r="87" spans="3:15" x14ac:dyDescent="0.25">
      <c r="C87" s="109" t="str">
        <f t="shared" si="9"/>
        <v>FLO_TAX</v>
      </c>
      <c r="D87" s="108">
        <f t="shared" si="14"/>
        <v>2050</v>
      </c>
      <c r="F87" s="109" t="str">
        <f t="shared" si="15"/>
        <v>FT-TEROILDSL*</v>
      </c>
      <c r="G87" s="109" t="str">
        <f t="shared" si="15"/>
        <v>TEROILDSL</v>
      </c>
      <c r="H87" s="130">
        <f t="shared" si="10"/>
        <v>0.91000000000000025</v>
      </c>
      <c r="J87" s="176">
        <f t="shared" si="17"/>
        <v>0.91000000000000025</v>
      </c>
      <c r="K87" s="109" t="str">
        <f t="shared" si="16"/>
        <v>Diesel</v>
      </c>
      <c r="O87" s="109">
        <v>1.3</v>
      </c>
    </row>
    <row r="88" spans="3:15" x14ac:dyDescent="0.25">
      <c r="C88" s="109" t="str">
        <f t="shared" si="9"/>
        <v>FLO_TAX</v>
      </c>
      <c r="D88" s="108">
        <f t="shared" si="14"/>
        <v>2050</v>
      </c>
      <c r="F88" s="109" t="str">
        <f t="shared" si="15"/>
        <v>FT-TEROILHFO*</v>
      </c>
      <c r="G88" s="109" t="str">
        <f t="shared" si="15"/>
        <v>TEROILHFO</v>
      </c>
      <c r="H88" s="130">
        <f t="shared" si="10"/>
        <v>0.91000000000000025</v>
      </c>
      <c r="J88" s="176">
        <f t="shared" si="17"/>
        <v>0.91000000000000025</v>
      </c>
      <c r="K88" s="109" t="str">
        <f t="shared" si="16"/>
        <v>HFO</v>
      </c>
      <c r="O88" s="109">
        <v>1.3</v>
      </c>
    </row>
    <row r="89" spans="3:15" x14ac:dyDescent="0.25">
      <c r="C89" s="109" t="str">
        <f t="shared" si="9"/>
        <v>FLO_TAX</v>
      </c>
      <c r="D89" s="108">
        <f t="shared" si="14"/>
        <v>2050</v>
      </c>
      <c r="F89" s="109" t="str">
        <f t="shared" si="15"/>
        <v>FT-TEROILLPG*</v>
      </c>
      <c r="G89" s="109" t="str">
        <f t="shared" si="15"/>
        <v>TEROILLPG</v>
      </c>
      <c r="H89" s="130">
        <f t="shared" si="10"/>
        <v>0.91000000000000025</v>
      </c>
      <c r="J89" s="176">
        <f t="shared" si="17"/>
        <v>0.91000000000000025</v>
      </c>
      <c r="K89" s="109" t="str">
        <f t="shared" si="16"/>
        <v>LPG</v>
      </c>
      <c r="O89" s="109">
        <v>1.3</v>
      </c>
    </row>
    <row r="90" spans="3:15" x14ac:dyDescent="0.25">
      <c r="C90" s="109" t="str">
        <f t="shared" si="9"/>
        <v>FLO_TAX</v>
      </c>
      <c r="D90" s="108">
        <f t="shared" si="14"/>
        <v>2050</v>
      </c>
      <c r="F90" s="109" t="str">
        <f t="shared" si="15"/>
        <v>FT-TERGASNAT*</v>
      </c>
      <c r="G90" s="109" t="str">
        <f t="shared" si="15"/>
        <v>TERGASNAT</v>
      </c>
      <c r="H90" s="130">
        <f t="shared" si="10"/>
        <v>0.91000000000000025</v>
      </c>
      <c r="J90" s="176">
        <f t="shared" si="17"/>
        <v>0.91000000000000025</v>
      </c>
      <c r="K90" s="109" t="str">
        <f t="shared" si="16"/>
        <v>Natural Gas</v>
      </c>
      <c r="O90" s="109">
        <v>1.3</v>
      </c>
    </row>
    <row r="91" spans="3:15" x14ac:dyDescent="0.25">
      <c r="C91" s="109" t="str">
        <f t="shared" si="9"/>
        <v>FLO_TAX</v>
      </c>
      <c r="D91" s="108">
        <f t="shared" si="14"/>
        <v>2050</v>
      </c>
      <c r="F91" s="109" t="str">
        <f t="shared" si="15"/>
        <v>FT-TERCOABIC*</v>
      </c>
      <c r="G91" s="109" t="str">
        <f t="shared" si="15"/>
        <v>TERCOABIC</v>
      </c>
      <c r="H91" s="130">
        <f t="shared" si="10"/>
        <v>0.3033333333333334</v>
      </c>
      <c r="J91" s="176">
        <f t="shared" si="17"/>
        <v>0.3033333333333334</v>
      </c>
      <c r="K91" s="109" t="str">
        <f t="shared" si="16"/>
        <v>Coal</v>
      </c>
      <c r="O91" s="109">
        <v>1.3</v>
      </c>
    </row>
    <row r="92" spans="3:15" x14ac:dyDescent="0.25">
      <c r="C92" s="109" t="str">
        <f t="shared" si="9"/>
        <v>FLO_TAX</v>
      </c>
      <c r="D92" s="108">
        <f t="shared" si="14"/>
        <v>2050</v>
      </c>
      <c r="F92" s="109" t="str">
        <f t="shared" si="15"/>
        <v>FT-TERCOABCO*</v>
      </c>
      <c r="G92" s="109" t="str">
        <f t="shared" si="15"/>
        <v>TERCOABCO</v>
      </c>
      <c r="H92" s="130">
        <f t="shared" si="10"/>
        <v>0.3033333333333334</v>
      </c>
      <c r="J92" s="176">
        <f t="shared" si="17"/>
        <v>0.3033333333333334</v>
      </c>
      <c r="K92" s="109" t="str">
        <f t="shared" si="16"/>
        <v>Lignite</v>
      </c>
      <c r="O92" s="109">
        <v>1.3</v>
      </c>
    </row>
    <row r="93" spans="3:15" x14ac:dyDescent="0.25">
      <c r="C93" s="109" t="str">
        <f t="shared" si="9"/>
        <v>*</v>
      </c>
      <c r="D93" s="108">
        <f t="shared" si="14"/>
        <v>2050</v>
      </c>
      <c r="F93" s="109" t="str">
        <f t="shared" ref="F93:G108" si="18">F21</f>
        <v>FT-TERBIOCHR*</v>
      </c>
      <c r="G93" s="109" t="str">
        <f t="shared" si="18"/>
        <v>TERBIOCHR</v>
      </c>
      <c r="H93" s="130">
        <f t="shared" si="10"/>
        <v>0</v>
      </c>
      <c r="J93" s="176">
        <f t="shared" si="17"/>
        <v>0</v>
      </c>
      <c r="K93" s="109" t="str">
        <f t="shared" ref="K93:K95" si="19">K21</f>
        <v>CHR</v>
      </c>
      <c r="O93" s="109">
        <v>1.3</v>
      </c>
    </row>
    <row r="94" spans="3:15" x14ac:dyDescent="0.25">
      <c r="C94" s="109" t="str">
        <f t="shared" si="9"/>
        <v>*</v>
      </c>
      <c r="D94" s="108">
        <f t="shared" si="14"/>
        <v>2050</v>
      </c>
      <c r="F94" s="109" t="str">
        <f t="shared" si="18"/>
        <v>FT-TERBIOLOG*</v>
      </c>
      <c r="G94" s="109" t="str">
        <f t="shared" si="18"/>
        <v>TERBIOLOG</v>
      </c>
      <c r="H94" s="130">
        <f t="shared" si="10"/>
        <v>0</v>
      </c>
      <c r="J94" s="176">
        <f t="shared" si="17"/>
        <v>0</v>
      </c>
      <c r="K94" s="109" t="str">
        <f t="shared" si="19"/>
        <v>Solid Biomass</v>
      </c>
      <c r="O94" s="109">
        <v>1.3</v>
      </c>
    </row>
    <row r="95" spans="3:15" x14ac:dyDescent="0.25">
      <c r="C95" s="109" t="str">
        <f t="shared" si="9"/>
        <v>*</v>
      </c>
      <c r="D95" s="108">
        <f t="shared" si="14"/>
        <v>2050</v>
      </c>
      <c r="F95" s="109" t="str">
        <f t="shared" si="18"/>
        <v>FT-TERBIOPLT*</v>
      </c>
      <c r="G95" s="109" t="str">
        <f t="shared" si="18"/>
        <v>TERBIOPLT</v>
      </c>
      <c r="H95" s="130">
        <f t="shared" si="10"/>
        <v>0</v>
      </c>
      <c r="J95" s="176">
        <f t="shared" si="17"/>
        <v>0</v>
      </c>
      <c r="K95" s="109" t="str">
        <f t="shared" si="19"/>
        <v>Pellets</v>
      </c>
      <c r="O95" s="109">
        <v>1.3</v>
      </c>
    </row>
    <row r="96" spans="3:15" x14ac:dyDescent="0.25">
      <c r="C96" s="109" t="str">
        <f t="shared" si="9"/>
        <v>*</v>
      </c>
      <c r="D96" s="108">
        <f t="shared" si="14"/>
        <v>2050</v>
      </c>
      <c r="F96" s="109" t="str">
        <f t="shared" si="18"/>
        <v>FT-0*</v>
      </c>
      <c r="G96" s="109">
        <f t="shared" si="18"/>
        <v>0</v>
      </c>
      <c r="H96" s="130">
        <f t="shared" si="10"/>
        <v>0</v>
      </c>
      <c r="J96" s="176">
        <f t="shared" si="17"/>
        <v>0</v>
      </c>
      <c r="O96" s="109">
        <v>1.3</v>
      </c>
    </row>
    <row r="97" spans="3:15" x14ac:dyDescent="0.25">
      <c r="C97" s="109" t="str">
        <f t="shared" si="9"/>
        <v>FLO_TAX</v>
      </c>
      <c r="D97" s="108">
        <f t="shared" si="14"/>
        <v>2050</v>
      </c>
      <c r="F97" s="109" t="str">
        <f t="shared" si="18"/>
        <v>FT-TERLTH*</v>
      </c>
      <c r="G97" s="109" t="str">
        <f t="shared" si="18"/>
        <v>TERLTH</v>
      </c>
      <c r="H97" s="130">
        <f t="shared" si="10"/>
        <v>0.26000000000000023</v>
      </c>
      <c r="J97" s="176">
        <f t="shared" si="17"/>
        <v>0.26000000000000023</v>
      </c>
      <c r="K97" s="109" t="str">
        <f t="shared" ref="K97:K100" si="20">K25</f>
        <v>Heat</v>
      </c>
      <c r="O97" s="109">
        <v>1.3</v>
      </c>
    </row>
    <row r="98" spans="3:15" x14ac:dyDescent="0.25">
      <c r="C98" s="109" t="str">
        <f t="shared" si="9"/>
        <v>FLO_TAX</v>
      </c>
      <c r="D98" s="108">
        <f t="shared" si="14"/>
        <v>2050</v>
      </c>
      <c r="F98" s="109" t="str">
        <f t="shared" si="18"/>
        <v>FT-TERELC*</v>
      </c>
      <c r="G98" s="109" t="str">
        <f t="shared" si="18"/>
        <v>TERELC</v>
      </c>
      <c r="H98" s="130">
        <f t="shared" si="10"/>
        <v>6.1099999999999994</v>
      </c>
      <c r="J98" s="176">
        <f t="shared" si="17"/>
        <v>6.1099999999999994</v>
      </c>
      <c r="K98" s="109" t="str">
        <f t="shared" si="20"/>
        <v>Electricity</v>
      </c>
      <c r="O98" s="109">
        <v>1.3</v>
      </c>
    </row>
    <row r="99" spans="3:15" x14ac:dyDescent="0.25">
      <c r="C99" s="109" t="str">
        <f t="shared" si="9"/>
        <v>FLO_TAX</v>
      </c>
      <c r="D99" s="108">
        <f t="shared" si="14"/>
        <v>2050</v>
      </c>
      <c r="F99" s="109" t="str">
        <f t="shared" si="18"/>
        <v>FT-INDOILDSL*</v>
      </c>
      <c r="G99" s="109" t="str">
        <f t="shared" si="18"/>
        <v>INDOILDSL</v>
      </c>
      <c r="H99" s="130">
        <f t="shared" si="10"/>
        <v>1.9500000000000002</v>
      </c>
      <c r="J99" s="176">
        <f t="shared" si="17"/>
        <v>1.9500000000000002</v>
      </c>
      <c r="K99" s="109" t="str">
        <f t="shared" si="20"/>
        <v>Diesel</v>
      </c>
      <c r="O99" s="109">
        <v>1.3</v>
      </c>
    </row>
    <row r="100" spans="3:15" x14ac:dyDescent="0.25">
      <c r="C100" s="109" t="str">
        <f t="shared" si="9"/>
        <v>FLO_TAX</v>
      </c>
      <c r="D100" s="108">
        <f t="shared" si="14"/>
        <v>2050</v>
      </c>
      <c r="F100" s="109" t="str">
        <f t="shared" si="18"/>
        <v>FT-INDOILHFO*</v>
      </c>
      <c r="G100" s="109" t="str">
        <f t="shared" si="18"/>
        <v>INDOILHFO</v>
      </c>
      <c r="H100" s="130">
        <f t="shared" si="10"/>
        <v>1.9500000000000002</v>
      </c>
      <c r="J100" s="176">
        <f t="shared" si="17"/>
        <v>1.9500000000000002</v>
      </c>
      <c r="K100" s="109" t="str">
        <f t="shared" si="20"/>
        <v>Fuel Oil</v>
      </c>
      <c r="O100" s="109">
        <v>1.3</v>
      </c>
    </row>
    <row r="101" spans="3:15" x14ac:dyDescent="0.25">
      <c r="C101" s="109" t="str">
        <f t="shared" ref="C101:C132" si="21">IF(J101=0,"*",IF(J101&lt;0,"FLO_SUB","FLO_TAX"))</f>
        <v>FLO_TAX</v>
      </c>
      <c r="D101" s="108">
        <f t="shared" si="14"/>
        <v>2050</v>
      </c>
      <c r="F101" s="109" t="str">
        <f t="shared" si="18"/>
        <v>FT-INDOILOTH*</v>
      </c>
      <c r="G101" s="109" t="str">
        <f t="shared" si="18"/>
        <v>INDOILOTH</v>
      </c>
      <c r="H101" s="130">
        <f t="shared" si="10"/>
        <v>1.9500000000000002</v>
      </c>
      <c r="J101" s="176">
        <f t="shared" si="17"/>
        <v>1.9500000000000002</v>
      </c>
      <c r="O101" s="109">
        <v>1.3</v>
      </c>
    </row>
    <row r="102" spans="3:15" x14ac:dyDescent="0.25">
      <c r="C102" s="109" t="str">
        <f t="shared" si="21"/>
        <v>FLO_TAX</v>
      </c>
      <c r="D102" s="108">
        <f t="shared" si="14"/>
        <v>2050</v>
      </c>
      <c r="F102" s="109" t="str">
        <f t="shared" si="18"/>
        <v>FT-INDOILLPG*</v>
      </c>
      <c r="G102" s="109" t="str">
        <f t="shared" si="18"/>
        <v>INDOILLPG</v>
      </c>
      <c r="H102" s="130">
        <f t="shared" si="10"/>
        <v>1.9500000000000002</v>
      </c>
      <c r="J102" s="176">
        <f t="shared" si="17"/>
        <v>1.9500000000000002</v>
      </c>
      <c r="K102" s="109" t="str">
        <f t="shared" ref="K102:K110" si="22">K30</f>
        <v>LPG</v>
      </c>
      <c r="O102" s="109">
        <v>1.3</v>
      </c>
    </row>
    <row r="103" spans="3:15" x14ac:dyDescent="0.25">
      <c r="C103" s="109" t="str">
        <f t="shared" si="21"/>
        <v>FLO_TAX</v>
      </c>
      <c r="D103" s="108">
        <f t="shared" si="14"/>
        <v>2050</v>
      </c>
      <c r="F103" s="109" t="str">
        <f t="shared" si="18"/>
        <v>FT-INDOILGSL*</v>
      </c>
      <c r="G103" s="109" t="str">
        <f t="shared" si="18"/>
        <v>INDOILGSL</v>
      </c>
      <c r="H103" s="130">
        <f t="shared" si="10"/>
        <v>1.9500000000000002</v>
      </c>
      <c r="J103" s="176">
        <f t="shared" si="17"/>
        <v>1.9500000000000002</v>
      </c>
      <c r="K103" s="109" t="str">
        <f t="shared" si="22"/>
        <v>Gasoline</v>
      </c>
      <c r="O103" s="109">
        <v>1.3</v>
      </c>
    </row>
    <row r="104" spans="3:15" x14ac:dyDescent="0.25">
      <c r="C104" s="109" t="str">
        <f t="shared" si="21"/>
        <v>FLO_TAX</v>
      </c>
      <c r="D104" s="108">
        <f t="shared" si="14"/>
        <v>2050</v>
      </c>
      <c r="F104" s="109" t="str">
        <f t="shared" si="18"/>
        <v>FT-INDGASNAT*</v>
      </c>
      <c r="G104" s="109" t="str">
        <f t="shared" si="18"/>
        <v>INDGASNAT</v>
      </c>
      <c r="H104" s="130">
        <f t="shared" si="10"/>
        <v>1.9500000000000002</v>
      </c>
      <c r="J104" s="176">
        <f t="shared" si="17"/>
        <v>1.9500000000000002</v>
      </c>
      <c r="K104" s="109" t="str">
        <f t="shared" si="22"/>
        <v>Natural Gas</v>
      </c>
      <c r="O104" s="109">
        <v>1.3</v>
      </c>
    </row>
    <row r="105" spans="3:15" x14ac:dyDescent="0.25">
      <c r="C105" s="109" t="str">
        <f t="shared" si="21"/>
        <v>FLO_TAX</v>
      </c>
      <c r="D105" s="108">
        <f t="shared" si="14"/>
        <v>2050</v>
      </c>
      <c r="F105" s="109" t="str">
        <f t="shared" si="18"/>
        <v>FT-INDCOASUB*</v>
      </c>
      <c r="G105" s="109" t="str">
        <f t="shared" si="18"/>
        <v>INDCOASUB</v>
      </c>
      <c r="H105" s="130">
        <f t="shared" si="10"/>
        <v>0.65</v>
      </c>
      <c r="J105" s="176">
        <f t="shared" si="17"/>
        <v>0.65</v>
      </c>
      <c r="K105" s="109" t="str">
        <f t="shared" si="22"/>
        <v>Coal</v>
      </c>
      <c r="O105" s="109">
        <v>1.3</v>
      </c>
    </row>
    <row r="106" spans="3:15" x14ac:dyDescent="0.25">
      <c r="C106" s="109" t="str">
        <f t="shared" si="21"/>
        <v>FLO_TAX</v>
      </c>
      <c r="D106" s="108">
        <f t="shared" si="14"/>
        <v>2050</v>
      </c>
      <c r="F106" s="109" t="str">
        <f t="shared" si="18"/>
        <v>FT-INDCOABCO*</v>
      </c>
      <c r="G106" s="109" t="str">
        <f t="shared" si="18"/>
        <v>INDCOABCO</v>
      </c>
      <c r="H106" s="130">
        <f t="shared" si="10"/>
        <v>0.65</v>
      </c>
      <c r="J106" s="176">
        <f t="shared" si="17"/>
        <v>0.65</v>
      </c>
      <c r="K106" s="109" t="str">
        <f t="shared" si="22"/>
        <v>Lignite</v>
      </c>
      <c r="O106" s="109">
        <v>1.3</v>
      </c>
    </row>
    <row r="107" spans="3:15" x14ac:dyDescent="0.25">
      <c r="C107" s="109" t="str">
        <f t="shared" si="21"/>
        <v>FLO_TAX</v>
      </c>
      <c r="D107" s="108">
        <f t="shared" si="14"/>
        <v>2050</v>
      </c>
      <c r="F107" s="109" t="str">
        <f t="shared" si="18"/>
        <v>FT-INDCOABIC*</v>
      </c>
      <c r="G107" s="109" t="str">
        <f t="shared" si="18"/>
        <v>INDCOABIC</v>
      </c>
      <c r="H107" s="130">
        <f t="shared" si="10"/>
        <v>0.65</v>
      </c>
      <c r="J107" s="176">
        <f t="shared" si="17"/>
        <v>0.65</v>
      </c>
      <c r="K107" s="109" t="str">
        <f t="shared" si="22"/>
        <v>Other bituminous</v>
      </c>
      <c r="O107" s="109">
        <v>1.3</v>
      </c>
    </row>
    <row r="108" spans="3:15" x14ac:dyDescent="0.25">
      <c r="C108" s="109" t="str">
        <f t="shared" si="21"/>
        <v>*</v>
      </c>
      <c r="D108" s="108">
        <f t="shared" si="14"/>
        <v>2050</v>
      </c>
      <c r="F108" s="109" t="str">
        <f t="shared" si="18"/>
        <v>FT-INDCOACOK*</v>
      </c>
      <c r="G108" s="109" t="str">
        <f t="shared" si="18"/>
        <v>INDCOACOK</v>
      </c>
      <c r="H108" s="130">
        <f t="shared" si="10"/>
        <v>0</v>
      </c>
      <c r="J108" s="176">
        <f t="shared" si="17"/>
        <v>0</v>
      </c>
      <c r="K108" s="109" t="str">
        <f t="shared" si="22"/>
        <v>Coke</v>
      </c>
      <c r="O108" s="109">
        <v>1.3</v>
      </c>
    </row>
    <row r="109" spans="3:15" x14ac:dyDescent="0.25">
      <c r="C109" s="109" t="str">
        <f t="shared" si="21"/>
        <v>*</v>
      </c>
      <c r="D109" s="108">
        <f t="shared" ref="D109:D140" si="23">END_YEAR</f>
        <v>2050</v>
      </c>
      <c r="F109" s="109" t="str">
        <f t="shared" ref="F109:G124" si="24">F37</f>
        <v>FT-INDCOABKB*</v>
      </c>
      <c r="G109" s="109" t="str">
        <f t="shared" si="24"/>
        <v>INDCOABKB</v>
      </c>
      <c r="H109" s="130">
        <f t="shared" si="10"/>
        <v>0</v>
      </c>
      <c r="J109" s="176">
        <f t="shared" si="17"/>
        <v>0</v>
      </c>
      <c r="K109" s="109" t="str">
        <f t="shared" si="22"/>
        <v>BKB</v>
      </c>
      <c r="O109" s="109">
        <v>1.3</v>
      </c>
    </row>
    <row r="110" spans="3:15" x14ac:dyDescent="0.25">
      <c r="C110" s="109" t="str">
        <f t="shared" si="21"/>
        <v>*</v>
      </c>
      <c r="D110" s="108">
        <f t="shared" si="23"/>
        <v>2050</v>
      </c>
      <c r="F110" s="109" t="str">
        <f t="shared" si="24"/>
        <v>FT-INDBIOLOG*</v>
      </c>
      <c r="G110" s="109" t="str">
        <f t="shared" si="24"/>
        <v>INDBIOLOG</v>
      </c>
      <c r="H110" s="130">
        <f t="shared" si="10"/>
        <v>0</v>
      </c>
      <c r="J110" s="176">
        <f t="shared" si="17"/>
        <v>0</v>
      </c>
      <c r="K110" s="109" t="str">
        <f t="shared" si="22"/>
        <v>Solid Biomass</v>
      </c>
      <c r="O110" s="109">
        <v>1.3</v>
      </c>
    </row>
    <row r="111" spans="3:15" x14ac:dyDescent="0.25">
      <c r="C111" s="109" t="str">
        <f t="shared" si="21"/>
        <v>*</v>
      </c>
      <c r="D111" s="108">
        <f t="shared" si="23"/>
        <v>2050</v>
      </c>
      <c r="F111" s="109" t="str">
        <f t="shared" si="24"/>
        <v>FT-INDBIOLOG*</v>
      </c>
      <c r="G111" s="109" t="str">
        <f t="shared" si="24"/>
        <v>INDBIOLOG</v>
      </c>
      <c r="H111" s="130">
        <f t="shared" si="10"/>
        <v>0</v>
      </c>
      <c r="J111" s="176">
        <f t="shared" si="17"/>
        <v>0</v>
      </c>
      <c r="O111" s="109">
        <v>1.3</v>
      </c>
    </row>
    <row r="112" spans="3:15" x14ac:dyDescent="0.25">
      <c r="C112" s="109" t="str">
        <f t="shared" si="21"/>
        <v>*</v>
      </c>
      <c r="D112" s="108">
        <f t="shared" si="23"/>
        <v>2050</v>
      </c>
      <c r="F112" s="109" t="str">
        <f t="shared" si="24"/>
        <v>FT-INDBIOCHR*</v>
      </c>
      <c r="G112" s="109" t="str">
        <f t="shared" si="24"/>
        <v>INDBIOCHR</v>
      </c>
      <c r="H112" s="130">
        <f t="shared" si="10"/>
        <v>0</v>
      </c>
      <c r="J112" s="176">
        <f t="shared" si="17"/>
        <v>0</v>
      </c>
      <c r="O112" s="109">
        <v>1.3</v>
      </c>
    </row>
    <row r="113" spans="3:15" x14ac:dyDescent="0.25">
      <c r="C113" s="109" t="str">
        <f t="shared" si="21"/>
        <v>*</v>
      </c>
      <c r="D113" s="108">
        <f t="shared" si="23"/>
        <v>2050</v>
      </c>
      <c r="F113" s="109" t="str">
        <f t="shared" si="24"/>
        <v>FT-INDBIOCHR*</v>
      </c>
      <c r="G113" s="109" t="str">
        <f t="shared" si="24"/>
        <v>INDBIOCHR</v>
      </c>
      <c r="H113" s="130">
        <f t="shared" si="10"/>
        <v>0</v>
      </c>
      <c r="J113" s="176">
        <f t="shared" si="17"/>
        <v>0</v>
      </c>
      <c r="O113" s="109">
        <v>1.3</v>
      </c>
    </row>
    <row r="114" spans="3:15" x14ac:dyDescent="0.25">
      <c r="C114" s="109" t="str">
        <f t="shared" si="21"/>
        <v>*</v>
      </c>
      <c r="D114" s="108">
        <f t="shared" si="23"/>
        <v>2050</v>
      </c>
      <c r="F114" s="109" t="str">
        <f t="shared" si="24"/>
        <v>FT-INDBIOPLT*</v>
      </c>
      <c r="G114" s="109" t="str">
        <f t="shared" si="24"/>
        <v>INDBIOPLT</v>
      </c>
      <c r="H114" s="130">
        <f t="shared" si="10"/>
        <v>0</v>
      </c>
      <c r="J114" s="176">
        <f t="shared" si="17"/>
        <v>0</v>
      </c>
      <c r="O114" s="109">
        <v>1.3</v>
      </c>
    </row>
    <row r="115" spans="3:15" x14ac:dyDescent="0.25">
      <c r="C115" s="109" t="str">
        <f t="shared" si="21"/>
        <v>*</v>
      </c>
      <c r="D115" s="108">
        <f t="shared" si="23"/>
        <v>2050</v>
      </c>
      <c r="F115" s="109" t="str">
        <f t="shared" si="24"/>
        <v>FT-INDBIOPLT*</v>
      </c>
      <c r="G115" s="109" t="str">
        <f t="shared" si="24"/>
        <v>INDBIOPLT</v>
      </c>
      <c r="H115" s="130">
        <f t="shared" si="10"/>
        <v>0</v>
      </c>
      <c r="J115" s="176">
        <f t="shared" si="17"/>
        <v>0</v>
      </c>
      <c r="O115" s="109">
        <v>1.3</v>
      </c>
    </row>
    <row r="116" spans="3:15" x14ac:dyDescent="0.25">
      <c r="C116" s="109" t="str">
        <f t="shared" si="21"/>
        <v>FLO_TAX</v>
      </c>
      <c r="D116" s="108">
        <f t="shared" si="23"/>
        <v>2050</v>
      </c>
      <c r="F116" s="109" t="str">
        <f t="shared" si="24"/>
        <v>FT-INDHTH*</v>
      </c>
      <c r="G116" s="109" t="str">
        <f t="shared" si="24"/>
        <v>INDHTH</v>
      </c>
      <c r="H116" s="130">
        <f t="shared" si="10"/>
        <v>0.13000000000000012</v>
      </c>
      <c r="J116" s="176">
        <f t="shared" si="17"/>
        <v>0.13000000000000012</v>
      </c>
      <c r="K116" s="109" t="str">
        <f t="shared" ref="K116:K118" si="25">K44</f>
        <v>Heat</v>
      </c>
      <c r="O116" s="109">
        <v>1.3</v>
      </c>
    </row>
    <row r="117" spans="3:15" x14ac:dyDescent="0.25">
      <c r="C117" s="109" t="str">
        <f t="shared" si="21"/>
        <v>FLO_TAX</v>
      </c>
      <c r="D117" s="108">
        <f t="shared" si="23"/>
        <v>2050</v>
      </c>
      <c r="F117" s="109" t="str">
        <f t="shared" si="24"/>
        <v>FT-INDELC*</v>
      </c>
      <c r="G117" s="109" t="str">
        <f t="shared" si="24"/>
        <v>INDELC</v>
      </c>
      <c r="H117" s="130">
        <f t="shared" si="10"/>
        <v>6.1099999999999994</v>
      </c>
      <c r="J117" s="176">
        <f t="shared" si="17"/>
        <v>6.1099999999999994</v>
      </c>
      <c r="K117" s="109" t="str">
        <f t="shared" si="25"/>
        <v>Electricity</v>
      </c>
      <c r="O117" s="109">
        <v>1.3</v>
      </c>
    </row>
    <row r="118" spans="3:15" x14ac:dyDescent="0.25">
      <c r="C118" s="109" t="str">
        <f t="shared" si="21"/>
        <v>FLO_TAX</v>
      </c>
      <c r="D118" s="108">
        <f t="shared" si="23"/>
        <v>2050</v>
      </c>
      <c r="F118" s="109" t="str">
        <f t="shared" si="24"/>
        <v>FT-ELEOILDSL*</v>
      </c>
      <c r="G118" s="109" t="str">
        <f t="shared" si="24"/>
        <v>ELEOILDSL</v>
      </c>
      <c r="H118" s="130">
        <f t="shared" si="10"/>
        <v>0.65</v>
      </c>
      <c r="J118" s="176">
        <f t="shared" si="17"/>
        <v>0.65</v>
      </c>
      <c r="K118" s="109" t="str">
        <f t="shared" si="25"/>
        <v>Diesel</v>
      </c>
      <c r="O118" s="109">
        <v>1.3</v>
      </c>
    </row>
    <row r="119" spans="3:15" x14ac:dyDescent="0.25">
      <c r="C119" s="109" t="str">
        <f t="shared" si="21"/>
        <v>FLO_TAX</v>
      </c>
      <c r="D119" s="108">
        <f t="shared" si="23"/>
        <v>2050</v>
      </c>
      <c r="F119" s="109" t="str">
        <f t="shared" si="24"/>
        <v>FT-HETOILDSL*</v>
      </c>
      <c r="G119" s="109" t="str">
        <f t="shared" si="24"/>
        <v>HETOILDSL</v>
      </c>
      <c r="H119" s="130">
        <v>0</v>
      </c>
      <c r="J119" s="176">
        <f t="shared" si="17"/>
        <v>0.65</v>
      </c>
      <c r="O119" s="109">
        <v>1.3</v>
      </c>
    </row>
    <row r="120" spans="3:15" x14ac:dyDescent="0.25">
      <c r="C120" s="109" t="str">
        <f t="shared" si="21"/>
        <v>FLO_TAX</v>
      </c>
      <c r="D120" s="108">
        <f t="shared" si="23"/>
        <v>2050</v>
      </c>
      <c r="F120" s="109" t="str">
        <f t="shared" si="24"/>
        <v>FT-ELEOILHFO*</v>
      </c>
      <c r="G120" s="109" t="str">
        <f t="shared" si="24"/>
        <v>ELEOILHFO</v>
      </c>
      <c r="H120" s="130">
        <f t="shared" si="10"/>
        <v>0.65</v>
      </c>
      <c r="J120" s="176">
        <f t="shared" si="17"/>
        <v>0.65</v>
      </c>
      <c r="K120" s="109" t="str">
        <f t="shared" ref="K120" si="26">K48</f>
        <v>Fuel Oil</v>
      </c>
      <c r="O120" s="109">
        <v>1.3</v>
      </c>
    </row>
    <row r="121" spans="3:15" x14ac:dyDescent="0.25">
      <c r="C121" s="109" t="str">
        <f t="shared" si="21"/>
        <v>FLO_TAX</v>
      </c>
      <c r="D121" s="108">
        <f t="shared" si="23"/>
        <v>2050</v>
      </c>
      <c r="F121" s="109" t="str">
        <f t="shared" si="24"/>
        <v>FT-HETOILHFO*</v>
      </c>
      <c r="G121" s="109" t="str">
        <f t="shared" si="24"/>
        <v>HETOILHFO</v>
      </c>
      <c r="H121" s="130">
        <f t="shared" si="10"/>
        <v>0.65</v>
      </c>
      <c r="J121" s="176">
        <f t="shared" si="17"/>
        <v>0.65</v>
      </c>
      <c r="O121" s="109">
        <v>1.3</v>
      </c>
    </row>
    <row r="122" spans="3:15" x14ac:dyDescent="0.25">
      <c r="C122" s="109" t="str">
        <f t="shared" si="21"/>
        <v>FLO_TAX</v>
      </c>
      <c r="D122" s="108">
        <f t="shared" si="23"/>
        <v>2050</v>
      </c>
      <c r="F122" s="109" t="str">
        <f t="shared" si="24"/>
        <v>FT-ELEGASNAT*</v>
      </c>
      <c r="G122" s="109" t="str">
        <f t="shared" si="24"/>
        <v>ELEGASNAT</v>
      </c>
      <c r="H122" s="130">
        <f t="shared" si="10"/>
        <v>0.65</v>
      </c>
      <c r="J122" s="176">
        <f t="shared" si="17"/>
        <v>0.65</v>
      </c>
      <c r="K122" s="109" t="str">
        <f t="shared" ref="K122" si="27">K50</f>
        <v>Natural Gas</v>
      </c>
      <c r="O122" s="109">
        <v>1.3</v>
      </c>
    </row>
    <row r="123" spans="3:15" x14ac:dyDescent="0.25">
      <c r="C123" s="109" t="str">
        <f t="shared" si="21"/>
        <v>FLO_TAX</v>
      </c>
      <c r="D123" s="108">
        <f t="shared" si="23"/>
        <v>2050</v>
      </c>
      <c r="F123" s="109" t="str">
        <f t="shared" si="24"/>
        <v>FT-HETGASNAT*</v>
      </c>
      <c r="G123" s="109" t="str">
        <f t="shared" si="24"/>
        <v>HETGASNAT</v>
      </c>
      <c r="H123" s="130">
        <f t="shared" si="10"/>
        <v>0.65</v>
      </c>
      <c r="J123" s="176">
        <f t="shared" si="17"/>
        <v>0.65</v>
      </c>
      <c r="O123" s="109">
        <v>1.3</v>
      </c>
    </row>
    <row r="124" spans="3:15" x14ac:dyDescent="0.25">
      <c r="C124" s="109" t="str">
        <f t="shared" si="21"/>
        <v>FLO_TAX</v>
      </c>
      <c r="D124" s="108">
        <f t="shared" si="23"/>
        <v>2050</v>
      </c>
      <c r="F124" s="109" t="str">
        <f t="shared" si="24"/>
        <v>FT-ELECOASUB*</v>
      </c>
      <c r="G124" s="109" t="str">
        <f t="shared" si="24"/>
        <v>ELECOASUB</v>
      </c>
      <c r="H124" s="130">
        <f t="shared" si="10"/>
        <v>0.21666666666666667</v>
      </c>
      <c r="J124" s="176">
        <f t="shared" si="17"/>
        <v>0.21666666666666667</v>
      </c>
      <c r="K124" s="109" t="str">
        <f t="shared" ref="K124" si="28">K52</f>
        <v>Coal</v>
      </c>
      <c r="O124" s="109">
        <v>1.3</v>
      </c>
    </row>
    <row r="125" spans="3:15" x14ac:dyDescent="0.25">
      <c r="C125" s="109" t="str">
        <f t="shared" si="21"/>
        <v>FLO_TAX</v>
      </c>
      <c r="D125" s="108">
        <f t="shared" si="23"/>
        <v>2050</v>
      </c>
      <c r="F125" s="109" t="str">
        <f t="shared" ref="F125:G140" si="29">F53</f>
        <v>FT-HETCOASUB*</v>
      </c>
      <c r="G125" s="109" t="str">
        <f t="shared" si="29"/>
        <v>HETCOASUB</v>
      </c>
      <c r="H125" s="130">
        <f t="shared" si="10"/>
        <v>0.21666666666666667</v>
      </c>
      <c r="J125" s="176">
        <f t="shared" si="17"/>
        <v>0.21666666666666667</v>
      </c>
      <c r="O125" s="109">
        <v>1.3</v>
      </c>
    </row>
    <row r="126" spans="3:15" x14ac:dyDescent="0.25">
      <c r="C126" s="109" t="str">
        <f t="shared" si="21"/>
        <v>FLO_TAX</v>
      </c>
      <c r="D126" s="108">
        <f t="shared" si="23"/>
        <v>2050</v>
      </c>
      <c r="F126" s="109" t="str">
        <f t="shared" si="29"/>
        <v>FT-ELEBIOLOG*</v>
      </c>
      <c r="G126" s="109" t="str">
        <f t="shared" si="29"/>
        <v>ELEBIOLOG</v>
      </c>
      <c r="H126" s="130">
        <f t="shared" si="10"/>
        <v>0.21666666666666667</v>
      </c>
      <c r="J126" s="176">
        <f t="shared" si="17"/>
        <v>0.21666666666666667</v>
      </c>
      <c r="K126" s="109" t="str">
        <f t="shared" ref="K126" si="30">K54</f>
        <v>Solid Biomass</v>
      </c>
      <c r="O126" s="109">
        <v>1.3</v>
      </c>
    </row>
    <row r="127" spans="3:15" x14ac:dyDescent="0.25">
      <c r="C127" s="109" t="str">
        <f t="shared" si="21"/>
        <v>FLO_TAX</v>
      </c>
      <c r="D127" s="108">
        <f t="shared" si="23"/>
        <v>2050</v>
      </c>
      <c r="F127" s="109" t="str">
        <f t="shared" si="29"/>
        <v>FT-HETBIOLOG*</v>
      </c>
      <c r="G127" s="109" t="str">
        <f t="shared" si="29"/>
        <v>HETBIOLOG</v>
      </c>
      <c r="H127" s="130">
        <f t="shared" si="10"/>
        <v>0.21666666666666667</v>
      </c>
      <c r="J127" s="176">
        <f t="shared" si="17"/>
        <v>0.21666666666666667</v>
      </c>
      <c r="O127" s="109">
        <v>1.3</v>
      </c>
    </row>
    <row r="128" spans="3:15" x14ac:dyDescent="0.25">
      <c r="C128" s="109" t="str">
        <f t="shared" si="21"/>
        <v>FLO_TAX</v>
      </c>
      <c r="D128" s="108">
        <f t="shared" si="23"/>
        <v>2050</v>
      </c>
      <c r="F128" s="109" t="str">
        <f t="shared" si="29"/>
        <v>FT-HETBIOPLT*</v>
      </c>
      <c r="G128" s="109" t="str">
        <f t="shared" si="29"/>
        <v>HETBIOPLT</v>
      </c>
      <c r="H128" s="130">
        <f t="shared" si="10"/>
        <v>0.21666666666666667</v>
      </c>
      <c r="J128" s="176">
        <f t="shared" si="17"/>
        <v>0.21666666666666667</v>
      </c>
      <c r="O128" s="109">
        <v>1.3</v>
      </c>
    </row>
    <row r="129" spans="3:15" x14ac:dyDescent="0.25">
      <c r="C129" s="109" t="str">
        <f t="shared" si="21"/>
        <v>FLO_TAX</v>
      </c>
      <c r="D129" s="108">
        <f t="shared" si="23"/>
        <v>2050</v>
      </c>
      <c r="F129" s="109" t="str">
        <f t="shared" si="29"/>
        <v>FT-TRAOILDSL*</v>
      </c>
      <c r="G129" s="109" t="str">
        <f t="shared" si="29"/>
        <v>TRAOILDSL</v>
      </c>
      <c r="H129" s="130">
        <f t="shared" si="10"/>
        <v>2.6</v>
      </c>
      <c r="J129" s="176">
        <f t="shared" si="17"/>
        <v>2.6</v>
      </c>
      <c r="K129" s="109" t="str">
        <f t="shared" ref="K129:K144" si="31">K57</f>
        <v>Diesel Cars</v>
      </c>
      <c r="O129" s="109">
        <v>1.3</v>
      </c>
    </row>
    <row r="130" spans="3:15" x14ac:dyDescent="0.25">
      <c r="C130" s="109" t="str">
        <f t="shared" si="21"/>
        <v>FLO_TAX</v>
      </c>
      <c r="D130" s="108">
        <f t="shared" si="23"/>
        <v>2050</v>
      </c>
      <c r="F130" s="109" t="str">
        <f t="shared" si="29"/>
        <v>TRARAIL*</v>
      </c>
      <c r="G130" s="109" t="str">
        <f t="shared" si="29"/>
        <v>TRAOILDSL</v>
      </c>
      <c r="H130" s="130">
        <f t="shared" si="10"/>
        <v>2.6</v>
      </c>
      <c r="J130" s="176">
        <f t="shared" si="17"/>
        <v>2.6</v>
      </c>
      <c r="K130" s="109" t="str">
        <f t="shared" si="31"/>
        <v>Diesel Rail</v>
      </c>
      <c r="O130" s="109">
        <v>1.3</v>
      </c>
    </row>
    <row r="131" spans="3:15" x14ac:dyDescent="0.25">
      <c r="C131" s="109" t="str">
        <f t="shared" si="21"/>
        <v>FLO_TAX</v>
      </c>
      <c r="D131" s="108">
        <f t="shared" si="23"/>
        <v>2050</v>
      </c>
      <c r="F131" s="109" t="str">
        <f t="shared" si="29"/>
        <v>TRANAV*</v>
      </c>
      <c r="G131" s="109" t="str">
        <f t="shared" si="29"/>
        <v>TRAOILDSL</v>
      </c>
      <c r="H131" s="130">
        <f t="shared" si="10"/>
        <v>2.6</v>
      </c>
      <c r="J131" s="176">
        <f t="shared" si="17"/>
        <v>2.6</v>
      </c>
      <c r="K131" s="109" t="str">
        <f t="shared" si="31"/>
        <v>Diesel Navigation</v>
      </c>
      <c r="O131" s="109">
        <v>1.3</v>
      </c>
    </row>
    <row r="132" spans="3:15" x14ac:dyDescent="0.25">
      <c r="C132" s="109" t="str">
        <f t="shared" si="21"/>
        <v>FLO_TAX</v>
      </c>
      <c r="D132" s="108">
        <f t="shared" si="23"/>
        <v>2050</v>
      </c>
      <c r="F132" s="109" t="str">
        <f t="shared" si="29"/>
        <v>FT-TRAOILGSL*</v>
      </c>
      <c r="G132" s="109" t="str">
        <f t="shared" si="29"/>
        <v>TRAOILGSL</v>
      </c>
      <c r="H132" s="130">
        <f t="shared" si="10"/>
        <v>11.700000000000001</v>
      </c>
      <c r="J132" s="176">
        <f t="shared" si="17"/>
        <v>11.700000000000001</v>
      </c>
      <c r="K132" s="109" t="str">
        <f t="shared" si="31"/>
        <v>Gasoline Cars</v>
      </c>
      <c r="O132" s="109">
        <v>1.3</v>
      </c>
    </row>
    <row r="133" spans="3:15" x14ac:dyDescent="0.25">
      <c r="C133" s="109" t="str">
        <f t="shared" ref="C133:C148" si="32">IF(J133=0,"*",IF(J133&lt;0,"FLO_SUB","FLO_TAX"))</f>
        <v>FLO_TAX</v>
      </c>
      <c r="D133" s="108">
        <f t="shared" si="23"/>
        <v>2050</v>
      </c>
      <c r="F133" s="109" t="str">
        <f t="shared" si="29"/>
        <v>FT-TRAOILLPG*</v>
      </c>
      <c r="G133" s="109" t="str">
        <f t="shared" si="29"/>
        <v>TRAOILLPG</v>
      </c>
      <c r="H133" s="130">
        <f t="shared" ref="H133:H148" si="33">J133</f>
        <v>11.700000000000001</v>
      </c>
      <c r="J133" s="176">
        <f t="shared" si="17"/>
        <v>11.700000000000001</v>
      </c>
      <c r="K133" s="109" t="str">
        <f t="shared" si="31"/>
        <v>LPG Cars</v>
      </c>
      <c r="O133" s="109">
        <v>1.3</v>
      </c>
    </row>
    <row r="134" spans="3:15" x14ac:dyDescent="0.25">
      <c r="C134" s="109" t="str">
        <f t="shared" si="32"/>
        <v>FLO_TAX</v>
      </c>
      <c r="D134" s="108">
        <f t="shared" si="23"/>
        <v>2050</v>
      </c>
      <c r="F134" s="109" t="str">
        <f t="shared" si="29"/>
        <v>FT-TRAGASNAT*</v>
      </c>
      <c r="G134" s="109" t="str">
        <f t="shared" si="29"/>
        <v>TRAGASNAT</v>
      </c>
      <c r="H134" s="130">
        <f t="shared" si="33"/>
        <v>1.3</v>
      </c>
      <c r="J134" s="176">
        <f t="shared" si="17"/>
        <v>1.3</v>
      </c>
      <c r="K134" s="109" t="str">
        <f t="shared" si="31"/>
        <v>CNG Cars</v>
      </c>
      <c r="O134" s="109">
        <v>1.3</v>
      </c>
    </row>
    <row r="135" spans="3:15" x14ac:dyDescent="0.25">
      <c r="C135" s="109" t="str">
        <f t="shared" si="32"/>
        <v>FLO_TAX</v>
      </c>
      <c r="D135" s="108">
        <f t="shared" si="23"/>
        <v>2050</v>
      </c>
      <c r="F135" s="109" t="str">
        <f t="shared" si="29"/>
        <v>FT-TRABIOBGS*</v>
      </c>
      <c r="G135" s="109" t="str">
        <f t="shared" si="29"/>
        <v>TRABIOBGS</v>
      </c>
      <c r="H135" s="130">
        <f t="shared" si="33"/>
        <v>1.3</v>
      </c>
      <c r="J135" s="176">
        <f t="shared" si="17"/>
        <v>1.3</v>
      </c>
      <c r="K135" s="109">
        <f t="shared" si="31"/>
        <v>0</v>
      </c>
      <c r="O135" s="109">
        <v>1.3</v>
      </c>
    </row>
    <row r="136" spans="3:15" x14ac:dyDescent="0.25">
      <c r="C136" s="109" t="str">
        <f t="shared" si="32"/>
        <v>FLO_TAX</v>
      </c>
      <c r="D136" s="108">
        <f t="shared" si="23"/>
        <v>2050</v>
      </c>
      <c r="F136" s="109" t="str">
        <f t="shared" si="29"/>
        <v>FT-TRAOILKER*</v>
      </c>
      <c r="G136" s="109" t="str">
        <f t="shared" si="29"/>
        <v>TRAOILKER</v>
      </c>
      <c r="H136" s="130">
        <f t="shared" si="33"/>
        <v>3.9000000000000004</v>
      </c>
      <c r="J136" s="176">
        <f t="shared" si="17"/>
        <v>3.9000000000000004</v>
      </c>
      <c r="K136" s="109" t="str">
        <f t="shared" si="31"/>
        <v>Kerosene</v>
      </c>
      <c r="O136" s="109">
        <v>1.3</v>
      </c>
    </row>
    <row r="137" spans="3:15" x14ac:dyDescent="0.25">
      <c r="C137" s="109" t="str">
        <f t="shared" si="32"/>
        <v>FLO_TAX</v>
      </c>
      <c r="D137" s="108">
        <f t="shared" si="23"/>
        <v>2050</v>
      </c>
      <c r="F137" s="109" t="str">
        <f t="shared" si="29"/>
        <v>FT-TRABIOKER*</v>
      </c>
      <c r="G137" s="109" t="str">
        <f t="shared" si="29"/>
        <v>TRABIOKER</v>
      </c>
      <c r="H137" s="130">
        <f t="shared" si="33"/>
        <v>3.1200000000000006</v>
      </c>
      <c r="J137" s="176">
        <f t="shared" si="17"/>
        <v>3.1200000000000006</v>
      </c>
      <c r="K137" s="109">
        <f t="shared" si="31"/>
        <v>0</v>
      </c>
      <c r="O137" s="109">
        <v>1.3</v>
      </c>
    </row>
    <row r="138" spans="3:15" x14ac:dyDescent="0.25">
      <c r="C138" s="109" t="str">
        <f t="shared" si="32"/>
        <v>FLO_TAX</v>
      </c>
      <c r="D138" s="108">
        <f t="shared" si="23"/>
        <v>2050</v>
      </c>
      <c r="F138" s="109" t="str">
        <f t="shared" si="29"/>
        <v>FT-TRAOILGSA*</v>
      </c>
      <c r="G138" s="109" t="str">
        <f t="shared" si="29"/>
        <v>TRAOILGSA</v>
      </c>
      <c r="H138" s="130">
        <f t="shared" si="33"/>
        <v>3.9000000000000004</v>
      </c>
      <c r="J138" s="176">
        <f t="shared" si="17"/>
        <v>3.9000000000000004</v>
      </c>
      <c r="K138" s="109">
        <f t="shared" si="31"/>
        <v>0</v>
      </c>
      <c r="O138" s="109">
        <v>1.3</v>
      </c>
    </row>
    <row r="139" spans="3:15" x14ac:dyDescent="0.25">
      <c r="C139" s="109" t="str">
        <f t="shared" si="32"/>
        <v>FLO_TAX</v>
      </c>
      <c r="D139" s="108">
        <f t="shared" si="23"/>
        <v>2050</v>
      </c>
      <c r="F139" s="109" t="str">
        <f t="shared" si="29"/>
        <v>FT-TRABIOE**</v>
      </c>
      <c r="G139" s="109" t="str">
        <f t="shared" si="29"/>
        <v>TRABIOE*</v>
      </c>
      <c r="H139" s="130">
        <f t="shared" si="33"/>
        <v>3.9000000000000004</v>
      </c>
      <c r="J139" s="176">
        <f t="shared" si="17"/>
        <v>3.9000000000000004</v>
      </c>
      <c r="K139" s="109">
        <f t="shared" si="31"/>
        <v>0</v>
      </c>
      <c r="O139" s="109">
        <v>1.3</v>
      </c>
    </row>
    <row r="140" spans="3:15" x14ac:dyDescent="0.25">
      <c r="C140" s="109" t="str">
        <f t="shared" si="32"/>
        <v>FLO_TAX</v>
      </c>
      <c r="D140" s="108">
        <f t="shared" si="23"/>
        <v>2050</v>
      </c>
      <c r="F140" s="109" t="str">
        <f t="shared" si="29"/>
        <v>FT-TRABIODSL**</v>
      </c>
      <c r="G140" s="109" t="str">
        <f t="shared" si="29"/>
        <v>TRABIODSL*</v>
      </c>
      <c r="H140" s="130">
        <f t="shared" si="33"/>
        <v>3.9000000000000004</v>
      </c>
      <c r="J140" s="176">
        <f t="shared" si="17"/>
        <v>3.9000000000000004</v>
      </c>
      <c r="K140" s="109">
        <f t="shared" si="31"/>
        <v>0</v>
      </c>
      <c r="O140" s="109">
        <v>1.3</v>
      </c>
    </row>
    <row r="141" spans="3:15" x14ac:dyDescent="0.25">
      <c r="C141" s="109" t="str">
        <f t="shared" si="32"/>
        <v>FLO_TAX</v>
      </c>
      <c r="D141" s="108">
        <f t="shared" ref="D141:D148" si="34">END_YEAR</f>
        <v>2050</v>
      </c>
      <c r="F141" s="109" t="str">
        <f t="shared" ref="F141:G148" si="35">F69</f>
        <v>FT-TRABIOB20*</v>
      </c>
      <c r="G141" s="109" t="str">
        <f t="shared" si="35"/>
        <v>TRABIOB20</v>
      </c>
      <c r="H141" s="130">
        <f t="shared" si="33"/>
        <v>3.9000000000000004</v>
      </c>
      <c r="J141" s="176">
        <f t="shared" si="17"/>
        <v>3.9000000000000004</v>
      </c>
      <c r="K141" s="109">
        <f t="shared" si="31"/>
        <v>0</v>
      </c>
      <c r="O141" s="109">
        <v>1.3</v>
      </c>
    </row>
    <row r="142" spans="3:15" x14ac:dyDescent="0.25">
      <c r="C142" s="109" t="str">
        <f t="shared" si="32"/>
        <v>FLO_TAX</v>
      </c>
      <c r="D142" s="108">
        <f t="shared" si="34"/>
        <v>2050</v>
      </c>
      <c r="E142" s="109" t="str">
        <f>E70</f>
        <v>TRAELC</v>
      </c>
      <c r="F142" s="109" t="str">
        <f t="shared" si="35"/>
        <v>-TRARAIL*</v>
      </c>
      <c r="G142" s="109" t="str">
        <f t="shared" si="35"/>
        <v>TRAELC</v>
      </c>
      <c r="H142" s="130">
        <f t="shared" si="33"/>
        <v>12.61</v>
      </c>
      <c r="J142" s="176">
        <f t="shared" ref="J142:J148" si="36">J70*O142</f>
        <v>12.61</v>
      </c>
      <c r="K142" s="109" t="str">
        <f t="shared" si="31"/>
        <v>Electricity-Private</v>
      </c>
      <c r="O142" s="109">
        <v>1.3</v>
      </c>
    </row>
    <row r="143" spans="3:15" x14ac:dyDescent="0.25">
      <c r="C143" s="109" t="str">
        <f t="shared" si="32"/>
        <v>FLO_TAX</v>
      </c>
      <c r="D143" s="108">
        <f t="shared" si="34"/>
        <v>2050</v>
      </c>
      <c r="F143" s="109" t="str">
        <f t="shared" si="35"/>
        <v>FT-TRAELC*</v>
      </c>
      <c r="G143" s="109" t="str">
        <f t="shared" si="35"/>
        <v>TRAELC</v>
      </c>
      <c r="H143" s="130">
        <f t="shared" si="33"/>
        <v>1.3</v>
      </c>
      <c r="J143" s="176">
        <f t="shared" si="36"/>
        <v>1.3</v>
      </c>
      <c r="K143" s="109" t="str">
        <f t="shared" si="31"/>
        <v>Electricity-Rail</v>
      </c>
      <c r="O143" s="109">
        <v>1.3</v>
      </c>
    </row>
    <row r="144" spans="3:15" x14ac:dyDescent="0.25">
      <c r="C144" s="109" t="str">
        <f t="shared" si="32"/>
        <v>FLO_TAX</v>
      </c>
      <c r="D144" s="108">
        <f t="shared" si="34"/>
        <v>2050</v>
      </c>
      <c r="F144" s="109" t="str">
        <f t="shared" si="35"/>
        <v>FT-TRAH2*</v>
      </c>
      <c r="G144" s="109" t="str">
        <f t="shared" si="35"/>
        <v>TRAH2G</v>
      </c>
      <c r="H144" s="130">
        <f t="shared" si="33"/>
        <v>1.3</v>
      </c>
      <c r="J144" s="176">
        <f t="shared" si="36"/>
        <v>1.3</v>
      </c>
      <c r="K144" s="109">
        <f t="shared" si="31"/>
        <v>0</v>
      </c>
      <c r="O144" s="109">
        <v>1.3</v>
      </c>
    </row>
    <row r="145" spans="1:15" x14ac:dyDescent="0.25">
      <c r="C145" s="109" t="str">
        <f t="shared" si="32"/>
        <v>FLO_TAX</v>
      </c>
      <c r="D145" s="108">
        <f t="shared" si="34"/>
        <v>2050</v>
      </c>
      <c r="F145" s="109" t="str">
        <f t="shared" si="35"/>
        <v>FT-AGRELC*</v>
      </c>
      <c r="G145" s="109" t="str">
        <f t="shared" si="35"/>
        <v>AGRELC</v>
      </c>
      <c r="H145" s="130">
        <f t="shared" si="33"/>
        <v>6.1099999999999994</v>
      </c>
      <c r="J145" s="176">
        <f t="shared" si="36"/>
        <v>6.1099999999999994</v>
      </c>
      <c r="K145" s="109" t="str">
        <f t="shared" ref="K145:K148" si="37">K73</f>
        <v>Electricity</v>
      </c>
      <c r="O145" s="109">
        <v>1.3</v>
      </c>
    </row>
    <row r="146" spans="1:15" x14ac:dyDescent="0.25">
      <c r="C146" s="109" t="str">
        <f t="shared" si="32"/>
        <v>FLO_TAX</v>
      </c>
      <c r="D146" s="108">
        <f t="shared" si="34"/>
        <v>2050</v>
      </c>
      <c r="F146" s="109" t="str">
        <f t="shared" si="35"/>
        <v>FT-AGROILDSL*</v>
      </c>
      <c r="G146" s="109" t="str">
        <f t="shared" si="35"/>
        <v>AGROILDSL</v>
      </c>
      <c r="H146" s="130">
        <f t="shared" si="33"/>
        <v>2.6</v>
      </c>
      <c r="J146" s="176">
        <f t="shared" si="36"/>
        <v>2.6</v>
      </c>
      <c r="K146" s="109" t="str">
        <f t="shared" si="37"/>
        <v>Diesel</v>
      </c>
      <c r="O146" s="109">
        <v>1.3</v>
      </c>
    </row>
    <row r="147" spans="1:15" x14ac:dyDescent="0.25">
      <c r="C147" s="109" t="str">
        <f t="shared" si="32"/>
        <v>FLO_TAX</v>
      </c>
      <c r="D147" s="108">
        <f t="shared" si="34"/>
        <v>2050</v>
      </c>
      <c r="F147" s="109" t="str">
        <f t="shared" si="35"/>
        <v>FT-AGRGASNAT*</v>
      </c>
      <c r="G147" s="109" t="str">
        <f t="shared" si="35"/>
        <v>AGRGASNAT</v>
      </c>
      <c r="H147" s="130">
        <f t="shared" si="33"/>
        <v>0.91000000000000025</v>
      </c>
      <c r="J147" s="176">
        <f t="shared" si="36"/>
        <v>0.91000000000000025</v>
      </c>
      <c r="K147" s="109" t="str">
        <f t="shared" si="37"/>
        <v>Natural Gas</v>
      </c>
      <c r="O147" s="109">
        <v>1.3</v>
      </c>
    </row>
    <row r="148" spans="1:15" x14ac:dyDescent="0.25">
      <c r="A148" s="169"/>
      <c r="B148" s="169"/>
      <c r="C148" s="109" t="str">
        <f t="shared" si="32"/>
        <v>FLO_TAX</v>
      </c>
      <c r="D148" s="151">
        <f t="shared" si="34"/>
        <v>2050</v>
      </c>
      <c r="E148" s="169"/>
      <c r="F148" s="169" t="str">
        <f t="shared" si="35"/>
        <v>FT-AGRCOABIC*</v>
      </c>
      <c r="G148" s="169" t="str">
        <f t="shared" si="35"/>
        <v>AGRCOABIC</v>
      </c>
      <c r="H148" s="175">
        <f t="shared" si="33"/>
        <v>0.3033333333333334</v>
      </c>
      <c r="I148" s="169"/>
      <c r="J148" s="177">
        <f t="shared" si="36"/>
        <v>0.3033333333333334</v>
      </c>
      <c r="K148" s="169" t="str">
        <f t="shared" si="37"/>
        <v>Other bituminous</v>
      </c>
      <c r="L148" s="169"/>
      <c r="M148" s="169"/>
      <c r="O148" s="109">
        <v>1.3</v>
      </c>
    </row>
    <row r="161" s="109" customFormat="1" x14ac:dyDescent="0.25"/>
    <row r="162" s="109" customFormat="1" x14ac:dyDescent="0.25"/>
    <row r="163" s="109" customFormat="1" x14ac:dyDescent="0.25"/>
    <row r="164" s="109" customForma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Worldprices</vt:lpstr>
      <vt:lpstr>INPUTtoVEDA_Oil-Gas-Elc</vt:lpstr>
      <vt:lpstr>INPUTtoVEDA_Coal</vt:lpstr>
      <vt:lpstr>Local_Prices-KZK</vt:lpstr>
      <vt:lpstr>Local_Prices-AZJ</vt:lpstr>
      <vt:lpstr>Local_Prices-UZB</vt:lpstr>
      <vt:lpstr>Local_Prices-TKM</vt:lpstr>
      <vt:lpstr>INPUTtoVEDA_Taxes_KZK</vt:lpstr>
      <vt:lpstr>INPUTtoVEDA_Taxes_AZJ</vt:lpstr>
      <vt:lpstr>INPUTtoVEDA_Taxes_UZB</vt:lpstr>
      <vt:lpstr>INPUTtoVEDA_Taxes_TKM</vt:lpstr>
      <vt:lpstr>Data</vt:lpstr>
      <vt:lpstr>Common data</vt:lpstr>
      <vt:lpstr>General</vt:lpstr>
      <vt:lpstr>BASE_YEAR</vt:lpstr>
      <vt:lpstr>END_YEAR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Rocco De Miglio</cp:lastModifiedBy>
  <dcterms:created xsi:type="dcterms:W3CDTF">2006-01-11T08:16:21Z</dcterms:created>
  <dcterms:modified xsi:type="dcterms:W3CDTF">2022-09-23T16:47:32Z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561222076416015</vt:r8>
  </property>
</Properties>
</file>