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77818269-4B4E-40B9-82BA-D9C8ACB1F995}" xr6:coauthVersionLast="47" xr6:coauthVersionMax="47" xr10:uidLastSave="{00000000-0000-0000-0000-000000000000}"/>
  <bookViews>
    <workbookView xWindow="372" yWindow="0" windowWidth="22668" windowHeight="12240" tabRatio="788" activeTab="2" xr2:uid="{00000000-000D-0000-FFFF-FFFF00000000}"/>
  </bookViews>
  <sheets>
    <sheet name="Fill_Orders" sheetId="6" r:id="rId1"/>
    <sheet name="RSD_Retrofit_BND" sheetId="27" r:id="rId2"/>
    <sheet name="TER_Retrofit_BND" sheetId="28" r:id="rId3"/>
    <sheet name="General" sheetId="14" state="hidden" r:id="rId4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1" i="27" l="1"/>
  <c r="R155" i="27"/>
  <c r="W16" i="28" l="1"/>
  <c r="W14" i="28"/>
  <c r="W12" i="28"/>
  <c r="W10" i="28"/>
  <c r="G77" i="27" l="1"/>
  <c r="G76" i="27"/>
  <c r="G75" i="27"/>
  <c r="G74" i="27"/>
  <c r="G73" i="27"/>
  <c r="G72" i="27"/>
  <c r="G71" i="27"/>
  <c r="G70" i="27"/>
  <c r="F77" i="27"/>
  <c r="F76" i="27"/>
  <c r="F75" i="27"/>
  <c r="F74" i="27"/>
  <c r="F73" i="27"/>
  <c r="F72" i="27"/>
  <c r="F71" i="27"/>
  <c r="F70" i="27"/>
  <c r="W40" i="27" l="1"/>
  <c r="W32" i="27"/>
  <c r="W24" i="27"/>
  <c r="W16" i="27"/>
  <c r="AC40" i="27"/>
  <c r="AC32" i="27"/>
  <c r="AC24" i="27"/>
  <c r="AC16" i="27"/>
  <c r="V17" i="28" l="1"/>
  <c r="V16" i="28"/>
  <c r="V15" i="28"/>
  <c r="V14" i="28"/>
  <c r="V13" i="28"/>
  <c r="V12" i="28"/>
  <c r="V11" i="28"/>
  <c r="V10" i="28"/>
  <c r="V9" i="28"/>
  <c r="V8" i="28"/>
  <c r="H72" i="27" l="1"/>
  <c r="X156" i="27" s="1"/>
  <c r="H74" i="27"/>
  <c r="X174" i="27" s="1"/>
  <c r="H70" i="27"/>
  <c r="X138" i="27" s="1"/>
  <c r="H75" i="27"/>
  <c r="X183" i="27" s="1"/>
  <c r="H71" i="27"/>
  <c r="X147" i="27" s="1"/>
  <c r="H77" i="27"/>
  <c r="X201" i="27" s="1"/>
  <c r="H73" i="27"/>
  <c r="X165" i="27" s="1"/>
  <c r="H76" i="27"/>
  <c r="X192" i="27" s="1"/>
  <c r="X200" i="27" l="1"/>
  <c r="R201" i="27"/>
  <c r="S200" i="27"/>
  <c r="S201" i="27" s="1"/>
  <c r="R200" i="27"/>
  <c r="X191" i="27"/>
  <c r="R192" i="27"/>
  <c r="S191" i="27"/>
  <c r="S192" i="27" s="1"/>
  <c r="R183" i="27"/>
  <c r="X182" i="27"/>
  <c r="S182" i="27"/>
  <c r="U182" i="27" s="1"/>
  <c r="U183" i="27" s="1"/>
  <c r="R182" i="27"/>
  <c r="X173" i="27"/>
  <c r="R174" i="27"/>
  <c r="S173" i="27"/>
  <c r="U173" i="27" s="1"/>
  <c r="U174" i="27" s="1"/>
  <c r="R173" i="27"/>
  <c r="X164" i="27"/>
  <c r="R165" i="27"/>
  <c r="S164" i="27"/>
  <c r="S165" i="27" s="1"/>
  <c r="R164" i="27"/>
  <c r="R156" i="27"/>
  <c r="X155" i="27"/>
  <c r="S155" i="27"/>
  <c r="S156" i="27" s="1"/>
  <c r="R147" i="27"/>
  <c r="X146" i="27"/>
  <c r="S146" i="27"/>
  <c r="U146" i="27" s="1"/>
  <c r="U147" i="27" s="1"/>
  <c r="R146" i="27"/>
  <c r="X137" i="27"/>
  <c r="R138" i="27"/>
  <c r="S137" i="27"/>
  <c r="U137" i="27" s="1"/>
  <c r="U138" i="27" s="1"/>
  <c r="R137" i="27"/>
  <c r="S138" i="27" l="1"/>
  <c r="S147" i="27"/>
  <c r="S174" i="27"/>
  <c r="S183" i="27"/>
  <c r="U200" i="27"/>
  <c r="U201" i="27" s="1"/>
  <c r="U191" i="27"/>
  <c r="U192" i="27" s="1"/>
  <c r="U164" i="27"/>
  <c r="U165" i="27" s="1"/>
  <c r="U155" i="27"/>
  <c r="U156" i="27" s="1"/>
  <c r="AC8" i="28" l="1"/>
  <c r="N3" i="28"/>
  <c r="N4" i="28"/>
  <c r="N5" i="28"/>
  <c r="N2" i="28"/>
  <c r="O3" i="28"/>
  <c r="O4" i="28"/>
  <c r="O5" i="28"/>
  <c r="O2" i="28"/>
  <c r="N11" i="28"/>
  <c r="N10" i="28"/>
  <c r="N9" i="28"/>
  <c r="N8" i="28"/>
  <c r="N7" i="28"/>
  <c r="N6" i="28"/>
  <c r="AC41" i="27"/>
  <c r="AC42" i="27" s="1"/>
  <c r="AC43" i="27" s="1"/>
  <c r="AC44" i="27" s="1"/>
  <c r="AC45" i="27" s="1"/>
  <c r="AC46" i="27" s="1"/>
  <c r="AC47" i="27" s="1"/>
  <c r="AC33" i="27"/>
  <c r="AC34" i="27" s="1"/>
  <c r="AC35" i="27" s="1"/>
  <c r="AC36" i="27" s="1"/>
  <c r="AC37" i="27" s="1"/>
  <c r="AC38" i="27" s="1"/>
  <c r="AC39" i="27" s="1"/>
  <c r="AC25" i="27"/>
  <c r="AC26" i="27" s="1"/>
  <c r="AC27" i="27" s="1"/>
  <c r="AC28" i="27" s="1"/>
  <c r="AC29" i="27" s="1"/>
  <c r="AC30" i="27" s="1"/>
  <c r="AC31" i="27" s="1"/>
  <c r="AC17" i="27"/>
  <c r="AC18" i="27" s="1"/>
  <c r="AC19" i="27" s="1"/>
  <c r="AC20" i="27" s="1"/>
  <c r="AC21" i="27" s="1"/>
  <c r="AC22" i="27" s="1"/>
  <c r="AC23" i="27" s="1"/>
  <c r="AC9" i="27"/>
  <c r="AC10" i="27" s="1"/>
  <c r="P3" i="27"/>
  <c r="P4" i="27"/>
  <c r="P5" i="27"/>
  <c r="P2" i="27"/>
  <c r="O17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8" i="27"/>
  <c r="O2" i="27"/>
  <c r="AD10" i="28" l="1"/>
  <c r="AD12" i="28"/>
  <c r="AD14" i="28"/>
  <c r="AD8" i="28"/>
  <c r="AD16" i="28"/>
  <c r="AC11" i="27"/>
  <c r="AC12" i="27" l="1"/>
  <c r="U56" i="27"/>
  <c r="AC13" i="27" l="1"/>
  <c r="AA9" i="27"/>
  <c r="AC14" i="27" l="1"/>
  <c r="V9" i="27"/>
  <c r="V8" i="27"/>
  <c r="AD8" i="27" s="1"/>
  <c r="X8" i="27" s="1"/>
  <c r="AC15" i="27" l="1"/>
  <c r="U35" i="28"/>
  <c r="U26" i="28"/>
  <c r="X8" i="28"/>
  <c r="O35" i="28"/>
  <c r="B27" i="28"/>
  <c r="C26" i="28" l="1"/>
  <c r="Y26" i="28" s="1"/>
  <c r="C27" i="28"/>
  <c r="Y35" i="28" s="1"/>
  <c r="O65" i="27"/>
  <c r="S35" i="28" l="1"/>
  <c r="S36" i="28" s="1"/>
  <c r="Q35" i="28"/>
  <c r="Q26" i="28"/>
  <c r="S26" i="28"/>
  <c r="S27" i="28" s="1"/>
  <c r="O74" i="27"/>
  <c r="S37" i="28" l="1"/>
  <c r="S28" i="28"/>
  <c r="S29" i="28" s="1"/>
  <c r="O83" i="27"/>
  <c r="S38" i="28" l="1"/>
  <c r="S30" i="28"/>
  <c r="O92" i="27"/>
  <c r="S39" i="28" l="1"/>
  <c r="O101" i="27"/>
  <c r="O110" i="27" l="1"/>
  <c r="O119" i="27" l="1"/>
  <c r="B57" i="27" l="1"/>
  <c r="B58" i="27" l="1"/>
  <c r="B59" i="27" s="1"/>
  <c r="B60" i="27" s="1"/>
  <c r="B61" i="27" s="1"/>
  <c r="B62" i="27" s="1"/>
  <c r="B63" i="27" s="1"/>
  <c r="U65" i="27"/>
  <c r="U74" i="27" s="1"/>
  <c r="U83" i="27" s="1"/>
  <c r="U92" i="27" s="1"/>
  <c r="U101" i="27" s="1"/>
  <c r="U110" i="27" s="1"/>
  <c r="U119" i="27" s="1"/>
  <c r="C57" i="27"/>
  <c r="Q65" i="27" s="1"/>
  <c r="C56" i="27"/>
  <c r="Q119" i="27" l="1"/>
  <c r="Q200" i="27" s="1"/>
  <c r="AA200" i="27" s="1"/>
  <c r="Q110" i="27"/>
  <c r="Q146" i="27"/>
  <c r="AA146" i="27" s="1"/>
  <c r="Q191" i="27"/>
  <c r="AA191" i="27" s="1"/>
  <c r="Q101" i="27"/>
  <c r="Q182" i="27" s="1"/>
  <c r="AA182" i="27" s="1"/>
  <c r="Y92" i="27"/>
  <c r="S83" i="27"/>
  <c r="Q74" i="27"/>
  <c r="Q56" i="27"/>
  <c r="S56" i="27"/>
  <c r="W56" i="27" s="1"/>
  <c r="Y119" i="27"/>
  <c r="S101" i="27"/>
  <c r="S92" i="27"/>
  <c r="Q83" i="27"/>
  <c r="Q164" i="27" s="1"/>
  <c r="AA164" i="27" s="1"/>
  <c r="S65" i="27"/>
  <c r="S110" i="27"/>
  <c r="Y101" i="27"/>
  <c r="Q92" i="27"/>
  <c r="Q173" i="27" s="1"/>
  <c r="AA173" i="27" s="1"/>
  <c r="Y74" i="27"/>
  <c r="S74" i="27"/>
  <c r="S119" i="27"/>
  <c r="Y110" i="27"/>
  <c r="Y83" i="27"/>
  <c r="Y65" i="27"/>
  <c r="Y56" i="27"/>
  <c r="V16" i="27"/>
  <c r="Q137" i="27" l="1"/>
  <c r="AA137" i="27" s="1"/>
  <c r="Q155" i="27"/>
  <c r="AA155" i="27" s="1"/>
  <c r="S84" i="27"/>
  <c r="S93" i="27"/>
  <c r="S57" i="27"/>
  <c r="S120" i="27"/>
  <c r="S75" i="27"/>
  <c r="S111" i="27"/>
  <c r="S102" i="27"/>
  <c r="S66" i="27"/>
  <c r="S85" i="27" l="1"/>
  <c r="S86" i="27" s="1"/>
  <c r="S112" i="27"/>
  <c r="S67" i="27"/>
  <c r="S121" i="27"/>
  <c r="S103" i="27"/>
  <c r="S76" i="27"/>
  <c r="S94" i="27"/>
  <c r="S58" i="27"/>
  <c r="S95" i="27" l="1"/>
  <c r="S77" i="27"/>
  <c r="S59" i="27"/>
  <c r="S104" i="27"/>
  <c r="S122" i="27"/>
  <c r="S87" i="27"/>
  <c r="S68" i="27"/>
  <c r="S113" i="27"/>
  <c r="AC16" i="28" l="1"/>
  <c r="W17" i="28"/>
  <c r="AD17" i="28" s="1"/>
  <c r="U30" i="28"/>
  <c r="U39" i="28"/>
  <c r="S60" i="27"/>
  <c r="S114" i="27"/>
  <c r="S69" i="27"/>
  <c r="S123" i="27"/>
  <c r="S105" i="27"/>
  <c r="S78" i="27"/>
  <c r="S96" i="27"/>
  <c r="W26" i="28"/>
  <c r="AC10" i="28" l="1"/>
  <c r="X10" i="28"/>
  <c r="AC14" i="28"/>
  <c r="AC12" i="28"/>
  <c r="AC17" i="28"/>
  <c r="W15" i="28"/>
  <c r="AD15" i="28" s="1"/>
  <c r="U38" i="28"/>
  <c r="U29" i="28"/>
  <c r="W11" i="28"/>
  <c r="AD11" i="28" s="1"/>
  <c r="U36" i="28"/>
  <c r="U27" i="28"/>
  <c r="W13" i="28"/>
  <c r="AD13" i="28" s="1"/>
  <c r="U37" i="28"/>
  <c r="U28" i="28"/>
  <c r="Z9" i="28"/>
  <c r="Z8" i="28"/>
  <c r="W9" i="28"/>
  <c r="AD9" i="28" s="1"/>
  <c r="X12" i="28" l="1"/>
  <c r="X14" i="28" s="1"/>
  <c r="X16" i="28" s="1"/>
  <c r="W27" i="28"/>
  <c r="AC13" i="28"/>
  <c r="X9" i="28"/>
  <c r="AC9" i="28"/>
  <c r="AC11" i="28"/>
  <c r="AC15" i="28"/>
  <c r="U17" i="27"/>
  <c r="U25" i="27" s="1"/>
  <c r="U33" i="27" s="1"/>
  <c r="U41" i="27" s="1"/>
  <c r="AD16" i="27"/>
  <c r="X16" i="27" s="1"/>
  <c r="U16" i="27"/>
  <c r="U24" i="27" s="1"/>
  <c r="U32" i="27" s="1"/>
  <c r="U40" i="27" s="1"/>
  <c r="Z9" i="27"/>
  <c r="V17" i="27"/>
  <c r="Z8" i="27"/>
  <c r="W9" i="27"/>
  <c r="V24" i="27"/>
  <c r="D21" i="14"/>
  <c r="D19" i="14"/>
  <c r="E16" i="14"/>
  <c r="E15" i="14"/>
  <c r="E14" i="14"/>
  <c r="D13" i="14"/>
  <c r="E12" i="14"/>
  <c r="AD24" i="27" l="1"/>
  <c r="X24" i="27" s="1"/>
  <c r="W28" i="28"/>
  <c r="X11" i="28"/>
  <c r="W35" i="28"/>
  <c r="AD9" i="27"/>
  <c r="X9" i="27" s="1"/>
  <c r="W65" i="27" s="1"/>
  <c r="W57" i="27"/>
  <c r="W30" i="28"/>
  <c r="W29" i="28"/>
  <c r="V25" i="27"/>
  <c r="V32" i="27"/>
  <c r="U57" i="27"/>
  <c r="U66" i="27" s="1"/>
  <c r="U75" i="27" s="1"/>
  <c r="U84" i="27" s="1"/>
  <c r="U93" i="27" s="1"/>
  <c r="U102" i="27" s="1"/>
  <c r="U111" i="27" s="1"/>
  <c r="U120" i="27" s="1"/>
  <c r="W25" i="27"/>
  <c r="U58" i="27"/>
  <c r="U67" i="27" s="1"/>
  <c r="U76" i="27" s="1"/>
  <c r="U85" i="27" s="1"/>
  <c r="U94" i="27" s="1"/>
  <c r="U103" i="27" s="1"/>
  <c r="U112" i="27" s="1"/>
  <c r="U121" i="27" s="1"/>
  <c r="W33" i="27"/>
  <c r="U59" i="27"/>
  <c r="U68" i="27" s="1"/>
  <c r="U77" i="27" s="1"/>
  <c r="U86" i="27" s="1"/>
  <c r="U95" i="27" s="1"/>
  <c r="U104" i="27" s="1"/>
  <c r="U113" i="27" s="1"/>
  <c r="U122" i="27" s="1"/>
  <c r="W41" i="27"/>
  <c r="U60" i="27"/>
  <c r="U69" i="27" s="1"/>
  <c r="U78" i="27" s="1"/>
  <c r="U87" i="27" s="1"/>
  <c r="U96" i="27" s="1"/>
  <c r="U105" i="27" s="1"/>
  <c r="U114" i="27" s="1"/>
  <c r="U123" i="27" s="1"/>
  <c r="W17" i="27"/>
  <c r="AD18" i="27" s="1"/>
  <c r="X13" i="28" l="1"/>
  <c r="W36" i="28"/>
  <c r="AD17" i="27"/>
  <c r="X17" i="27" s="1"/>
  <c r="W66" i="27" s="1"/>
  <c r="AD10" i="27"/>
  <c r="AD30" i="27"/>
  <c r="AD26" i="27"/>
  <c r="AD32" i="27"/>
  <c r="X32" i="27" s="1"/>
  <c r="AD31" i="27"/>
  <c r="AD27" i="27"/>
  <c r="AD29" i="27"/>
  <c r="V33" i="27"/>
  <c r="AD25" i="27"/>
  <c r="AD28" i="27"/>
  <c r="V40" i="27"/>
  <c r="AD40" i="27" s="1"/>
  <c r="W58" i="27"/>
  <c r="AD19" i="27"/>
  <c r="X25" i="27" l="1"/>
  <c r="W67" i="27" s="1"/>
  <c r="X15" i="28"/>
  <c r="W37" i="28"/>
  <c r="W76" i="27"/>
  <c r="AD11" i="27"/>
  <c r="W74" i="27"/>
  <c r="W59" i="27"/>
  <c r="X40" i="27"/>
  <c r="AD45" i="27"/>
  <c r="AD37" i="27"/>
  <c r="AD44" i="27"/>
  <c r="AD36" i="27"/>
  <c r="AD43" i="27"/>
  <c r="AD35" i="27"/>
  <c r="AD42" i="27"/>
  <c r="AD34" i="27"/>
  <c r="V41" i="27"/>
  <c r="AD41" i="27" s="1"/>
  <c r="AD33" i="27"/>
  <c r="AD47" i="27"/>
  <c r="AD39" i="27"/>
  <c r="AD46" i="27"/>
  <c r="AD38" i="27"/>
  <c r="W75" i="27"/>
  <c r="AD20" i="27"/>
  <c r="W77" i="27" l="1"/>
  <c r="X33" i="27"/>
  <c r="X41" i="27" s="1"/>
  <c r="X17" i="28"/>
  <c r="W39" i="28" s="1"/>
  <c r="W38" i="28"/>
  <c r="W83" i="27"/>
  <c r="AD12" i="27"/>
  <c r="W84" i="27"/>
  <c r="W85" i="27"/>
  <c r="W60" i="27"/>
  <c r="AD21" i="27"/>
  <c r="W68" i="27" l="1"/>
  <c r="W92" i="27"/>
  <c r="AD13" i="27"/>
  <c r="W101" i="27" s="1"/>
  <c r="W93" i="27"/>
  <c r="W94" i="27"/>
  <c r="W78" i="27"/>
  <c r="W69" i="27"/>
  <c r="W86" i="27"/>
  <c r="AD22" i="27"/>
  <c r="AD14" i="27" l="1"/>
  <c r="W110" i="27" s="1"/>
  <c r="AD15" i="27"/>
  <c r="W87" i="27"/>
  <c r="W95" i="27"/>
  <c r="AD23" i="27"/>
  <c r="W103" i="27" l="1"/>
  <c r="W102" i="27"/>
  <c r="W119" i="27"/>
  <c r="W96" i="27"/>
  <c r="W104" i="27"/>
  <c r="W111" i="27" l="1"/>
  <c r="W112" i="27"/>
  <c r="W105" i="27"/>
  <c r="W113" i="27"/>
  <c r="W120" i="27" l="1"/>
  <c r="W114" i="27"/>
  <c r="W121" i="27" l="1"/>
  <c r="W123" i="27" l="1"/>
  <c r="W122" i="27"/>
</calcChain>
</file>

<file path=xl/sharedStrings.xml><?xml version="1.0" encoding="utf-8"?>
<sst xmlns="http://schemas.openxmlformats.org/spreadsheetml/2006/main" count="550" uniqueCount="146">
  <si>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</si>
  <si>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</si>
  <si>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</si>
  <si>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</si>
  <si>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</si>
  <si>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</si>
  <si>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</si>
  <si>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</si>
  <si>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</si>
  <si>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PRC_RESID</t>
  </si>
  <si>
    <t>PRC_CAPACT</t>
  </si>
  <si>
    <t>Default Units</t>
  </si>
  <si>
    <t>BASE_YEAR</t>
  </si>
  <si>
    <t>Energy</t>
  </si>
  <si>
    <t>PJ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</si>
  <si>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</si>
  <si>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</si>
  <si>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</si>
  <si>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</si>
  <si>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</si>
  <si>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</si>
  <si>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</si>
  <si>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</si>
  <si>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</si>
  <si>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</si>
  <si>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</si>
  <si>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</si>
  <si>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</si>
  <si>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</si>
  <si>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</si>
  <si>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</si>
  <si>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</si>
  <si>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Mining</t>
  </si>
  <si>
    <t>ACT_BND</t>
  </si>
  <si>
    <t>Annual Bound</t>
  </si>
  <si>
    <t>FIXOM</t>
  </si>
  <si>
    <t>Fixed O&amp;M Cost</t>
  </si>
  <si>
    <t>VAROM</t>
  </si>
  <si>
    <t>Variable O&amp;M Cost</t>
  </si>
  <si>
    <t>Capacity to Activity</t>
  </si>
  <si>
    <t>GJ/kW</t>
  </si>
  <si>
    <t>Existing Capacity</t>
  </si>
  <si>
    <t>000s Units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</si>
  <si>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</si>
  <si>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</si>
  <si>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</si>
  <si>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</si>
  <si>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</si>
  <si>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</si>
  <si>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Tact</t>
  </si>
  <si>
    <t>Activity Unit</t>
  </si>
  <si>
    <t>Residential</t>
  </si>
  <si>
    <t>000dwellings</t>
  </si>
  <si>
    <t>Tcap</t>
  </si>
  <si>
    <t>Capacity unit</t>
  </si>
  <si>
    <t>Create and Fill Tables with Base Year Data</t>
  </si>
  <si>
    <t>*Units:</t>
  </si>
  <si>
    <t>BASE</t>
  </si>
  <si>
    <t>-</t>
  </si>
  <si>
    <t xml:space="preserve"> </t>
  </si>
  <si>
    <t>PSET_PN</t>
  </si>
  <si>
    <t>CSET_CN</t>
  </si>
  <si>
    <t>YEAR</t>
  </si>
  <si>
    <t>*</t>
  </si>
  <si>
    <t>Dum_RSD_Retrofit</t>
  </si>
  <si>
    <t>~TFM_Fill-R: w=RSD_Retrofit_BND; Scenario=BASE; Hcol=Region</t>
  </si>
  <si>
    <t>Maximum Refurbishment level in the Tertiary Sector (Number of building m2 that can be refurbished)</t>
  </si>
  <si>
    <t>STOCK</t>
  </si>
  <si>
    <t>UC_N</t>
  </si>
  <si>
    <t>Max. Annual Rate of Refurbishment in % of Dwellings for Retrofits</t>
  </si>
  <si>
    <t>UC_IRE-I</t>
  </si>
  <si>
    <t>~UC_T: UC_RHSRTS~UP</t>
  </si>
  <si>
    <t>UC_RHSRTS~UP~0</t>
  </si>
  <si>
    <t>UC_Desc</t>
  </si>
  <si>
    <t>Reg Lookup</t>
  </si>
  <si>
    <t>Tech Lookups</t>
  </si>
  <si>
    <t>Max. Annual Rate of Refurbishment in % of m2 for retrofits</t>
  </si>
  <si>
    <t>RSD_DW_*</t>
  </si>
  <si>
    <t>Maximum Refurbishment level in the Residential Sector (Number of Dwellings that can be refurbished annually)</t>
  </si>
  <si>
    <t>LIFE</t>
  </si>
  <si>
    <t>Stock of buildings left in Year n</t>
  </si>
  <si>
    <t>000m2</t>
  </si>
  <si>
    <t>~UC_T</t>
  </si>
  <si>
    <t>UC_FLO</t>
  </si>
  <si>
    <t>UC_RHSRTS</t>
  </si>
  <si>
    <t>UC_RHSRTS~0</t>
  </si>
  <si>
    <t>LO</t>
  </si>
  <si>
    <t>0</t>
  </si>
  <si>
    <t>5</t>
  </si>
  <si>
    <t xml:space="preserve">Heating Demand Nomenclature </t>
  </si>
  <si>
    <t>Dummy processes for providing Unmet Demand for Space heating</t>
  </si>
  <si>
    <t>Typology</t>
  </si>
  <si>
    <t>PJ per 000dwellings</t>
  </si>
  <si>
    <t>Theoretical heating Demand</t>
  </si>
  <si>
    <t>Ratio of Calculated/Theoretical</t>
  </si>
  <si>
    <t>User constraints to control the unmet demand when refurbishment options are included for residential buildings</t>
  </si>
  <si>
    <t>Stock of buildings after annual demolitions</t>
  </si>
  <si>
    <t>RSD_DW_APA1</t>
  </si>
  <si>
    <t>RSD_DW_DTA1</t>
  </si>
  <si>
    <t>RSD_DW_APA2</t>
  </si>
  <si>
    <t>RSD_DW_DTA2</t>
  </si>
  <si>
    <t>RSD_DW_APA3</t>
  </si>
  <si>
    <t>RSD_DW_DTA3</t>
  </si>
  <si>
    <t>RSD_DW_APA4</t>
  </si>
  <si>
    <t>RSD_DW_DTA4</t>
  </si>
  <si>
    <t>RSD_APA4_SH</t>
  </si>
  <si>
    <t>RSD_UMSH_APA4</t>
  </si>
  <si>
    <t>RSD_DTA4_SH</t>
  </si>
  <si>
    <t>RSD_UMSH_DTA4</t>
  </si>
  <si>
    <t>RSD_APA3_SH</t>
  </si>
  <si>
    <t>RSD_UMSH_APA3</t>
  </si>
  <si>
    <t>RSD_DTA3_SH</t>
  </si>
  <si>
    <t>RSD_UMSH_DTA3</t>
  </si>
  <si>
    <t>RSD_APA2_SH</t>
  </si>
  <si>
    <t>RSD_UMSH_APA2</t>
  </si>
  <si>
    <t>RSD_DTA2_SH</t>
  </si>
  <si>
    <t>RSD_UMSH_DTA2</t>
  </si>
  <si>
    <t>RSD_APA1_SH</t>
  </si>
  <si>
    <t>RSD_UMSH_APA1</t>
  </si>
  <si>
    <t>RSD_DTA1_SH</t>
  </si>
  <si>
    <t>RSD_UMSH_DTA1</t>
  </si>
  <si>
    <t>Space heating Demand Calculations (according to the BY RSD template)</t>
  </si>
  <si>
    <t>M$</t>
  </si>
  <si>
    <t>$/GJ</t>
  </si>
  <si>
    <t>$/GJ/a</t>
  </si>
  <si>
    <t>TER_BU_*</t>
  </si>
  <si>
    <t>TER_BU_TP</t>
  </si>
  <si>
    <t>TER_BU_TS</t>
  </si>
  <si>
    <t>Dum_TER_Retrofit</t>
  </si>
  <si>
    <t>COPY/PASTE</t>
  </si>
  <si>
    <t>Calculated Space heating demand</t>
  </si>
  <si>
    <t>~TFM_Fill-R: w=TER_Retrofit_BND; Scenario=BASE; Hcol=Region</t>
  </si>
  <si>
    <t>UZB</t>
  </si>
  <si>
    <t>~UC_Sets: R_E: UZB</t>
  </si>
  <si>
    <t>~UC_SETS: R_E: UZB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</si>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</sst>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0.000"/>
    <numFmt numFmtId="166" formatCode="0.0%"/>
    <numFmt numFmtId="167" formatCode="0.00000"/>
    <numFmt numFmtId="168" formatCode="0.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0" borderId="0"/>
  </cellStyleXfs>
  <cellXfs count="83">
    <xf numFmtId="0" fontId="0" fillId="0" borderId="0" xfId="0"/>
    <xf numFmtId="0" fontId="2" fillId="4" borderId="0" xfId="2" applyFont="1" applyFill="1" applyAlignment="1">
      <alignment wrapText="1"/>
    </xf>
    <xf numFmtId="0" fontId="3" fillId="4" borderId="0" xfId="2" applyFill="1" applyAlignment="1">
      <alignment wrapText="1"/>
    </xf>
    <xf numFmtId="0" fontId="4" fillId="5" borderId="0" xfId="2" applyFont="1" applyFill="1" applyAlignment="1"/>
    <xf numFmtId="0" fontId="4" fillId="5" borderId="0" xfId="2" applyFont="1" applyFill="1" applyAlignment="1">
      <alignment horizontal="right" wrapText="1"/>
    </xf>
    <xf numFmtId="0" fontId="4" fillId="5" borderId="0" xfId="2" applyFont="1" applyFill="1" applyAlignment="1">
      <alignment wrapText="1"/>
    </xf>
    <xf numFmtId="0" fontId="5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7" fillId="5" borderId="0" xfId="2" applyFont="1" applyFill="1" applyAlignment="1">
      <alignment wrapText="1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center" wrapText="1"/>
    </xf>
    <xf numFmtId="0" fontId="7" fillId="5" borderId="0" xfId="2" applyFont="1" applyFill="1" applyAlignment="1">
      <alignment horizontal="left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Font="1" applyFill="1"/>
    <xf numFmtId="0" fontId="12" fillId="0" borderId="0" xfId="0" applyFont="1" applyFill="1" applyBorder="1"/>
    <xf numFmtId="0" fontId="0" fillId="0" borderId="0" xfId="0" applyFont="1" applyFill="1" applyAlignment="1">
      <alignment horizontal="right"/>
    </xf>
    <xf numFmtId="0" fontId="13" fillId="0" borderId="0" xfId="0" applyFont="1" applyFill="1"/>
    <xf numFmtId="0" fontId="8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2" xfId="0" applyFont="1" applyFill="1" applyBorder="1"/>
    <xf numFmtId="164" fontId="10" fillId="0" borderId="11" xfId="0" applyNumberFormat="1" applyFont="1" applyFill="1" applyBorder="1"/>
    <xf numFmtId="164" fontId="10" fillId="0" borderId="11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4" fillId="0" borderId="0" xfId="0" applyFont="1" applyFill="1"/>
    <xf numFmtId="164" fontId="11" fillId="0" borderId="0" xfId="0" applyNumberFormat="1" applyFont="1" applyFill="1"/>
    <xf numFmtId="0" fontId="12" fillId="0" borderId="0" xfId="0" applyFont="1" applyFill="1"/>
    <xf numFmtId="0" fontId="10" fillId="0" borderId="0" xfId="0" applyFont="1" applyFill="1"/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2" fontId="12" fillId="0" borderId="24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2" fontId="12" fillId="0" borderId="1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/>
    </xf>
    <xf numFmtId="0" fontId="0" fillId="0" borderId="18" xfId="0" applyFont="1" applyFill="1" applyBorder="1"/>
    <xf numFmtId="0" fontId="0" fillId="0" borderId="19" xfId="0" applyFont="1" applyFill="1" applyBorder="1" applyAlignment="1">
      <alignment horizontal="center"/>
    </xf>
    <xf numFmtId="164" fontId="0" fillId="0" borderId="0" xfId="0" applyNumberFormat="1" applyFont="1" applyFill="1"/>
    <xf numFmtId="0" fontId="0" fillId="0" borderId="6" xfId="0" applyFont="1" applyFill="1" applyBorder="1"/>
    <xf numFmtId="0" fontId="0" fillId="0" borderId="7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167" fontId="12" fillId="0" borderId="2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7" fontId="12" fillId="0" borderId="24" xfId="0" applyNumberFormat="1" applyFont="1" applyFill="1" applyBorder="1" applyAlignment="1">
      <alignment horizontal="center"/>
    </xf>
    <xf numFmtId="0" fontId="0" fillId="0" borderId="28" xfId="0" applyFont="1" applyFill="1" applyBorder="1"/>
    <xf numFmtId="168" fontId="0" fillId="0" borderId="9" xfId="0" applyNumberFormat="1" applyFont="1" applyFill="1" applyBorder="1"/>
    <xf numFmtId="168" fontId="0" fillId="0" borderId="13" xfId="0" applyNumberFormat="1" applyFont="1" applyFill="1" applyBorder="1"/>
    <xf numFmtId="0" fontId="0" fillId="0" borderId="26" xfId="0" applyFont="1" applyFill="1" applyBorder="1"/>
    <xf numFmtId="168" fontId="0" fillId="0" borderId="0" xfId="0" applyNumberFormat="1" applyFont="1" applyFill="1" applyBorder="1"/>
    <xf numFmtId="168" fontId="0" fillId="0" borderId="16" xfId="0" applyNumberFormat="1" applyFont="1" applyFill="1" applyBorder="1"/>
    <xf numFmtId="0" fontId="0" fillId="0" borderId="24" xfId="0" applyFont="1" applyFill="1" applyBorder="1"/>
    <xf numFmtId="168" fontId="0" fillId="0" borderId="10" xfId="0" applyNumberFormat="1" applyFont="1" applyFill="1" applyBorder="1"/>
    <xf numFmtId="168" fontId="0" fillId="0" borderId="17" xfId="0" applyNumberFormat="1" applyFont="1" applyFill="1" applyBorder="1"/>
    <xf numFmtId="165" fontId="0" fillId="0" borderId="0" xfId="0" applyNumberFormat="1" applyFont="1" applyFill="1"/>
    <xf numFmtId="0" fontId="13" fillId="0" borderId="0" xfId="3" applyFont="1" applyFill="1"/>
    <xf numFmtId="0" fontId="13" fillId="0" borderId="0" xfId="3" applyFont="1" applyFill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center"/>
    </xf>
    <xf numFmtId="0" fontId="0" fillId="0" borderId="20" xfId="0" applyFont="1" applyFill="1" applyBorder="1"/>
    <xf numFmtId="164" fontId="0" fillId="0" borderId="21" xfId="0" applyNumberFormat="1" applyFont="1" applyFill="1" applyBorder="1"/>
  </cellXfs>
  <cellStyles count="4">
    <cellStyle name="Accent2" xfId="2" builtinId="33"/>
    <cellStyle name="Good" xfId="1" builtinId="26"/>
    <cellStyle name="Normal" xfId="0" builtinId="0"/>
    <cellStyle name="Normal 2" xfId="3" xr:uid="{EFFFE43B-B331-4560-A2D4-C6101DED23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zoomScale="85" zoomScaleNormal="85" workbookViewId="0">
      <selection sqref="A1:XFD1048576"/>
    </sheetView>
  </sheetViews>
  <sheetFormatPr defaultRowHeight="14.4" x14ac:dyDescent="0.3"/>
  <cols>
    <col min="1" max="1" width="8.88671875" style="13"/>
    <col min="2" max="2" width="26.33203125" style="13" customWidth="1"/>
    <col min="3" max="3" width="29.6640625" style="13" customWidth="1"/>
    <col min="4" max="4" width="20.6640625" style="13" customWidth="1"/>
    <col min="5" max="5" width="17.44140625" style="13" customWidth="1"/>
    <col min="6" max="6" width="13.33203125" style="13" customWidth="1"/>
    <col min="7" max="7" width="16.44140625" style="13" customWidth="1"/>
    <col min="8" max="8" width="16.88671875" style="13" customWidth="1"/>
    <col min="9" max="9" width="15.5546875" style="13" customWidth="1"/>
    <col min="10" max="10" width="14.88671875" style="13" customWidth="1"/>
    <col min="11" max="11" width="14.5546875" style="13" customWidth="1"/>
    <col min="12" max="16384" width="8.88671875" style="13"/>
  </cols>
  <sheetData>
    <row r="1" spans="1:11" x14ac:dyDescent="0.3">
      <c r="A1" s="13" t="s">
        <v>55</v>
      </c>
    </row>
    <row r="3" spans="1:11" x14ac:dyDescent="0.3">
      <c r="B3" s="14" t="s">
        <v>65</v>
      </c>
    </row>
    <row r="4" spans="1:11" x14ac:dyDescent="0.3">
      <c r="B4" s="13" t="s">
        <v>7</v>
      </c>
      <c r="C4" s="13" t="s">
        <v>6</v>
      </c>
      <c r="D4" s="13" t="s">
        <v>2</v>
      </c>
      <c r="E4" s="13" t="s">
        <v>5</v>
      </c>
      <c r="F4" s="13" t="s">
        <v>1</v>
      </c>
      <c r="G4" s="13" t="s">
        <v>132</v>
      </c>
      <c r="H4" s="13" t="s">
        <v>0</v>
      </c>
      <c r="I4" s="13" t="s">
        <v>4</v>
      </c>
      <c r="J4" s="13" t="s">
        <v>3</v>
      </c>
      <c r="K4" s="13" t="s">
        <v>8</v>
      </c>
    </row>
    <row r="5" spans="1:11" x14ac:dyDescent="0.3">
      <c r="D5" s="15" t="s">
        <v>77</v>
      </c>
      <c r="E5" s="13" t="s">
        <v>67</v>
      </c>
      <c r="F5" s="16"/>
      <c r="G5" s="12">
        <v>1</v>
      </c>
      <c r="H5" s="17"/>
      <c r="J5" s="17"/>
    </row>
    <row r="6" spans="1:11" x14ac:dyDescent="0.3">
      <c r="D6" s="15" t="s">
        <v>77</v>
      </c>
      <c r="E6" s="13" t="s">
        <v>79</v>
      </c>
      <c r="F6" s="16"/>
      <c r="G6" s="12">
        <v>1</v>
      </c>
      <c r="H6" s="17"/>
      <c r="J6" s="17"/>
    </row>
    <row r="7" spans="1:11" x14ac:dyDescent="0.3">
      <c r="D7" s="17"/>
      <c r="F7" s="16"/>
      <c r="G7" s="12"/>
    </row>
    <row r="8" spans="1:11" x14ac:dyDescent="0.3">
      <c r="B8" s="14" t="s">
        <v>131</v>
      </c>
    </row>
    <row r="9" spans="1:11" x14ac:dyDescent="0.3">
      <c r="B9" s="13" t="s">
        <v>7</v>
      </c>
      <c r="C9" s="13" t="s">
        <v>6</v>
      </c>
      <c r="D9" s="13" t="s">
        <v>2</v>
      </c>
      <c r="E9" s="13" t="s">
        <v>5</v>
      </c>
      <c r="F9" s="13" t="s">
        <v>1</v>
      </c>
      <c r="G9" s="13" t="s">
        <v>132</v>
      </c>
      <c r="H9" s="13" t="s">
        <v>0</v>
      </c>
      <c r="I9" s="13" t="s">
        <v>4</v>
      </c>
      <c r="J9" s="13" t="s">
        <v>3</v>
      </c>
      <c r="K9" s="13" t="s">
        <v>8</v>
      </c>
    </row>
    <row r="10" spans="1:11" x14ac:dyDescent="0.3">
      <c r="D10" s="15" t="s">
        <v>125</v>
      </c>
      <c r="E10" s="13" t="s">
        <v>67</v>
      </c>
      <c r="F10" s="16"/>
      <c r="G10" s="12">
        <v>1</v>
      </c>
      <c r="H10" s="17"/>
      <c r="J10" s="17"/>
    </row>
    <row r="11" spans="1:11" x14ac:dyDescent="0.3">
      <c r="D11" s="15" t="s">
        <v>125</v>
      </c>
      <c r="E11" s="13" t="s">
        <v>79</v>
      </c>
      <c r="F11" s="16"/>
      <c r="G11" s="12">
        <v>1</v>
      </c>
    </row>
    <row r="12" spans="1:11" x14ac:dyDescent="0.3">
      <c r="D12" s="17"/>
      <c r="F12" s="16"/>
      <c r="G12" s="12"/>
      <c r="H12" s="17"/>
      <c r="J12" s="17"/>
    </row>
    <row r="13" spans="1:11" x14ac:dyDescent="0.3">
      <c r="D13" s="17"/>
      <c r="F13" s="16"/>
      <c r="G13" s="12"/>
      <c r="H13" s="17"/>
      <c r="J13" s="17"/>
    </row>
    <row r="14" spans="1:11" x14ac:dyDescent="0.3">
      <c r="D14" s="17"/>
      <c r="F14" s="16"/>
      <c r="G14" s="12"/>
    </row>
    <row r="17" spans="2:10" x14ac:dyDescent="0.3">
      <c r="B17" s="14"/>
    </row>
    <row r="19" spans="2:10" x14ac:dyDescent="0.3">
      <c r="D19" s="17"/>
      <c r="F19" s="16"/>
      <c r="G19" s="12"/>
      <c r="H19" s="17"/>
      <c r="J19" s="17"/>
    </row>
    <row r="20" spans="2:10" x14ac:dyDescent="0.3">
      <c r="D20" s="17"/>
      <c r="F20" s="16"/>
      <c r="G20" s="12"/>
      <c r="H20" s="17"/>
      <c r="J20" s="17"/>
    </row>
    <row r="21" spans="2:10" x14ac:dyDescent="0.3">
      <c r="D21" s="17"/>
      <c r="F21" s="16"/>
      <c r="G21" s="12"/>
    </row>
    <row r="23" spans="2:10" x14ac:dyDescent="0.3">
      <c r="B23" s="14"/>
    </row>
    <row r="24" spans="2:10" x14ac:dyDescent="0.3">
      <c r="B24" s="14"/>
    </row>
    <row r="26" spans="2:10" x14ac:dyDescent="0.3">
      <c r="D26" s="17"/>
      <c r="F26" s="16"/>
      <c r="G26" s="12"/>
      <c r="H26" s="17"/>
      <c r="J26" s="17"/>
    </row>
    <row r="27" spans="2:10" x14ac:dyDescent="0.3">
      <c r="D27" s="17"/>
      <c r="F27" s="16"/>
      <c r="G27" s="12"/>
      <c r="H27" s="17"/>
      <c r="J27" s="17"/>
    </row>
    <row r="28" spans="2:10" x14ac:dyDescent="0.3">
      <c r="D28" s="17"/>
      <c r="F28" s="16"/>
      <c r="G28" s="12"/>
    </row>
    <row r="29" spans="2:10" x14ac:dyDescent="0.3">
      <c r="D29" s="17"/>
      <c r="G29" s="12"/>
      <c r="H29" s="17"/>
      <c r="I29" s="17"/>
      <c r="J29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4"/>
  <sheetViews>
    <sheetView topLeftCell="A36" zoomScale="60" zoomScaleNormal="60" workbookViewId="0">
      <selection activeCell="A36" sqref="A1:XFD1048576"/>
    </sheetView>
  </sheetViews>
  <sheetFormatPr defaultRowHeight="14.4" x14ac:dyDescent="0.3"/>
  <cols>
    <col min="1" max="1" width="12.44140625" style="13" customWidth="1"/>
    <col min="2" max="2" width="21.5546875" style="13" customWidth="1"/>
    <col min="3" max="3" width="32.109375" style="13" customWidth="1"/>
    <col min="4" max="4" width="28.44140625" style="13" customWidth="1"/>
    <col min="5" max="5" width="22" style="13" customWidth="1"/>
    <col min="6" max="6" width="42.44140625" style="13" customWidth="1"/>
    <col min="7" max="7" width="34.44140625" style="13" bestFit="1" customWidth="1"/>
    <col min="8" max="8" width="39.5546875" style="13" customWidth="1"/>
    <col min="9" max="14" width="8.88671875" style="13"/>
    <col min="15" max="15" width="25.88671875" style="13" bestFit="1" customWidth="1"/>
    <col min="16" max="16" width="8.88671875" style="13"/>
    <col min="17" max="17" width="31.88671875" style="18" customWidth="1"/>
    <col min="18" max="18" width="38.6640625" style="13" customWidth="1"/>
    <col min="19" max="19" width="34.109375" style="13" customWidth="1"/>
    <col min="20" max="20" width="17.88671875" style="13" customWidth="1"/>
    <col min="21" max="21" width="29.33203125" style="13" bestFit="1" customWidth="1"/>
    <col min="22" max="22" width="24.109375" style="13" customWidth="1"/>
    <col min="23" max="23" width="23.6640625" style="13" customWidth="1"/>
    <col min="24" max="24" width="24.88671875" style="13" customWidth="1"/>
    <col min="25" max="25" width="38.33203125" style="13" customWidth="1"/>
    <col min="26" max="26" width="18.5546875" style="13" bestFit="1" customWidth="1"/>
    <col min="27" max="27" width="98.88671875" style="13" bestFit="1" customWidth="1"/>
    <col min="28" max="28" width="25.33203125" style="13" customWidth="1"/>
    <col min="29" max="29" width="17.88671875" style="13" customWidth="1"/>
    <col min="30" max="30" width="41.44140625" style="13" bestFit="1" customWidth="1"/>
    <col min="31" max="31" width="35.88671875" style="13" customWidth="1"/>
    <col min="32" max="32" width="8.88671875" style="13"/>
    <col min="33" max="33" width="11.88671875" style="13" bestFit="1" customWidth="1"/>
    <col min="34" max="34" width="16.6640625" style="13" bestFit="1" customWidth="1"/>
    <col min="35" max="35" width="17.33203125" style="12" bestFit="1" customWidth="1"/>
    <col min="36" max="36" width="20.44140625" style="12" bestFit="1" customWidth="1"/>
    <col min="37" max="37" width="43" style="13" customWidth="1"/>
    <col min="38" max="16384" width="8.88671875" style="13"/>
  </cols>
  <sheetData>
    <row r="1" spans="1:30" x14ac:dyDescent="0.3">
      <c r="A1" s="13" t="s">
        <v>135</v>
      </c>
      <c r="B1" s="13" t="s">
        <v>136</v>
      </c>
      <c r="C1" s="13" t="s">
        <v>137</v>
      </c>
      <c r="D1" s="13" t="s">
        <v>138</v>
      </c>
      <c r="E1" s="13" t="s">
        <v>139</v>
      </c>
      <c r="F1" s="13" t="s">
        <v>140</v>
      </c>
      <c r="G1" s="13" t="s">
        <v>141</v>
      </c>
      <c r="H1" s="13" t="s">
        <v>142</v>
      </c>
      <c r="I1" s="13" t="s">
        <v>143</v>
      </c>
      <c r="J1" s="13" t="s">
        <v>144</v>
      </c>
      <c r="K1" s="13" t="s">
        <v>145</v>
      </c>
      <c r="L1" s="13" t="s">
        <v>132</v>
      </c>
    </row>
    <row r="2" spans="1:30" x14ac:dyDescent="0.3">
      <c r="A2" s="13" t="s">
        <v>57</v>
      </c>
      <c r="B2" s="13" t="s">
        <v>79</v>
      </c>
      <c r="C2" s="13" t="s">
        <v>97</v>
      </c>
      <c r="D2" s="13" t="s">
        <v>58</v>
      </c>
      <c r="E2" s="13" t="s">
        <v>58</v>
      </c>
      <c r="F2" s="13" t="s">
        <v>58</v>
      </c>
      <c r="G2" s="13">
        <v>2017</v>
      </c>
      <c r="H2" s="13" t="s">
        <v>58</v>
      </c>
      <c r="I2" s="13" t="s">
        <v>58</v>
      </c>
      <c r="J2" s="13" t="s">
        <v>58</v>
      </c>
      <c r="K2" s="13" t="s">
        <v>58</v>
      </c>
      <c r="L2" s="13">
        <v>80</v>
      </c>
      <c r="O2" s="13" t="str">
        <f>B2&amp;C2</f>
        <v>LIFERSD_DW_APA1</v>
      </c>
      <c r="P2" s="13">
        <f>L2</f>
        <v>80</v>
      </c>
    </row>
    <row r="3" spans="1:30" ht="17.399999999999999" x14ac:dyDescent="0.3">
      <c r="A3" s="13" t="s">
        <v>57</v>
      </c>
      <c r="B3" s="13" t="s">
        <v>79</v>
      </c>
      <c r="C3" s="13" t="s">
        <v>98</v>
      </c>
      <c r="D3" s="13" t="s">
        <v>58</v>
      </c>
      <c r="E3" s="13" t="s">
        <v>58</v>
      </c>
      <c r="F3" s="13" t="s">
        <v>58</v>
      </c>
      <c r="G3" s="13">
        <v>2017</v>
      </c>
      <c r="H3" s="13" t="s">
        <v>58</v>
      </c>
      <c r="I3" s="13" t="s">
        <v>58</v>
      </c>
      <c r="J3" s="13" t="s">
        <v>58</v>
      </c>
      <c r="K3" s="13" t="s">
        <v>58</v>
      </c>
      <c r="L3" s="13">
        <v>75</v>
      </c>
      <c r="O3" s="13" t="str">
        <f t="shared" ref="O3:O16" si="0">B3&amp;C3</f>
        <v>LIFERSD_DW_DTA1</v>
      </c>
      <c r="P3" s="13">
        <f t="shared" ref="P3:P5" si="1">L3</f>
        <v>75</v>
      </c>
      <c r="S3" s="27" t="s">
        <v>78</v>
      </c>
      <c r="T3" s="27"/>
      <c r="U3" s="27"/>
      <c r="V3" s="27"/>
      <c r="W3" s="27"/>
      <c r="X3" s="27"/>
    </row>
    <row r="4" spans="1:30" x14ac:dyDescent="0.3">
      <c r="A4" s="13" t="s">
        <v>57</v>
      </c>
      <c r="B4" s="13" t="s">
        <v>67</v>
      </c>
      <c r="C4" s="13" t="s">
        <v>97</v>
      </c>
      <c r="D4" s="13" t="s">
        <v>58</v>
      </c>
      <c r="E4" s="13" t="s">
        <v>58</v>
      </c>
      <c r="F4" s="13" t="s">
        <v>58</v>
      </c>
      <c r="G4" s="13">
        <v>2017</v>
      </c>
      <c r="H4" s="13" t="s">
        <v>58</v>
      </c>
      <c r="I4" s="13" t="s">
        <v>58</v>
      </c>
      <c r="J4" s="13" t="s">
        <v>58</v>
      </c>
      <c r="K4" s="13" t="s">
        <v>58</v>
      </c>
      <c r="L4" s="13">
        <v>3170.9097200000001</v>
      </c>
      <c r="O4" s="13" t="str">
        <f t="shared" si="0"/>
        <v>STOCKRSD_DW_APA1</v>
      </c>
      <c r="P4" s="13">
        <f t="shared" si="1"/>
        <v>3170.9097200000001</v>
      </c>
      <c r="S4" s="28"/>
      <c r="T4" s="29"/>
      <c r="U4" s="29"/>
      <c r="W4" s="30" t="s">
        <v>59</v>
      </c>
      <c r="X4" s="29"/>
    </row>
    <row r="5" spans="1:30" x14ac:dyDescent="0.3">
      <c r="A5" s="13" t="s">
        <v>57</v>
      </c>
      <c r="B5" s="13" t="s">
        <v>67</v>
      </c>
      <c r="C5" s="13" t="s">
        <v>98</v>
      </c>
      <c r="D5" s="13" t="s">
        <v>58</v>
      </c>
      <c r="E5" s="13" t="s">
        <v>58</v>
      </c>
      <c r="F5" s="13" t="s">
        <v>58</v>
      </c>
      <c r="G5" s="13">
        <v>2017</v>
      </c>
      <c r="H5" s="13" t="s">
        <v>58</v>
      </c>
      <c r="I5" s="13" t="s">
        <v>58</v>
      </c>
      <c r="J5" s="13" t="s">
        <v>58</v>
      </c>
      <c r="K5" s="13" t="s">
        <v>58</v>
      </c>
      <c r="L5" s="13">
        <v>3095.7102799999998</v>
      </c>
      <c r="O5" s="13" t="str">
        <f t="shared" si="0"/>
        <v>STOCKRSD_DW_DTA1</v>
      </c>
      <c r="P5" s="13">
        <f t="shared" si="1"/>
        <v>3095.7102799999998</v>
      </c>
      <c r="S5" s="31" t="s">
        <v>5</v>
      </c>
      <c r="T5" s="31" t="s">
        <v>6</v>
      </c>
      <c r="U5" s="31" t="s">
        <v>60</v>
      </c>
      <c r="V5" s="31" t="s">
        <v>61</v>
      </c>
      <c r="W5" s="32" t="s">
        <v>62</v>
      </c>
      <c r="X5" s="31" t="s">
        <v>132</v>
      </c>
    </row>
    <row r="6" spans="1:30" ht="18" thickBot="1" x14ac:dyDescent="0.35">
      <c r="O6" s="13" t="str">
        <f t="shared" si="0"/>
        <v/>
      </c>
      <c r="S6" s="33" t="s">
        <v>63</v>
      </c>
      <c r="T6" s="33"/>
      <c r="U6" s="33"/>
      <c r="V6" s="33"/>
      <c r="W6" s="34"/>
      <c r="X6" s="33">
        <v>3</v>
      </c>
      <c r="AA6" s="27" t="s">
        <v>69</v>
      </c>
      <c r="AD6" s="18" t="s">
        <v>96</v>
      </c>
    </row>
    <row r="7" spans="1:30" ht="15" thickBot="1" x14ac:dyDescent="0.35">
      <c r="O7" s="13" t="str">
        <f t="shared" si="0"/>
        <v/>
      </c>
      <c r="S7" s="33" t="s">
        <v>56</v>
      </c>
      <c r="T7" s="33"/>
      <c r="U7" s="33"/>
      <c r="V7" s="33"/>
      <c r="W7" s="35"/>
      <c r="X7" s="33" t="s">
        <v>52</v>
      </c>
      <c r="AA7" s="31" t="s">
        <v>132</v>
      </c>
      <c r="AC7" s="19" t="s">
        <v>1</v>
      </c>
      <c r="AD7" s="20" t="s">
        <v>80</v>
      </c>
    </row>
    <row r="8" spans="1:30" x14ac:dyDescent="0.3">
      <c r="O8" s="13" t="str">
        <f t="shared" si="0"/>
        <v/>
      </c>
      <c r="S8" s="36"/>
      <c r="T8" s="36"/>
      <c r="U8" s="37" t="s">
        <v>64</v>
      </c>
      <c r="V8" s="37" t="str">
        <f>"DumRSD_"&amp;RIGHT(C2,4)</f>
        <v>DumRSD_APA1</v>
      </c>
      <c r="W8" s="38">
        <v>2020</v>
      </c>
      <c r="X8" s="39">
        <f>AD8*AA8</f>
        <v>91.560018164999988</v>
      </c>
      <c r="Z8" s="39" t="str">
        <f t="shared" ref="Z8:Z9" si="2">C2</f>
        <v>RSD_DW_APA1</v>
      </c>
      <c r="AA8" s="40">
        <v>0.03</v>
      </c>
      <c r="AC8" s="41">
        <v>2020</v>
      </c>
      <c r="AD8" s="42">
        <f>(-VLOOKUP("STOCKRSD_DW_"&amp;RIGHT(V8,4),$O$2:$P$17,2,0)/VLOOKUP("LIFERSD_DW_"&amp;RIGHT(V8,4),$O$2:$P$17,2,0)*(W8-$G$2)+VLOOKUP("STOCKRSD_DW_"&amp;RIGHT(V8,4),$O$2:$P$17,2,0))</f>
        <v>3052.0006054999999</v>
      </c>
    </row>
    <row r="9" spans="1:30" x14ac:dyDescent="0.3">
      <c r="O9" s="13" t="str">
        <f t="shared" si="0"/>
        <v/>
      </c>
      <c r="S9" s="36"/>
      <c r="T9" s="36"/>
      <c r="U9" s="37" t="s">
        <v>64</v>
      </c>
      <c r="V9" s="37" t="str">
        <f t="shared" ref="V9" si="3">"DumRSD_"&amp;RIGHT(C3,4)</f>
        <v>DumRSD_DTA1</v>
      </c>
      <c r="W9" s="38">
        <f>W8</f>
        <v>2020</v>
      </c>
      <c r="X9" s="39">
        <f t="shared" ref="X9" si="4">AD9*AA9</f>
        <v>89.156456063999983</v>
      </c>
      <c r="Z9" s="39" t="str">
        <f t="shared" si="2"/>
        <v>RSD_DW_DTA1</v>
      </c>
      <c r="AA9" s="40">
        <f>AA8</f>
        <v>0.03</v>
      </c>
      <c r="AC9" s="41">
        <f>AC8</f>
        <v>2020</v>
      </c>
      <c r="AD9" s="42">
        <f t="shared" ref="AD9:AD46" si="5">(-VLOOKUP("STOCKRSD_DW_"&amp;RIGHT(V9,4),$O$2:$P$17,2,0)/VLOOKUP("LIFERSD_DW_"&amp;RIGHT(V9,4),$O$2:$P$17,2,0)*(W9-$G$2)+VLOOKUP("STOCKRSD_DW_"&amp;RIGHT(V9,4),$O$2:$P$17,2,0))</f>
        <v>2971.8818687999997</v>
      </c>
    </row>
    <row r="10" spans="1:30" x14ac:dyDescent="0.3">
      <c r="O10" s="13" t="str">
        <f t="shared" si="0"/>
        <v/>
      </c>
      <c r="S10" s="36"/>
      <c r="T10" s="36"/>
      <c r="U10" s="37"/>
      <c r="V10" s="37"/>
      <c r="W10" s="38"/>
      <c r="X10" s="39"/>
      <c r="Z10" s="39"/>
      <c r="AA10" s="40"/>
      <c r="AC10" s="41">
        <f t="shared" ref="AC10:AC15" si="6">AC9</f>
        <v>2020</v>
      </c>
      <c r="AD10" s="42" t="e">
        <f t="shared" si="5"/>
        <v>#N/A</v>
      </c>
    </row>
    <row r="11" spans="1:30" x14ac:dyDescent="0.3">
      <c r="O11" s="13" t="str">
        <f t="shared" si="0"/>
        <v/>
      </c>
      <c r="S11" s="36"/>
      <c r="T11" s="36"/>
      <c r="U11" s="37"/>
      <c r="V11" s="37"/>
      <c r="W11" s="38"/>
      <c r="X11" s="39"/>
      <c r="Z11" s="39"/>
      <c r="AA11" s="40"/>
      <c r="AC11" s="41">
        <f t="shared" si="6"/>
        <v>2020</v>
      </c>
      <c r="AD11" s="42" t="e">
        <f t="shared" si="5"/>
        <v>#N/A</v>
      </c>
    </row>
    <row r="12" spans="1:30" x14ac:dyDescent="0.3">
      <c r="O12" s="13" t="str">
        <f t="shared" si="0"/>
        <v/>
      </c>
      <c r="S12" s="36"/>
      <c r="T12" s="36"/>
      <c r="U12" s="37"/>
      <c r="V12" s="37"/>
      <c r="W12" s="38"/>
      <c r="X12" s="39"/>
      <c r="Z12" s="39"/>
      <c r="AA12" s="40"/>
      <c r="AC12" s="41">
        <f t="shared" si="6"/>
        <v>2020</v>
      </c>
      <c r="AD12" s="42" t="e">
        <f t="shared" si="5"/>
        <v>#N/A</v>
      </c>
    </row>
    <row r="13" spans="1:30" x14ac:dyDescent="0.3">
      <c r="O13" s="13" t="str">
        <f t="shared" si="0"/>
        <v/>
      </c>
      <c r="S13" s="36"/>
      <c r="T13" s="36"/>
      <c r="U13" s="37"/>
      <c r="V13" s="37"/>
      <c r="W13" s="38"/>
      <c r="X13" s="39"/>
      <c r="Z13" s="39"/>
      <c r="AA13" s="40"/>
      <c r="AC13" s="41">
        <f t="shared" si="6"/>
        <v>2020</v>
      </c>
      <c r="AD13" s="42" t="e">
        <f t="shared" si="5"/>
        <v>#N/A</v>
      </c>
    </row>
    <row r="14" spans="1:30" x14ac:dyDescent="0.3">
      <c r="O14" s="13" t="str">
        <f t="shared" si="0"/>
        <v/>
      </c>
      <c r="S14" s="36"/>
      <c r="T14" s="36"/>
      <c r="U14" s="37"/>
      <c r="V14" s="37"/>
      <c r="W14" s="38"/>
      <c r="X14" s="39"/>
      <c r="Z14" s="39"/>
      <c r="AA14" s="40"/>
      <c r="AC14" s="41">
        <f t="shared" si="6"/>
        <v>2020</v>
      </c>
      <c r="AD14" s="42" t="e">
        <f t="shared" si="5"/>
        <v>#N/A</v>
      </c>
    </row>
    <row r="15" spans="1:30" x14ac:dyDescent="0.3">
      <c r="O15" s="13" t="str">
        <f t="shared" si="0"/>
        <v/>
      </c>
      <c r="S15" s="43"/>
      <c r="T15" s="43"/>
      <c r="U15" s="44"/>
      <c r="V15" s="44"/>
      <c r="W15" s="45"/>
      <c r="X15" s="46"/>
      <c r="Z15" s="39"/>
      <c r="AA15" s="40"/>
      <c r="AC15" s="47">
        <f t="shared" si="6"/>
        <v>2020</v>
      </c>
      <c r="AD15" s="48" t="e">
        <f t="shared" si="5"/>
        <v>#N/A</v>
      </c>
    </row>
    <row r="16" spans="1:30" x14ac:dyDescent="0.3">
      <c r="O16" s="13" t="str">
        <f t="shared" si="0"/>
        <v/>
      </c>
      <c r="S16" s="49"/>
      <c r="T16" s="49"/>
      <c r="U16" s="49" t="str">
        <f t="shared" ref="U16:V41" si="7">U8</f>
        <v>Dum_RSD_Retrofit</v>
      </c>
      <c r="V16" s="50" t="str">
        <f t="shared" si="7"/>
        <v>DumRSD_APA1</v>
      </c>
      <c r="W16" s="38">
        <f>BASE_YEAR+8</f>
        <v>2025</v>
      </c>
      <c r="X16" s="51">
        <f>IF(X8+AD8*AA8*($W16-$W8)&gt;AD16,AD16,X8+AD16*AA8*($W16-$W8))</f>
        <v>519.63283036500002</v>
      </c>
      <c r="AC16" s="41">
        <f>BASE_YEAR+8</f>
        <v>2025</v>
      </c>
      <c r="AD16" s="42">
        <f t="shared" si="5"/>
        <v>2853.8187480000001</v>
      </c>
    </row>
    <row r="17" spans="15:30" x14ac:dyDescent="0.3">
      <c r="O17" s="13" t="str">
        <f>B17&amp;C17</f>
        <v/>
      </c>
      <c r="S17" s="49"/>
      <c r="T17" s="49"/>
      <c r="U17" s="49" t="str">
        <f t="shared" si="7"/>
        <v>Dum_RSD_Retrofit</v>
      </c>
      <c r="V17" s="49" t="str">
        <f t="shared" si="7"/>
        <v>DumRSD_DTA1</v>
      </c>
      <c r="W17" s="38">
        <f>W16</f>
        <v>2025</v>
      </c>
      <c r="X17" s="51">
        <f t="shared" ref="X17" si="8">IF(X9+AD9*AA9*($W17-$W9)&gt;AD17,AD17,X9+AD17*AA9*($W17-$W9))</f>
        <v>503.98163358400001</v>
      </c>
      <c r="AC17" s="41">
        <f>AC16</f>
        <v>2025</v>
      </c>
      <c r="AD17" s="42">
        <f t="shared" si="5"/>
        <v>2765.5011834666666</v>
      </c>
    </row>
    <row r="18" spans="15:30" x14ac:dyDescent="0.3">
      <c r="O18" s="13" t="str">
        <f t="shared" ref="O18" si="9">B19&amp;C19</f>
        <v/>
      </c>
      <c r="S18" s="49"/>
      <c r="T18" s="49"/>
      <c r="U18" s="49"/>
      <c r="V18" s="49"/>
      <c r="W18" s="38"/>
      <c r="X18" s="51"/>
      <c r="AC18" s="41">
        <f t="shared" ref="AC18:AC23" si="10">AC17</f>
        <v>2025</v>
      </c>
      <c r="AD18" s="42" t="e">
        <f t="shared" si="5"/>
        <v>#N/A</v>
      </c>
    </row>
    <row r="19" spans="15:30" x14ac:dyDescent="0.3">
      <c r="S19" s="49"/>
      <c r="T19" s="49"/>
      <c r="U19" s="49"/>
      <c r="V19" s="49"/>
      <c r="W19" s="38"/>
      <c r="X19" s="51"/>
      <c r="AC19" s="41">
        <f t="shared" si="10"/>
        <v>2025</v>
      </c>
      <c r="AD19" s="42" t="e">
        <f t="shared" si="5"/>
        <v>#N/A</v>
      </c>
    </row>
    <row r="20" spans="15:30" x14ac:dyDescent="0.3">
      <c r="S20" s="49"/>
      <c r="T20" s="49"/>
      <c r="U20" s="49"/>
      <c r="V20" s="49"/>
      <c r="W20" s="38"/>
      <c r="X20" s="51"/>
      <c r="AC20" s="41">
        <f t="shared" si="10"/>
        <v>2025</v>
      </c>
      <c r="AD20" s="42" t="e">
        <f t="shared" si="5"/>
        <v>#N/A</v>
      </c>
    </row>
    <row r="21" spans="15:30" x14ac:dyDescent="0.3">
      <c r="S21" s="49"/>
      <c r="T21" s="49"/>
      <c r="U21" s="49"/>
      <c r="V21" s="49"/>
      <c r="W21" s="38"/>
      <c r="X21" s="51"/>
      <c r="AC21" s="41">
        <f t="shared" si="10"/>
        <v>2025</v>
      </c>
      <c r="AD21" s="42" t="e">
        <f t="shared" si="5"/>
        <v>#N/A</v>
      </c>
    </row>
    <row r="22" spans="15:30" x14ac:dyDescent="0.3">
      <c r="S22" s="49"/>
      <c r="T22" s="49"/>
      <c r="U22" s="49"/>
      <c r="V22" s="49"/>
      <c r="W22" s="38"/>
      <c r="X22" s="51"/>
      <c r="AC22" s="41">
        <f t="shared" si="10"/>
        <v>2025</v>
      </c>
      <c r="AD22" s="42" t="e">
        <f t="shared" si="5"/>
        <v>#N/A</v>
      </c>
    </row>
    <row r="23" spans="15:30" x14ac:dyDescent="0.3">
      <c r="S23" s="43"/>
      <c r="T23" s="43"/>
      <c r="U23" s="43"/>
      <c r="V23" s="43"/>
      <c r="W23" s="45"/>
      <c r="X23" s="46"/>
      <c r="AC23" s="47">
        <f t="shared" si="10"/>
        <v>2025</v>
      </c>
      <c r="AD23" s="48" t="e">
        <f t="shared" si="5"/>
        <v>#N/A</v>
      </c>
    </row>
    <row r="24" spans="15:30" x14ac:dyDescent="0.3">
      <c r="S24" s="49"/>
      <c r="T24" s="49"/>
      <c r="U24" s="49" t="str">
        <f t="shared" si="7"/>
        <v>Dum_RSD_Retrofit</v>
      </c>
      <c r="V24" s="49" t="str">
        <f t="shared" si="7"/>
        <v>DumRSD_APA1</v>
      </c>
      <c r="W24" s="38">
        <f>BASE_YEAR+13</f>
        <v>2030</v>
      </c>
      <c r="X24" s="51">
        <f>IF(X16+AD16*AA8*($W24-$W16)&gt;AD24,AD24,X16+AD24*AA8*($W24-$W16))</f>
        <v>917.97836394000001</v>
      </c>
      <c r="AC24" s="41">
        <f>BASE_YEAR+13</f>
        <v>2030</v>
      </c>
      <c r="AD24" s="42">
        <f t="shared" si="5"/>
        <v>2655.6368904999999</v>
      </c>
    </row>
    <row r="25" spans="15:30" x14ac:dyDescent="0.3">
      <c r="S25" s="49"/>
      <c r="T25" s="49"/>
      <c r="U25" s="49" t="str">
        <f t="shared" si="7"/>
        <v>Dum_RSD_Retrofit</v>
      </c>
      <c r="V25" s="49" t="str">
        <f t="shared" si="7"/>
        <v>DumRSD_DTA1</v>
      </c>
      <c r="W25" s="38">
        <f>W24</f>
        <v>2030</v>
      </c>
      <c r="X25" s="51">
        <f t="shared" ref="X25" si="11">IF(X17+AD17*AA9*($W25-$W17)&gt;AD25,AD25,X17+AD25*AA9*($W25-$W17))</f>
        <v>887.84970830399993</v>
      </c>
      <c r="AC25" s="41">
        <f>AC24</f>
        <v>2030</v>
      </c>
      <c r="AD25" s="42">
        <f t="shared" si="5"/>
        <v>2559.1204981333331</v>
      </c>
    </row>
    <row r="26" spans="15:30" x14ac:dyDescent="0.3">
      <c r="S26" s="49"/>
      <c r="T26" s="49"/>
      <c r="U26" s="49"/>
      <c r="V26" s="49"/>
      <c r="W26" s="38"/>
      <c r="X26" s="51"/>
      <c r="AC26" s="41">
        <f t="shared" ref="AC26:AC31" si="12">AC25</f>
        <v>2030</v>
      </c>
      <c r="AD26" s="42" t="e">
        <f t="shared" si="5"/>
        <v>#N/A</v>
      </c>
    </row>
    <row r="27" spans="15:30" x14ac:dyDescent="0.3">
      <c r="S27" s="49"/>
      <c r="T27" s="49"/>
      <c r="U27" s="49"/>
      <c r="V27" s="49"/>
      <c r="W27" s="38"/>
      <c r="X27" s="51"/>
      <c r="AC27" s="41">
        <f t="shared" si="12"/>
        <v>2030</v>
      </c>
      <c r="AD27" s="42" t="e">
        <f t="shared" si="5"/>
        <v>#N/A</v>
      </c>
    </row>
    <row r="28" spans="15:30" x14ac:dyDescent="0.3">
      <c r="S28" s="49"/>
      <c r="T28" s="49"/>
      <c r="U28" s="49"/>
      <c r="V28" s="49"/>
      <c r="W28" s="38"/>
      <c r="X28" s="51"/>
      <c r="AC28" s="41">
        <f t="shared" si="12"/>
        <v>2030</v>
      </c>
      <c r="AD28" s="42" t="e">
        <f t="shared" si="5"/>
        <v>#N/A</v>
      </c>
    </row>
    <row r="29" spans="15:30" x14ac:dyDescent="0.3">
      <c r="S29" s="49"/>
      <c r="T29" s="49"/>
      <c r="U29" s="49"/>
      <c r="V29" s="49"/>
      <c r="W29" s="38"/>
      <c r="X29" s="51"/>
      <c r="AC29" s="41">
        <f t="shared" si="12"/>
        <v>2030</v>
      </c>
      <c r="AD29" s="42" t="e">
        <f t="shared" si="5"/>
        <v>#N/A</v>
      </c>
    </row>
    <row r="30" spans="15:30" x14ac:dyDescent="0.3">
      <c r="S30" s="49"/>
      <c r="T30" s="49"/>
      <c r="U30" s="49"/>
      <c r="V30" s="49"/>
      <c r="W30" s="38"/>
      <c r="X30" s="51"/>
      <c r="AC30" s="41">
        <f t="shared" si="12"/>
        <v>2030</v>
      </c>
      <c r="AD30" s="42" t="e">
        <f t="shared" si="5"/>
        <v>#N/A</v>
      </c>
    </row>
    <row r="31" spans="15:30" x14ac:dyDescent="0.3">
      <c r="S31" s="43"/>
      <c r="T31" s="43"/>
      <c r="U31" s="43"/>
      <c r="V31" s="43"/>
      <c r="W31" s="45"/>
      <c r="X31" s="46"/>
      <c r="AC31" s="47">
        <f t="shared" si="12"/>
        <v>2030</v>
      </c>
      <c r="AD31" s="48" t="e">
        <f t="shared" si="5"/>
        <v>#N/A</v>
      </c>
    </row>
    <row r="32" spans="15:30" x14ac:dyDescent="0.3">
      <c r="Q32" s="18" t="s">
        <v>59</v>
      </c>
      <c r="S32" s="49"/>
      <c r="T32" s="49"/>
      <c r="U32" s="49" t="str">
        <f t="shared" si="7"/>
        <v>Dum_RSD_Retrofit</v>
      </c>
      <c r="V32" s="49" t="str">
        <f t="shared" si="7"/>
        <v>DumRSD_APA1</v>
      </c>
      <c r="W32" s="38">
        <f>BASE_YEAR+23</f>
        <v>2040</v>
      </c>
      <c r="X32" s="51">
        <f>IF(X24+AD24*AA8*($W32-$W24)&gt;AD32,AD32,X24+AD32*AA8*($W32-$W24))</f>
        <v>1595.76031659</v>
      </c>
      <c r="AC32" s="41">
        <f>BASE_YEAR+23</f>
        <v>2040</v>
      </c>
      <c r="AD32" s="42">
        <f t="shared" si="5"/>
        <v>2259.2731755</v>
      </c>
    </row>
    <row r="33" spans="17:30" x14ac:dyDescent="0.3">
      <c r="S33" s="49"/>
      <c r="T33" s="49"/>
      <c r="U33" s="49" t="str">
        <f t="shared" si="7"/>
        <v>Dum_RSD_Retrofit</v>
      </c>
      <c r="V33" s="49" t="str">
        <f t="shared" si="7"/>
        <v>DumRSD_DTA1</v>
      </c>
      <c r="W33" s="38">
        <f>W32</f>
        <v>2040</v>
      </c>
      <c r="X33" s="51">
        <f t="shared" ref="X33" si="13">IF(X25+AD25*AA9*($W33-$W25)&gt;AD33,AD33,X25+AD33*AA9*($W33-$W25))</f>
        <v>1531.7574465439998</v>
      </c>
      <c r="AC33" s="41">
        <f>AC32</f>
        <v>2040</v>
      </c>
      <c r="AD33" s="42">
        <f t="shared" si="5"/>
        <v>2146.3591274666665</v>
      </c>
    </row>
    <row r="34" spans="17:30" x14ac:dyDescent="0.3">
      <c r="S34" s="49"/>
      <c r="T34" s="49"/>
      <c r="U34" s="49"/>
      <c r="V34" s="49"/>
      <c r="W34" s="38"/>
      <c r="X34" s="51"/>
      <c r="AC34" s="41">
        <f t="shared" ref="AC34:AC39" si="14">AC33</f>
        <v>2040</v>
      </c>
      <c r="AD34" s="42" t="e">
        <f t="shared" si="5"/>
        <v>#N/A</v>
      </c>
    </row>
    <row r="35" spans="17:30" x14ac:dyDescent="0.3">
      <c r="S35" s="49"/>
      <c r="T35" s="49"/>
      <c r="U35" s="49"/>
      <c r="V35" s="49"/>
      <c r="W35" s="38"/>
      <c r="X35" s="51"/>
      <c r="AC35" s="41">
        <f t="shared" si="14"/>
        <v>2040</v>
      </c>
      <c r="AD35" s="42" t="e">
        <f t="shared" si="5"/>
        <v>#N/A</v>
      </c>
    </row>
    <row r="36" spans="17:30" x14ac:dyDescent="0.3">
      <c r="S36" s="49"/>
      <c r="T36" s="49"/>
      <c r="U36" s="49"/>
      <c r="V36" s="49"/>
      <c r="W36" s="38"/>
      <c r="X36" s="51"/>
      <c r="AC36" s="41">
        <f t="shared" si="14"/>
        <v>2040</v>
      </c>
      <c r="AD36" s="42" t="e">
        <f t="shared" si="5"/>
        <v>#N/A</v>
      </c>
    </row>
    <row r="37" spans="17:30" x14ac:dyDescent="0.3">
      <c r="S37" s="49"/>
      <c r="T37" s="49"/>
      <c r="U37" s="49"/>
      <c r="V37" s="49"/>
      <c r="W37" s="38"/>
      <c r="X37" s="51"/>
      <c r="AC37" s="41">
        <f t="shared" si="14"/>
        <v>2040</v>
      </c>
      <c r="AD37" s="42" t="e">
        <f t="shared" si="5"/>
        <v>#N/A</v>
      </c>
    </row>
    <row r="38" spans="17:30" x14ac:dyDescent="0.3">
      <c r="S38" s="49"/>
      <c r="T38" s="49"/>
      <c r="U38" s="49"/>
      <c r="V38" s="49"/>
      <c r="W38" s="38"/>
      <c r="X38" s="51"/>
      <c r="AC38" s="41">
        <f t="shared" si="14"/>
        <v>2040</v>
      </c>
      <c r="AD38" s="42" t="e">
        <f t="shared" si="5"/>
        <v>#N/A</v>
      </c>
    </row>
    <row r="39" spans="17:30" x14ac:dyDescent="0.3">
      <c r="S39" s="43"/>
      <c r="T39" s="43"/>
      <c r="U39" s="43"/>
      <c r="V39" s="43"/>
      <c r="W39" s="45"/>
      <c r="X39" s="46"/>
      <c r="AC39" s="47">
        <f t="shared" si="14"/>
        <v>2040</v>
      </c>
      <c r="AD39" s="48" t="e">
        <f t="shared" si="5"/>
        <v>#N/A</v>
      </c>
    </row>
    <row r="40" spans="17:30" x14ac:dyDescent="0.3">
      <c r="Q40" s="18" t="s">
        <v>59</v>
      </c>
      <c r="S40" s="49"/>
      <c r="T40" s="49"/>
      <c r="U40" s="49" t="str">
        <f t="shared" si="7"/>
        <v>Dum_RSD_Retrofit</v>
      </c>
      <c r="V40" s="49" t="str">
        <f t="shared" si="7"/>
        <v>DumRSD_APA1</v>
      </c>
      <c r="W40" s="38">
        <f>BASE_YEAR+33</f>
        <v>2050</v>
      </c>
      <c r="X40" s="51">
        <f>IF(X32+AD32*AA8*($W40-$W32)&gt;AD40,AD40,X32+AD40*AA8*($W40-$W32))</f>
        <v>1862.9094605</v>
      </c>
      <c r="AC40" s="41">
        <f>BASE_YEAR+33</f>
        <v>2050</v>
      </c>
      <c r="AD40" s="42">
        <f t="shared" si="5"/>
        <v>1862.9094605</v>
      </c>
    </row>
    <row r="41" spans="17:30" x14ac:dyDescent="0.3">
      <c r="S41" s="49"/>
      <c r="T41" s="49"/>
      <c r="U41" s="49" t="str">
        <f t="shared" si="7"/>
        <v>Dum_RSD_Retrofit</v>
      </c>
      <c r="V41" s="49" t="str">
        <f t="shared" si="7"/>
        <v>DumRSD_DTA1</v>
      </c>
      <c r="W41" s="38">
        <f>W40</f>
        <v>2050</v>
      </c>
      <c r="X41" s="51">
        <f t="shared" ref="X41" si="15">IF(X33+AD33*AA9*($W41-$W33)&gt;AD41,AD41,X33+AD41*AA9*($W41-$W33))</f>
        <v>1733.5977567999998</v>
      </c>
      <c r="AC41" s="41">
        <f>AC40</f>
        <v>2050</v>
      </c>
      <c r="AD41" s="42">
        <f t="shared" si="5"/>
        <v>1733.5977567999998</v>
      </c>
    </row>
    <row r="42" spans="17:30" x14ac:dyDescent="0.3">
      <c r="S42" s="49"/>
      <c r="T42" s="49"/>
      <c r="U42" s="49"/>
      <c r="V42" s="49"/>
      <c r="W42" s="38"/>
      <c r="X42" s="51"/>
      <c r="AC42" s="41">
        <f t="shared" ref="AC42:AC47" si="16">AC41</f>
        <v>2050</v>
      </c>
      <c r="AD42" s="42" t="e">
        <f t="shared" si="5"/>
        <v>#N/A</v>
      </c>
    </row>
    <row r="43" spans="17:30" x14ac:dyDescent="0.3">
      <c r="S43" s="49"/>
      <c r="T43" s="49"/>
      <c r="U43" s="49"/>
      <c r="V43" s="49"/>
      <c r="W43" s="38"/>
      <c r="X43" s="51"/>
      <c r="AC43" s="41">
        <f t="shared" si="16"/>
        <v>2050</v>
      </c>
      <c r="AD43" s="42" t="e">
        <f t="shared" si="5"/>
        <v>#N/A</v>
      </c>
    </row>
    <row r="44" spans="17:30" x14ac:dyDescent="0.3">
      <c r="S44" s="49"/>
      <c r="T44" s="49"/>
      <c r="U44" s="49"/>
      <c r="V44" s="49"/>
      <c r="W44" s="38"/>
      <c r="X44" s="51"/>
      <c r="AC44" s="41">
        <f t="shared" si="16"/>
        <v>2050</v>
      </c>
      <c r="AD44" s="42" t="e">
        <f t="shared" si="5"/>
        <v>#N/A</v>
      </c>
    </row>
    <row r="45" spans="17:30" x14ac:dyDescent="0.3">
      <c r="S45" s="49"/>
      <c r="T45" s="49"/>
      <c r="U45" s="49"/>
      <c r="V45" s="49"/>
      <c r="W45" s="38"/>
      <c r="X45" s="51"/>
      <c r="AC45" s="41">
        <f t="shared" si="16"/>
        <v>2050</v>
      </c>
      <c r="AD45" s="42" t="e">
        <f t="shared" si="5"/>
        <v>#N/A</v>
      </c>
    </row>
    <row r="46" spans="17:30" x14ac:dyDescent="0.3">
      <c r="S46" s="49"/>
      <c r="T46" s="49"/>
      <c r="U46" s="49"/>
      <c r="V46" s="49"/>
      <c r="W46" s="38"/>
      <c r="X46" s="51"/>
      <c r="AC46" s="41">
        <f t="shared" si="16"/>
        <v>2050</v>
      </c>
      <c r="AD46" s="42" t="e">
        <f t="shared" si="5"/>
        <v>#N/A</v>
      </c>
    </row>
    <row r="47" spans="17:30" x14ac:dyDescent="0.3">
      <c r="S47" s="43"/>
      <c r="T47" s="43"/>
      <c r="U47" s="43"/>
      <c r="V47" s="43"/>
      <c r="W47" s="45"/>
      <c r="X47" s="52"/>
      <c r="AC47" s="47">
        <f t="shared" si="16"/>
        <v>2050</v>
      </c>
      <c r="AD47" s="48" t="e">
        <f>(-VLOOKUP("STOCKRSD_DW_"&amp;RIGHT(V47,4),$O$2:$P$17,2,0)/VLOOKUP("LIFERSD_DW_"&amp;RIGHT(V47,4),$O$2:$P$17,2,0)*(W47-$G$2)+VLOOKUP("STOCKRSD_DW_"&amp;RIGHT(V47,4),$O$2:$P$17,2,0))</f>
        <v>#N/A</v>
      </c>
    </row>
    <row r="48" spans="17:30" x14ac:dyDescent="0.3">
      <c r="Q48" s="13"/>
    </row>
    <row r="49" spans="2:26" ht="15" thickBot="1" x14ac:dyDescent="0.35">
      <c r="Q49" s="13"/>
    </row>
    <row r="50" spans="2:26" ht="15" thickBot="1" x14ac:dyDescent="0.35">
      <c r="Q50" s="13"/>
      <c r="V50" s="53" t="s">
        <v>74</v>
      </c>
      <c r="W50" s="54">
        <v>3</v>
      </c>
    </row>
    <row r="51" spans="2:26" x14ac:dyDescent="0.3">
      <c r="Q51" s="14" t="s">
        <v>133</v>
      </c>
    </row>
    <row r="52" spans="2:26" x14ac:dyDescent="0.3">
      <c r="Q52" s="13"/>
    </row>
    <row r="53" spans="2:26" x14ac:dyDescent="0.3">
      <c r="Q53" s="13"/>
      <c r="W53" s="55"/>
    </row>
    <row r="54" spans="2:26" ht="15" thickBot="1" x14ac:dyDescent="0.35">
      <c r="Q54" s="13"/>
      <c r="U54" s="14" t="s">
        <v>71</v>
      </c>
    </row>
    <row r="55" spans="2:26" ht="28.2" thickBot="1" x14ac:dyDescent="0.35">
      <c r="B55" s="56" t="s">
        <v>75</v>
      </c>
      <c r="C55" s="57"/>
      <c r="E55" s="58" t="s">
        <v>89</v>
      </c>
      <c r="H55" s="58" t="s">
        <v>90</v>
      </c>
      <c r="Q55" s="21" t="s">
        <v>68</v>
      </c>
      <c r="R55" s="21" t="s">
        <v>2</v>
      </c>
      <c r="S55" s="21" t="s">
        <v>3</v>
      </c>
      <c r="T55" s="21" t="s">
        <v>5</v>
      </c>
      <c r="U55" s="21" t="s">
        <v>1</v>
      </c>
      <c r="V55" s="21" t="s">
        <v>70</v>
      </c>
      <c r="W55" s="22" t="s">
        <v>132</v>
      </c>
      <c r="X55" s="21" t="s">
        <v>72</v>
      </c>
      <c r="Y55" s="21" t="s">
        <v>73</v>
      </c>
    </row>
    <row r="56" spans="2:26" x14ac:dyDescent="0.3">
      <c r="B56" s="59">
        <v>1</v>
      </c>
      <c r="C56" s="60" t="str">
        <f t="shared" ref="C56:C57" si="17">V8</f>
        <v>DumRSD_APA1</v>
      </c>
      <c r="E56" s="13" t="s">
        <v>113</v>
      </c>
      <c r="H56" s="13" t="s">
        <v>114</v>
      </c>
      <c r="O56" s="13">
        <v>1</v>
      </c>
      <c r="Q56" s="13" t="str">
        <f>"UCRetr_"&amp;MID(VLOOKUP(O56,$B$56:$C$63,2,0),4,10)</f>
        <v>UCRetr_RSD_APA1</v>
      </c>
      <c r="R56" s="13" t="s">
        <v>64</v>
      </c>
      <c r="S56" s="13" t="str">
        <f>VLOOKUP(O56,$B$56:$C$63,2,0)&amp;"_Ret*"</f>
        <v>DumRSD_APA1_Ret*</v>
      </c>
      <c r="U56" s="13">
        <f>W8</f>
        <v>2020</v>
      </c>
      <c r="V56" s="23">
        <v>1</v>
      </c>
      <c r="W56" s="24">
        <f>VLOOKUP(LEFT($S56,11),$V$8:$X$15,W$50,0)</f>
        <v>91.560018164999988</v>
      </c>
      <c r="X56" s="12">
        <v>5</v>
      </c>
      <c r="Y56" s="25" t="str">
        <f>"Upper limit of retrofits in "&amp;MID(VLOOKUP(O56,$B$56:$C$63,2,0),4,10)</f>
        <v>Upper limit of retrofits in RSD_APA1</v>
      </c>
    </row>
    <row r="57" spans="2:26" x14ac:dyDescent="0.3">
      <c r="B57" s="59">
        <f>B56+1</f>
        <v>2</v>
      </c>
      <c r="C57" s="60" t="str">
        <f t="shared" si="17"/>
        <v>DumRSD_DTA1</v>
      </c>
      <c r="E57" s="13" t="s">
        <v>109</v>
      </c>
      <c r="H57" s="13" t="s">
        <v>110</v>
      </c>
      <c r="Q57" s="13"/>
      <c r="R57" s="13" t="s">
        <v>64</v>
      </c>
      <c r="S57" s="13" t="str">
        <f>S56</f>
        <v>DumRSD_APA1_Ret*</v>
      </c>
      <c r="U57" s="13">
        <f>W16</f>
        <v>2025</v>
      </c>
      <c r="V57" s="23">
        <v>1</v>
      </c>
      <c r="W57" s="24">
        <f>VLOOKUP(LEFT($S57,11),$V$16:$X$23,W$50,0)</f>
        <v>519.63283036500002</v>
      </c>
      <c r="X57" s="12"/>
    </row>
    <row r="58" spans="2:26" x14ac:dyDescent="0.3">
      <c r="B58" s="59">
        <f t="shared" ref="B58:B63" si="18">B57+1</f>
        <v>3</v>
      </c>
      <c r="C58" s="60"/>
      <c r="E58" s="13" t="s">
        <v>117</v>
      </c>
      <c r="H58" s="13" t="s">
        <v>118</v>
      </c>
      <c r="Q58" s="13"/>
      <c r="R58" s="13" t="s">
        <v>64</v>
      </c>
      <c r="S58" s="13" t="str">
        <f t="shared" ref="S58:S60" si="19">S57</f>
        <v>DumRSD_APA1_Ret*</v>
      </c>
      <c r="U58" s="13">
        <f>W24</f>
        <v>2030</v>
      </c>
      <c r="V58" s="23">
        <v>1</v>
      </c>
      <c r="W58" s="24">
        <f>VLOOKUP(LEFT($S58,11),$V$24:$X$31,W$50,0)</f>
        <v>917.97836394000001</v>
      </c>
      <c r="X58" s="12"/>
    </row>
    <row r="59" spans="2:26" x14ac:dyDescent="0.3">
      <c r="B59" s="59">
        <f t="shared" si="18"/>
        <v>4</v>
      </c>
      <c r="C59" s="60"/>
      <c r="E59" s="13" t="s">
        <v>105</v>
      </c>
      <c r="H59" s="13" t="s">
        <v>106</v>
      </c>
      <c r="Q59" s="13"/>
      <c r="R59" s="13" t="s">
        <v>64</v>
      </c>
      <c r="S59" s="13" t="str">
        <f t="shared" si="19"/>
        <v>DumRSD_APA1_Ret*</v>
      </c>
      <c r="U59" s="13">
        <f>W32</f>
        <v>2040</v>
      </c>
      <c r="V59" s="23">
        <v>1</v>
      </c>
      <c r="W59" s="24">
        <f>VLOOKUP(LEFT($S59,11),$V$32:$X$39,W$50,0)</f>
        <v>1595.76031659</v>
      </c>
      <c r="X59" s="12"/>
    </row>
    <row r="60" spans="2:26" x14ac:dyDescent="0.3">
      <c r="B60" s="59">
        <f t="shared" si="18"/>
        <v>5</v>
      </c>
      <c r="C60" s="60"/>
      <c r="E60" s="13" t="s">
        <v>115</v>
      </c>
      <c r="H60" s="13" t="s">
        <v>116</v>
      </c>
      <c r="Q60" s="13"/>
      <c r="R60" s="13" t="s">
        <v>64</v>
      </c>
      <c r="S60" s="13" t="str">
        <f t="shared" si="19"/>
        <v>DumRSD_APA1_Ret*</v>
      </c>
      <c r="U60" s="13">
        <f>W40</f>
        <v>2050</v>
      </c>
      <c r="V60" s="23">
        <v>1</v>
      </c>
      <c r="W60" s="24">
        <f>VLOOKUP(LEFT($S60,11),$V$40:$X$47,W$50,0)</f>
        <v>1862.9094605</v>
      </c>
      <c r="X60" s="12"/>
    </row>
    <row r="61" spans="2:26" x14ac:dyDescent="0.3">
      <c r="B61" s="59">
        <f t="shared" si="18"/>
        <v>6</v>
      </c>
      <c r="C61" s="60"/>
      <c r="E61" s="13" t="s">
        <v>111</v>
      </c>
      <c r="H61" s="13" t="s">
        <v>112</v>
      </c>
      <c r="Q61" s="13"/>
      <c r="Z61" s="18"/>
    </row>
    <row r="62" spans="2:26" x14ac:dyDescent="0.3">
      <c r="B62" s="59">
        <f t="shared" si="18"/>
        <v>7</v>
      </c>
      <c r="C62" s="60"/>
      <c r="E62" s="13" t="s">
        <v>119</v>
      </c>
      <c r="H62" s="13" t="s">
        <v>120</v>
      </c>
    </row>
    <row r="63" spans="2:26" ht="15" thickBot="1" x14ac:dyDescent="0.35">
      <c r="B63" s="61">
        <f t="shared" si="18"/>
        <v>8</v>
      </c>
      <c r="C63" s="62"/>
      <c r="E63" s="13" t="s">
        <v>107</v>
      </c>
      <c r="H63" s="13" t="s">
        <v>108</v>
      </c>
      <c r="Q63" s="13"/>
      <c r="U63" s="14" t="s">
        <v>71</v>
      </c>
    </row>
    <row r="64" spans="2:26" x14ac:dyDescent="0.3">
      <c r="C64" s="55"/>
      <c r="Q64" s="21" t="s">
        <v>68</v>
      </c>
      <c r="R64" s="21" t="s">
        <v>2</v>
      </c>
      <c r="S64" s="21" t="s">
        <v>3</v>
      </c>
      <c r="T64" s="21" t="s">
        <v>5</v>
      </c>
      <c r="U64" s="21" t="s">
        <v>1</v>
      </c>
      <c r="V64" s="21" t="s">
        <v>70</v>
      </c>
      <c r="W64" s="22" t="s">
        <v>132</v>
      </c>
      <c r="X64" s="21" t="s">
        <v>72</v>
      </c>
      <c r="Y64" s="21" t="s">
        <v>73</v>
      </c>
    </row>
    <row r="65" spans="3:25" x14ac:dyDescent="0.3">
      <c r="C65" s="55"/>
      <c r="G65" s="26"/>
      <c r="O65" s="13">
        <f>O56+1</f>
        <v>2</v>
      </c>
      <c r="Q65" s="13" t="str">
        <f>"UCRetr_"&amp;MID(VLOOKUP(O65,$B$56:$C$63,2,0),4,10)</f>
        <v>UCRetr_RSD_DTA1</v>
      </c>
      <c r="R65" s="13" t="s">
        <v>64</v>
      </c>
      <c r="S65" s="13" t="str">
        <f>VLOOKUP(O65,$B$56:$C$63,2,0)&amp;"_Ret*"</f>
        <v>DumRSD_DTA1_Ret*</v>
      </c>
      <c r="U65" s="13">
        <f>U56</f>
        <v>2020</v>
      </c>
      <c r="V65" s="23">
        <v>1</v>
      </c>
      <c r="W65" s="24">
        <f>VLOOKUP(LEFT($S65,11),$V$8:$X$15,W$50,0)</f>
        <v>89.156456063999983</v>
      </c>
      <c r="X65" s="12">
        <v>5</v>
      </c>
      <c r="Y65" s="25" t="str">
        <f>"Upper limit of retrofits in "&amp;MID(VLOOKUP(O65,$B$56:$C$63,2,0),4,10)</f>
        <v>Upper limit of retrofits in RSD_DTA1</v>
      </c>
    </row>
    <row r="66" spans="3:25" x14ac:dyDescent="0.3">
      <c r="C66" s="55"/>
      <c r="F66" s="55"/>
      <c r="Q66" s="13"/>
      <c r="R66" s="13" t="s">
        <v>64</v>
      </c>
      <c r="S66" s="13" t="str">
        <f>S65</f>
        <v>DumRSD_DTA1_Ret*</v>
      </c>
      <c r="U66" s="13">
        <f t="shared" ref="U66:U69" si="20">U57</f>
        <v>2025</v>
      </c>
      <c r="V66" s="23">
        <v>1</v>
      </c>
      <c r="W66" s="24">
        <f>VLOOKUP(LEFT($S66,11),$V$16:$X$23,W$50,0)</f>
        <v>503.98163358400001</v>
      </c>
      <c r="X66" s="12"/>
    </row>
    <row r="67" spans="3:25" x14ac:dyDescent="0.3">
      <c r="C67" s="55"/>
      <c r="F67" s="55"/>
      <c r="Q67" s="13"/>
      <c r="R67" s="13" t="s">
        <v>64</v>
      </c>
      <c r="S67" s="13" t="str">
        <f t="shared" ref="S67:S69" si="21">S66</f>
        <v>DumRSD_DTA1_Ret*</v>
      </c>
      <c r="U67" s="13">
        <f t="shared" si="20"/>
        <v>2030</v>
      </c>
      <c r="V67" s="23">
        <v>1</v>
      </c>
      <c r="W67" s="24">
        <f>VLOOKUP(LEFT($S67,11),$V$24:$X$31,W$50,0)</f>
        <v>887.84970830399993</v>
      </c>
      <c r="X67" s="12"/>
    </row>
    <row r="68" spans="3:25" ht="18" customHeight="1" thickBot="1" x14ac:dyDescent="0.35">
      <c r="C68" s="55"/>
      <c r="E68" s="58" t="s">
        <v>91</v>
      </c>
      <c r="F68" s="58" t="s">
        <v>130</v>
      </c>
      <c r="G68" s="58" t="s">
        <v>93</v>
      </c>
      <c r="H68" s="58"/>
      <c r="Q68" s="13"/>
      <c r="R68" s="13" t="s">
        <v>64</v>
      </c>
      <c r="S68" s="13" t="str">
        <f t="shared" si="21"/>
        <v>DumRSD_DTA1_Ret*</v>
      </c>
      <c r="U68" s="13">
        <f t="shared" si="20"/>
        <v>2040</v>
      </c>
      <c r="V68" s="23">
        <v>1</v>
      </c>
      <c r="W68" s="24">
        <f>VLOOKUP(LEFT($S68,11),$V$32:$X$39,W$50,0)</f>
        <v>1531.7574465439998</v>
      </c>
      <c r="X68" s="12"/>
    </row>
    <row r="69" spans="3:25" ht="22.5" customHeight="1" thickBot="1" x14ac:dyDescent="0.35">
      <c r="C69" s="55"/>
      <c r="E69" s="33"/>
      <c r="F69" s="33" t="s">
        <v>92</v>
      </c>
      <c r="G69" s="33" t="s">
        <v>92</v>
      </c>
      <c r="H69" s="33" t="s">
        <v>94</v>
      </c>
      <c r="Q69" s="13"/>
      <c r="R69" s="13" t="s">
        <v>64</v>
      </c>
      <c r="S69" s="13" t="str">
        <f t="shared" si="21"/>
        <v>DumRSD_DTA1_Ret*</v>
      </c>
      <c r="U69" s="13">
        <f t="shared" si="20"/>
        <v>2050</v>
      </c>
      <c r="V69" s="23">
        <v>1</v>
      </c>
      <c r="W69" s="24">
        <f>VLOOKUP(LEFT($S69,11),$V$40:$X$47,W$50,0)</f>
        <v>1733.5977567999998</v>
      </c>
      <c r="X69" s="12"/>
    </row>
    <row r="70" spans="3:25" x14ac:dyDescent="0.3">
      <c r="C70" s="55"/>
      <c r="E70" s="12" t="s">
        <v>99</v>
      </c>
      <c r="F70" s="63">
        <f>F86</f>
        <v>0</v>
      </c>
      <c r="G70" s="63">
        <f>G86</f>
        <v>0</v>
      </c>
      <c r="H70" s="63" t="e">
        <f t="shared" ref="H70:H77" si="22">F70/G70</f>
        <v>#DIV/0!</v>
      </c>
      <c r="Q70" s="13"/>
    </row>
    <row r="71" spans="3:25" x14ac:dyDescent="0.3">
      <c r="C71" s="55"/>
      <c r="E71" s="12" t="s">
        <v>101</v>
      </c>
      <c r="F71" s="63">
        <f>F88</f>
        <v>0</v>
      </c>
      <c r="G71" s="63">
        <f>G88</f>
        <v>0</v>
      </c>
      <c r="H71" s="63" t="e">
        <f t="shared" si="22"/>
        <v>#DIV/0!</v>
      </c>
    </row>
    <row r="72" spans="3:25" x14ac:dyDescent="0.3">
      <c r="C72" s="55"/>
      <c r="E72" s="12" t="s">
        <v>97</v>
      </c>
      <c r="F72" s="63">
        <f>F84</f>
        <v>3.4799767670350451E-2</v>
      </c>
      <c r="G72" s="63">
        <f>G84</f>
        <v>3.82797444373855E-2</v>
      </c>
      <c r="H72" s="63">
        <f t="shared" si="22"/>
        <v>0.90909090909090895</v>
      </c>
      <c r="Q72" s="13"/>
      <c r="U72" s="14"/>
    </row>
    <row r="73" spans="3:25" x14ac:dyDescent="0.3">
      <c r="C73" s="55"/>
      <c r="E73" s="12" t="s">
        <v>103</v>
      </c>
      <c r="F73" s="63">
        <f>F90</f>
        <v>0</v>
      </c>
      <c r="G73" s="63">
        <f>G90</f>
        <v>0</v>
      </c>
      <c r="H73" s="63" t="e">
        <f t="shared" si="22"/>
        <v>#DIV/0!</v>
      </c>
      <c r="Q73" s="21" t="s">
        <v>68</v>
      </c>
      <c r="R73" s="21" t="s">
        <v>2</v>
      </c>
      <c r="S73" s="21" t="s">
        <v>3</v>
      </c>
      <c r="T73" s="21" t="s">
        <v>5</v>
      </c>
      <c r="U73" s="21" t="s">
        <v>1</v>
      </c>
      <c r="V73" s="21" t="s">
        <v>70</v>
      </c>
      <c r="W73" s="22" t="s">
        <v>132</v>
      </c>
      <c r="X73" s="21" t="s">
        <v>72</v>
      </c>
      <c r="Y73" s="21" t="s">
        <v>73</v>
      </c>
    </row>
    <row r="74" spans="3:25" x14ac:dyDescent="0.3">
      <c r="C74" s="55"/>
      <c r="E74" s="12" t="s">
        <v>100</v>
      </c>
      <c r="F74" s="63">
        <f>F85</f>
        <v>0</v>
      </c>
      <c r="G74" s="63">
        <f>G85</f>
        <v>0</v>
      </c>
      <c r="H74" s="63" t="e">
        <f t="shared" si="22"/>
        <v>#DIV/0!</v>
      </c>
      <c r="O74" s="13">
        <f>O65+1</f>
        <v>3</v>
      </c>
      <c r="Q74" s="13" t="str">
        <f>"UCRetr_"&amp;MID(VLOOKUP(O74,$B$56:$C$63,2,0),4,10)</f>
        <v>UCRetr_</v>
      </c>
      <c r="R74" s="13" t="s">
        <v>64</v>
      </c>
      <c r="S74" s="13" t="str">
        <f>VLOOKUP(O74,$B$56:$C$63,2,0)&amp;"_Ret*"</f>
        <v>_Ret*</v>
      </c>
      <c r="U74" s="13">
        <f>U65</f>
        <v>2020</v>
      </c>
      <c r="V74" s="23">
        <v>1</v>
      </c>
      <c r="W74" s="24" t="e">
        <f>VLOOKUP(LEFT($S74,11),$V$8:$X$15,W$50,0)</f>
        <v>#N/A</v>
      </c>
      <c r="X74" s="12">
        <v>5</v>
      </c>
      <c r="Y74" s="25" t="str">
        <f>"Upper limit of retrofits in "&amp;MID(VLOOKUP(O74,$B$56:$C$63,2,0),4,10)</f>
        <v xml:space="preserve">Upper limit of retrofits in </v>
      </c>
    </row>
    <row r="75" spans="3:25" x14ac:dyDescent="0.3">
      <c r="E75" s="12" t="s">
        <v>102</v>
      </c>
      <c r="F75" s="63">
        <f>F87</f>
        <v>0</v>
      </c>
      <c r="G75" s="63">
        <f>G87</f>
        <v>0</v>
      </c>
      <c r="H75" s="63" t="e">
        <f t="shared" si="22"/>
        <v>#DIV/0!</v>
      </c>
      <c r="Q75" s="13"/>
      <c r="R75" s="13" t="s">
        <v>64</v>
      </c>
      <c r="S75" s="13" t="str">
        <f>S74</f>
        <v>_Ret*</v>
      </c>
      <c r="U75" s="13">
        <f t="shared" ref="U75:U78" si="23">U66</f>
        <v>2025</v>
      </c>
      <c r="V75" s="23">
        <v>1</v>
      </c>
      <c r="W75" s="24" t="e">
        <f>VLOOKUP(LEFT($S75,11),$V$16:$X$23,W$50,0)</f>
        <v>#N/A</v>
      </c>
      <c r="X75" s="12"/>
    </row>
    <row r="76" spans="3:25" x14ac:dyDescent="0.3">
      <c r="E76" s="12" t="s">
        <v>98</v>
      </c>
      <c r="F76" s="63">
        <f>F83</f>
        <v>8.4848753640907271E-2</v>
      </c>
      <c r="G76" s="63">
        <f>G83</f>
        <v>9.3333629004998003E-2</v>
      </c>
      <c r="H76" s="63">
        <f t="shared" si="22"/>
        <v>0.90909090909090906</v>
      </c>
      <c r="Q76" s="13"/>
      <c r="R76" s="13" t="s">
        <v>64</v>
      </c>
      <c r="S76" s="13" t="str">
        <f t="shared" ref="S76:S78" si="24">S75</f>
        <v>_Ret*</v>
      </c>
      <c r="U76" s="13">
        <f t="shared" si="23"/>
        <v>2030</v>
      </c>
      <c r="V76" s="23">
        <v>1</v>
      </c>
      <c r="W76" s="24" t="e">
        <f>VLOOKUP(LEFT($S76,11),$V$24:$X$31,W$50,0)</f>
        <v>#N/A</v>
      </c>
      <c r="X76" s="12"/>
    </row>
    <row r="77" spans="3:25" x14ac:dyDescent="0.3">
      <c r="E77" s="64" t="s">
        <v>104</v>
      </c>
      <c r="F77" s="65">
        <f>F89</f>
        <v>0</v>
      </c>
      <c r="G77" s="65">
        <f>G89</f>
        <v>0</v>
      </c>
      <c r="H77" s="65" t="e">
        <f t="shared" si="22"/>
        <v>#DIV/0!</v>
      </c>
      <c r="Q77" s="13"/>
      <c r="R77" s="13" t="s">
        <v>64</v>
      </c>
      <c r="S77" s="13" t="str">
        <f t="shared" si="24"/>
        <v>_Ret*</v>
      </c>
      <c r="U77" s="13">
        <f t="shared" si="23"/>
        <v>2040</v>
      </c>
      <c r="V77" s="23">
        <v>1</v>
      </c>
      <c r="W77" s="24" t="e">
        <f>VLOOKUP(LEFT($S77,11),$V$32:$X$39,W$50,0)</f>
        <v>#N/A</v>
      </c>
      <c r="X77" s="12"/>
    </row>
    <row r="78" spans="3:25" x14ac:dyDescent="0.3">
      <c r="Q78" s="13"/>
      <c r="R78" s="13" t="s">
        <v>64</v>
      </c>
      <c r="S78" s="13" t="str">
        <f t="shared" si="24"/>
        <v>_Ret*</v>
      </c>
      <c r="U78" s="13">
        <f t="shared" si="23"/>
        <v>2050</v>
      </c>
      <c r="V78" s="23">
        <v>1</v>
      </c>
      <c r="W78" s="24" t="e">
        <f>VLOOKUP(LEFT($S78,11),$V$40:$X$47,W$50,0)</f>
        <v>#N/A</v>
      </c>
      <c r="X78" s="12"/>
    </row>
    <row r="79" spans="3:25" x14ac:dyDescent="0.3">
      <c r="Q79" s="13"/>
    </row>
    <row r="81" spans="3:25" x14ac:dyDescent="0.3">
      <c r="E81" s="13" t="s">
        <v>121</v>
      </c>
      <c r="Q81" s="13"/>
      <c r="U81" s="14"/>
    </row>
    <row r="82" spans="3:25" x14ac:dyDescent="0.3">
      <c r="D82" s="13" t="s">
        <v>132</v>
      </c>
      <c r="E82" s="13" t="s">
        <v>129</v>
      </c>
      <c r="Q82" s="21" t="s">
        <v>68</v>
      </c>
      <c r="R82" s="21" t="s">
        <v>2</v>
      </c>
      <c r="S82" s="21" t="s">
        <v>3</v>
      </c>
      <c r="T82" s="21" t="s">
        <v>5</v>
      </c>
      <c r="U82" s="21" t="s">
        <v>1</v>
      </c>
      <c r="V82" s="21" t="s">
        <v>70</v>
      </c>
      <c r="W82" s="22" t="s">
        <v>132</v>
      </c>
      <c r="X82" s="21" t="s">
        <v>72</v>
      </c>
      <c r="Y82" s="21" t="s">
        <v>73</v>
      </c>
    </row>
    <row r="83" spans="3:25" x14ac:dyDescent="0.3">
      <c r="E83" s="66" t="s">
        <v>98</v>
      </c>
      <c r="F83" s="67">
        <v>8.4848753640907271E-2</v>
      </c>
      <c r="G83" s="68">
        <v>9.3333629004998003E-2</v>
      </c>
      <c r="O83" s="13">
        <f>O74+1</f>
        <v>4</v>
      </c>
      <c r="Q83" s="13" t="str">
        <f>"UCRetr_"&amp;MID(VLOOKUP(O83,$B$56:$C$63,2,0),4,10)</f>
        <v>UCRetr_</v>
      </c>
      <c r="R83" s="13" t="s">
        <v>64</v>
      </c>
      <c r="S83" s="13" t="str">
        <f>VLOOKUP(O83,$B$56:$C$63,2,0)&amp;"_Ret*"</f>
        <v>_Ret*</v>
      </c>
      <c r="U83" s="13">
        <f>U74</f>
        <v>2020</v>
      </c>
      <c r="V83" s="23">
        <v>1</v>
      </c>
      <c r="W83" s="24" t="e">
        <f>VLOOKUP(LEFT($S83,11),$V$8:$X$15,W$50,0)</f>
        <v>#N/A</v>
      </c>
      <c r="X83" s="12">
        <v>5</v>
      </c>
      <c r="Y83" s="25" t="str">
        <f>"Upper limit of retrofits in "&amp;MID(VLOOKUP(O83,$B$56:$C$63,2,0),4,10)</f>
        <v xml:space="preserve">Upper limit of retrofits in </v>
      </c>
    </row>
    <row r="84" spans="3:25" x14ac:dyDescent="0.3">
      <c r="E84" s="69" t="s">
        <v>97</v>
      </c>
      <c r="F84" s="70">
        <v>3.4799767670350451E-2</v>
      </c>
      <c r="G84" s="71">
        <v>3.82797444373855E-2</v>
      </c>
      <c r="Q84" s="13"/>
      <c r="R84" s="13" t="s">
        <v>64</v>
      </c>
      <c r="S84" s="13" t="str">
        <f>S83</f>
        <v>_Ret*</v>
      </c>
      <c r="U84" s="13">
        <f t="shared" ref="U84:U87" si="25">U75</f>
        <v>2025</v>
      </c>
      <c r="V84" s="23">
        <v>1</v>
      </c>
      <c r="W84" s="24" t="e">
        <f>VLOOKUP(LEFT($S84,11),$V$16:$X$23,W$50,0)</f>
        <v>#N/A</v>
      </c>
      <c r="X84" s="12"/>
    </row>
    <row r="85" spans="3:25" x14ac:dyDescent="0.3">
      <c r="E85" s="69"/>
      <c r="F85" s="70"/>
      <c r="G85" s="71"/>
      <c r="Q85" s="13"/>
      <c r="R85" s="13" t="s">
        <v>64</v>
      </c>
      <c r="S85" s="13" t="str">
        <f t="shared" ref="S85:S87" si="26">S84</f>
        <v>_Ret*</v>
      </c>
      <c r="U85" s="13">
        <f t="shared" si="25"/>
        <v>2030</v>
      </c>
      <c r="V85" s="23">
        <v>1</v>
      </c>
      <c r="W85" s="24" t="e">
        <f>VLOOKUP(LEFT($S85,11),$V$24:$X$31,W$50,0)</f>
        <v>#N/A</v>
      </c>
      <c r="X85" s="12"/>
    </row>
    <row r="86" spans="3:25" x14ac:dyDescent="0.3">
      <c r="E86" s="69"/>
      <c r="F86" s="70"/>
      <c r="G86" s="71"/>
      <c r="Q86" s="13"/>
      <c r="R86" s="13" t="s">
        <v>64</v>
      </c>
      <c r="S86" s="13" t="str">
        <f t="shared" si="26"/>
        <v>_Ret*</v>
      </c>
      <c r="U86" s="13">
        <f t="shared" si="25"/>
        <v>2040</v>
      </c>
      <c r="V86" s="23">
        <v>1</v>
      </c>
      <c r="W86" s="24" t="e">
        <f>VLOOKUP(LEFT($S86,11),$V$32:$X$39,W$50,0)</f>
        <v>#N/A</v>
      </c>
      <c r="X86" s="12"/>
    </row>
    <row r="87" spans="3:25" x14ac:dyDescent="0.3">
      <c r="C87" s="55"/>
      <c r="E87" s="69"/>
      <c r="F87" s="70"/>
      <c r="G87" s="71"/>
      <c r="Q87" s="13"/>
      <c r="R87" s="13" t="s">
        <v>64</v>
      </c>
      <c r="S87" s="13" t="str">
        <f t="shared" si="26"/>
        <v>_Ret*</v>
      </c>
      <c r="U87" s="13">
        <f t="shared" si="25"/>
        <v>2050</v>
      </c>
      <c r="V87" s="23">
        <v>1</v>
      </c>
      <c r="W87" s="24" t="e">
        <f>VLOOKUP(LEFT($S87,11),$V$40:$X$47,W$50,0)</f>
        <v>#N/A</v>
      </c>
      <c r="X87" s="12"/>
    </row>
    <row r="88" spans="3:25" x14ac:dyDescent="0.3">
      <c r="E88" s="69"/>
      <c r="F88" s="70"/>
      <c r="G88" s="71"/>
      <c r="Q88" s="13"/>
    </row>
    <row r="89" spans="3:25" x14ac:dyDescent="0.3">
      <c r="E89" s="69"/>
      <c r="F89" s="70"/>
      <c r="G89" s="71"/>
    </row>
    <row r="90" spans="3:25" x14ac:dyDescent="0.3">
      <c r="E90" s="72"/>
      <c r="F90" s="73"/>
      <c r="G90" s="74"/>
      <c r="Q90" s="13"/>
      <c r="U90" s="14"/>
    </row>
    <row r="91" spans="3:25" x14ac:dyDescent="0.3">
      <c r="Q91" s="21" t="s">
        <v>68</v>
      </c>
      <c r="R91" s="21" t="s">
        <v>2</v>
      </c>
      <c r="S91" s="21" t="s">
        <v>3</v>
      </c>
      <c r="T91" s="21" t="s">
        <v>5</v>
      </c>
      <c r="U91" s="21" t="s">
        <v>1</v>
      </c>
      <c r="V91" s="21" t="s">
        <v>70</v>
      </c>
      <c r="W91" s="22" t="s">
        <v>132</v>
      </c>
      <c r="X91" s="21" t="s">
        <v>72</v>
      </c>
      <c r="Y91" s="21" t="s">
        <v>73</v>
      </c>
    </row>
    <row r="92" spans="3:25" x14ac:dyDescent="0.3">
      <c r="O92" s="13">
        <f>O83+1</f>
        <v>5</v>
      </c>
      <c r="Q92" s="13" t="str">
        <f>"UCRetr_"&amp;MID(VLOOKUP(O92,$B$56:$C$63,2,0),4,10)</f>
        <v>UCRetr_</v>
      </c>
      <c r="R92" s="13" t="s">
        <v>64</v>
      </c>
      <c r="S92" s="13" t="str">
        <f>VLOOKUP(O92,$B$56:$C$63,2,0)&amp;"_Ret*"</f>
        <v>_Ret*</v>
      </c>
      <c r="U92" s="13">
        <f>U83</f>
        <v>2020</v>
      </c>
      <c r="V92" s="23">
        <v>1</v>
      </c>
      <c r="W92" s="24" t="e">
        <f>VLOOKUP(LEFT($S92,11),$V$8:$X$15,W$50,0)</f>
        <v>#N/A</v>
      </c>
      <c r="X92" s="12">
        <v>5</v>
      </c>
      <c r="Y92" s="25" t="str">
        <f>"Upper limit of retrofits in "&amp;MID(VLOOKUP(O92,$B$56:$C$63,2,0),4,10)</f>
        <v xml:space="preserve">Upper limit of retrofits in </v>
      </c>
    </row>
    <row r="93" spans="3:25" x14ac:dyDescent="0.3">
      <c r="Q93" s="13"/>
      <c r="R93" s="13" t="s">
        <v>64</v>
      </c>
      <c r="S93" s="13" t="str">
        <f>S92</f>
        <v>_Ret*</v>
      </c>
      <c r="U93" s="13">
        <f t="shared" ref="U93:U96" si="27">U84</f>
        <v>2025</v>
      </c>
      <c r="V93" s="23">
        <v>1</v>
      </c>
      <c r="W93" s="24" t="e">
        <f>VLOOKUP(LEFT($S93,11),$V$16:$X$23,W$50,0)</f>
        <v>#N/A</v>
      </c>
      <c r="X93" s="12"/>
    </row>
    <row r="94" spans="3:25" x14ac:dyDescent="0.3">
      <c r="Q94" s="13"/>
      <c r="R94" s="13" t="s">
        <v>64</v>
      </c>
      <c r="S94" s="13" t="str">
        <f t="shared" ref="S94:S96" si="28">S93</f>
        <v>_Ret*</v>
      </c>
      <c r="U94" s="13">
        <f t="shared" si="27"/>
        <v>2030</v>
      </c>
      <c r="V94" s="23">
        <v>1</v>
      </c>
      <c r="W94" s="24" t="e">
        <f>VLOOKUP(LEFT($S94,11),$V$24:$X$31,W$50,0)</f>
        <v>#N/A</v>
      </c>
      <c r="X94" s="12"/>
    </row>
    <row r="95" spans="3:25" x14ac:dyDescent="0.3">
      <c r="Q95" s="13"/>
      <c r="R95" s="13" t="s">
        <v>64</v>
      </c>
      <c r="S95" s="13" t="str">
        <f t="shared" si="28"/>
        <v>_Ret*</v>
      </c>
      <c r="U95" s="13">
        <f t="shared" si="27"/>
        <v>2040</v>
      </c>
      <c r="V95" s="23">
        <v>1</v>
      </c>
      <c r="W95" s="24" t="e">
        <f>VLOOKUP(LEFT($S95,11),$V$32:$X$39,W$50,0)</f>
        <v>#N/A</v>
      </c>
      <c r="X95" s="12"/>
    </row>
    <row r="96" spans="3:25" x14ac:dyDescent="0.3">
      <c r="Q96" s="13"/>
      <c r="R96" s="13" t="s">
        <v>64</v>
      </c>
      <c r="S96" s="13" t="str">
        <f t="shared" si="28"/>
        <v>_Ret*</v>
      </c>
      <c r="U96" s="13">
        <f t="shared" si="27"/>
        <v>2050</v>
      </c>
      <c r="V96" s="23">
        <v>1</v>
      </c>
      <c r="W96" s="24" t="e">
        <f>VLOOKUP(LEFT($S96,11),$V$40:$X$47,W$50,0)</f>
        <v>#N/A</v>
      </c>
      <c r="X96" s="12"/>
    </row>
    <row r="97" spans="15:25" x14ac:dyDescent="0.3">
      <c r="Q97" s="13"/>
    </row>
    <row r="99" spans="15:25" x14ac:dyDescent="0.3">
      <c r="Q99" s="13"/>
      <c r="U99" s="14"/>
    </row>
    <row r="100" spans="15:25" x14ac:dyDescent="0.3">
      <c r="Q100" s="21" t="s">
        <v>68</v>
      </c>
      <c r="R100" s="21" t="s">
        <v>2</v>
      </c>
      <c r="S100" s="21" t="s">
        <v>3</v>
      </c>
      <c r="T100" s="21" t="s">
        <v>5</v>
      </c>
      <c r="U100" s="21" t="s">
        <v>1</v>
      </c>
      <c r="V100" s="21" t="s">
        <v>70</v>
      </c>
      <c r="W100" s="22" t="s">
        <v>132</v>
      </c>
      <c r="X100" s="21" t="s">
        <v>72</v>
      </c>
      <c r="Y100" s="21" t="s">
        <v>73</v>
      </c>
    </row>
    <row r="101" spans="15:25" x14ac:dyDescent="0.3">
      <c r="O101" s="13">
        <f>O92+1</f>
        <v>6</v>
      </c>
      <c r="Q101" s="13" t="str">
        <f>"UCRetr_"&amp;MID(VLOOKUP(O101,$B$56:$C$63,2,0),4,10)</f>
        <v>UCRetr_</v>
      </c>
      <c r="R101" s="13" t="s">
        <v>64</v>
      </c>
      <c r="S101" s="13" t="str">
        <f>VLOOKUP(O101,$B$56:$C$63,2,0)&amp;"_Ret*"</f>
        <v>_Ret*</v>
      </c>
      <c r="U101" s="13">
        <f>U92</f>
        <v>2020</v>
      </c>
      <c r="V101" s="23">
        <v>1</v>
      </c>
      <c r="W101" s="24" t="e">
        <f>VLOOKUP(LEFT($S101,11),$V$8:$X$15,W$50,0)</f>
        <v>#N/A</v>
      </c>
      <c r="X101" s="12">
        <v>5</v>
      </c>
      <c r="Y101" s="25" t="str">
        <f>"Upper limit of retrofits in "&amp;MID(VLOOKUP(O101,$B$56:$C$63,2,0),4,10)</f>
        <v xml:space="preserve">Upper limit of retrofits in </v>
      </c>
    </row>
    <row r="102" spans="15:25" x14ac:dyDescent="0.3">
      <c r="Q102" s="13"/>
      <c r="R102" s="13" t="s">
        <v>64</v>
      </c>
      <c r="S102" s="13" t="str">
        <f>S101</f>
        <v>_Ret*</v>
      </c>
      <c r="U102" s="13">
        <f t="shared" ref="U102:U105" si="29">U93</f>
        <v>2025</v>
      </c>
      <c r="V102" s="23">
        <v>1</v>
      </c>
      <c r="W102" s="24" t="e">
        <f>VLOOKUP(LEFT($S102,11),$V$16:$X$23,W$50,0)</f>
        <v>#N/A</v>
      </c>
      <c r="X102" s="12"/>
    </row>
    <row r="103" spans="15:25" x14ac:dyDescent="0.3">
      <c r="Q103" s="13"/>
      <c r="R103" s="13" t="s">
        <v>64</v>
      </c>
      <c r="S103" s="13" t="str">
        <f t="shared" ref="S103:S105" si="30">S102</f>
        <v>_Ret*</v>
      </c>
      <c r="U103" s="13">
        <f t="shared" si="29"/>
        <v>2030</v>
      </c>
      <c r="V103" s="23">
        <v>1</v>
      </c>
      <c r="W103" s="24" t="e">
        <f>VLOOKUP(LEFT($S103,11),$V$24:$X$31,W$50,0)</f>
        <v>#N/A</v>
      </c>
      <c r="X103" s="12"/>
    </row>
    <row r="104" spans="15:25" x14ac:dyDescent="0.3">
      <c r="Q104" s="13"/>
      <c r="R104" s="13" t="s">
        <v>64</v>
      </c>
      <c r="S104" s="13" t="str">
        <f t="shared" si="30"/>
        <v>_Ret*</v>
      </c>
      <c r="U104" s="13">
        <f t="shared" si="29"/>
        <v>2040</v>
      </c>
      <c r="V104" s="23">
        <v>1</v>
      </c>
      <c r="W104" s="24" t="e">
        <f>VLOOKUP(LEFT($S104,11),$V$32:$X$39,W$50,0)</f>
        <v>#N/A</v>
      </c>
      <c r="X104" s="12"/>
    </row>
    <row r="105" spans="15:25" x14ac:dyDescent="0.3">
      <c r="Q105" s="13"/>
      <c r="R105" s="13" t="s">
        <v>64</v>
      </c>
      <c r="S105" s="13" t="str">
        <f t="shared" si="30"/>
        <v>_Ret*</v>
      </c>
      <c r="U105" s="13">
        <f t="shared" si="29"/>
        <v>2050</v>
      </c>
      <c r="V105" s="23">
        <v>1</v>
      </c>
      <c r="W105" s="24" t="e">
        <f>VLOOKUP(LEFT($S105,11),$V$40:$X$47,W$50,0)</f>
        <v>#N/A</v>
      </c>
      <c r="X105" s="12"/>
    </row>
    <row r="106" spans="15:25" x14ac:dyDescent="0.3">
      <c r="Q106" s="13"/>
    </row>
    <row r="108" spans="15:25" x14ac:dyDescent="0.3">
      <c r="Q108" s="13"/>
      <c r="U108" s="14"/>
    </row>
    <row r="109" spans="15:25" x14ac:dyDescent="0.3">
      <c r="Q109" s="21" t="s">
        <v>68</v>
      </c>
      <c r="R109" s="21" t="s">
        <v>2</v>
      </c>
      <c r="S109" s="21" t="s">
        <v>3</v>
      </c>
      <c r="T109" s="21" t="s">
        <v>5</v>
      </c>
      <c r="U109" s="21" t="s">
        <v>1</v>
      </c>
      <c r="V109" s="21" t="s">
        <v>70</v>
      </c>
      <c r="W109" s="22" t="s">
        <v>132</v>
      </c>
      <c r="X109" s="21" t="s">
        <v>72</v>
      </c>
      <c r="Y109" s="21" t="s">
        <v>73</v>
      </c>
    </row>
    <row r="110" spans="15:25" x14ac:dyDescent="0.3">
      <c r="O110" s="13">
        <f>O101+1</f>
        <v>7</v>
      </c>
      <c r="Q110" s="13" t="str">
        <f>"UCRetr_"&amp;MID(VLOOKUP(O110,$B$56:$C$63,2,0),4,10)</f>
        <v>UCRetr_</v>
      </c>
      <c r="R110" s="13" t="s">
        <v>64</v>
      </c>
      <c r="S110" s="13" t="str">
        <f>VLOOKUP(O110,$B$56:$C$63,2,0)&amp;"_Ret*"</f>
        <v>_Ret*</v>
      </c>
      <c r="U110" s="13">
        <f>U101</f>
        <v>2020</v>
      </c>
      <c r="V110" s="23">
        <v>1</v>
      </c>
      <c r="W110" s="24" t="e">
        <f>VLOOKUP(LEFT($S110,11),$V$8:$X$15,W$50,0)</f>
        <v>#N/A</v>
      </c>
      <c r="X110" s="12">
        <v>5</v>
      </c>
      <c r="Y110" s="25" t="str">
        <f>"Upper limit of retrofits in "&amp;MID(VLOOKUP(O110,$B$56:$C$63,2,0),4,10)</f>
        <v xml:space="preserve">Upper limit of retrofits in </v>
      </c>
    </row>
    <row r="111" spans="15:25" x14ac:dyDescent="0.3">
      <c r="Q111" s="13"/>
      <c r="R111" s="13" t="s">
        <v>64</v>
      </c>
      <c r="S111" s="13" t="str">
        <f>S110</f>
        <v>_Ret*</v>
      </c>
      <c r="U111" s="13">
        <f t="shared" ref="U111:U114" si="31">U102</f>
        <v>2025</v>
      </c>
      <c r="V111" s="23">
        <v>1</v>
      </c>
      <c r="W111" s="24" t="e">
        <f>VLOOKUP(LEFT($S111,11),$V$16:$X$23,W$50,0)</f>
        <v>#N/A</v>
      </c>
      <c r="X111" s="12"/>
    </row>
    <row r="112" spans="15:25" x14ac:dyDescent="0.3">
      <c r="Q112" s="13"/>
      <c r="R112" s="13" t="s">
        <v>64</v>
      </c>
      <c r="S112" s="13" t="str">
        <f t="shared" ref="S112:S114" si="32">S111</f>
        <v>_Ret*</v>
      </c>
      <c r="U112" s="13">
        <f t="shared" si="31"/>
        <v>2030</v>
      </c>
      <c r="V112" s="23">
        <v>1</v>
      </c>
      <c r="W112" s="24" t="e">
        <f>VLOOKUP(LEFT($S112,11),$V$24:$X$31,W$50,0)</f>
        <v>#N/A</v>
      </c>
      <c r="X112" s="12"/>
    </row>
    <row r="113" spans="15:25" x14ac:dyDescent="0.3">
      <c r="Q113" s="13"/>
      <c r="R113" s="13" t="s">
        <v>64</v>
      </c>
      <c r="S113" s="13" t="str">
        <f t="shared" si="32"/>
        <v>_Ret*</v>
      </c>
      <c r="U113" s="13">
        <f t="shared" si="31"/>
        <v>2040</v>
      </c>
      <c r="V113" s="23">
        <v>1</v>
      </c>
      <c r="W113" s="24" t="e">
        <f>VLOOKUP(LEFT($S113,11),$V$32:$X$39,W$50,0)</f>
        <v>#N/A</v>
      </c>
      <c r="X113" s="12"/>
    </row>
    <row r="114" spans="15:25" x14ac:dyDescent="0.3">
      <c r="Q114" s="13"/>
      <c r="R114" s="13" t="s">
        <v>64</v>
      </c>
      <c r="S114" s="13" t="str">
        <f t="shared" si="32"/>
        <v>_Ret*</v>
      </c>
      <c r="U114" s="13">
        <f t="shared" si="31"/>
        <v>2050</v>
      </c>
      <c r="V114" s="23">
        <v>1</v>
      </c>
      <c r="W114" s="24" t="e">
        <f>VLOOKUP(LEFT($S114,11),$V$40:$X$47,W$50,0)</f>
        <v>#N/A</v>
      </c>
      <c r="X114" s="12"/>
    </row>
    <row r="115" spans="15:25" x14ac:dyDescent="0.3">
      <c r="Q115" s="13"/>
    </row>
    <row r="117" spans="15:25" x14ac:dyDescent="0.3">
      <c r="Q117" s="13"/>
      <c r="U117" s="14"/>
    </row>
    <row r="118" spans="15:25" x14ac:dyDescent="0.3">
      <c r="Q118" s="21" t="s">
        <v>68</v>
      </c>
      <c r="R118" s="21" t="s">
        <v>2</v>
      </c>
      <c r="S118" s="21" t="s">
        <v>3</v>
      </c>
      <c r="T118" s="21" t="s">
        <v>5</v>
      </c>
      <c r="U118" s="21" t="s">
        <v>1</v>
      </c>
      <c r="V118" s="21" t="s">
        <v>70</v>
      </c>
      <c r="W118" s="22" t="s">
        <v>132</v>
      </c>
      <c r="X118" s="21" t="s">
        <v>72</v>
      </c>
      <c r="Y118" s="21" t="s">
        <v>73</v>
      </c>
    </row>
    <row r="119" spans="15:25" x14ac:dyDescent="0.3">
      <c r="O119" s="13">
        <f>O110+1</f>
        <v>8</v>
      </c>
      <c r="Q119" s="13" t="str">
        <f>"UCRetr_"&amp;MID(VLOOKUP(O119,$B$56:$C$63,2,0),4,10)</f>
        <v>UCRetr_</v>
      </c>
      <c r="R119" s="13" t="s">
        <v>64</v>
      </c>
      <c r="S119" s="13" t="str">
        <f>VLOOKUP(O119,$B$56:$C$63,2,0)&amp;"_Ret*"</f>
        <v>_Ret*</v>
      </c>
      <c r="U119" s="13">
        <f>U110</f>
        <v>2020</v>
      </c>
      <c r="V119" s="23">
        <v>1</v>
      </c>
      <c r="W119" s="24" t="e">
        <f>VLOOKUP(LEFT($S119,11),$V$8:$X$15,W$50,0)</f>
        <v>#N/A</v>
      </c>
      <c r="X119" s="12">
        <v>5</v>
      </c>
      <c r="Y119" s="25" t="str">
        <f>"Upper limit of retrofits in "&amp;MID(VLOOKUP(O119,$B$56:$C$63,2,0),4,10)</f>
        <v xml:space="preserve">Upper limit of retrofits in </v>
      </c>
    </row>
    <row r="120" spans="15:25" x14ac:dyDescent="0.3">
      <c r="Q120" s="13"/>
      <c r="R120" s="13" t="s">
        <v>64</v>
      </c>
      <c r="S120" s="13" t="str">
        <f>S119</f>
        <v>_Ret*</v>
      </c>
      <c r="U120" s="13">
        <f t="shared" ref="U120:U123" si="33">U111</f>
        <v>2025</v>
      </c>
      <c r="V120" s="23">
        <v>1</v>
      </c>
      <c r="W120" s="24" t="e">
        <f>VLOOKUP(LEFT($S120,11),$V$16:$X$23,W$50,0)</f>
        <v>#N/A</v>
      </c>
      <c r="X120" s="12"/>
    </row>
    <row r="121" spans="15:25" x14ac:dyDescent="0.3">
      <c r="Q121" s="13"/>
      <c r="R121" s="13" t="s">
        <v>64</v>
      </c>
      <c r="S121" s="13" t="str">
        <f t="shared" ref="S121:S123" si="34">S120</f>
        <v>_Ret*</v>
      </c>
      <c r="U121" s="13">
        <f t="shared" si="33"/>
        <v>2030</v>
      </c>
      <c r="V121" s="23">
        <v>1</v>
      </c>
      <c r="W121" s="24" t="e">
        <f>VLOOKUP(LEFT($S121,11),$V$24:$X$31,W$50,0)</f>
        <v>#N/A</v>
      </c>
      <c r="X121" s="12"/>
    </row>
    <row r="122" spans="15:25" x14ac:dyDescent="0.3">
      <c r="Q122" s="13"/>
      <c r="R122" s="13" t="s">
        <v>64</v>
      </c>
      <c r="S122" s="13" t="str">
        <f t="shared" si="34"/>
        <v>_Ret*</v>
      </c>
      <c r="U122" s="13">
        <f t="shared" si="33"/>
        <v>2040</v>
      </c>
      <c r="V122" s="23">
        <v>1</v>
      </c>
      <c r="W122" s="24" t="e">
        <f>VLOOKUP(LEFT($S122,11),$V$32:$X$39,W$50,0)</f>
        <v>#N/A</v>
      </c>
      <c r="X122" s="12"/>
    </row>
    <row r="123" spans="15:25" x14ac:dyDescent="0.3">
      <c r="Q123" s="13"/>
      <c r="R123" s="13" t="s">
        <v>64</v>
      </c>
      <c r="S123" s="13" t="str">
        <f t="shared" si="34"/>
        <v>_Ret*</v>
      </c>
      <c r="U123" s="13">
        <f t="shared" si="33"/>
        <v>2050</v>
      </c>
      <c r="V123" s="23">
        <v>1</v>
      </c>
      <c r="W123" s="24" t="e">
        <f>VLOOKUP(LEFT($S123,11),$V$40:$X$47,W$50,0)</f>
        <v>#N/A</v>
      </c>
      <c r="X123" s="12"/>
    </row>
    <row r="124" spans="15:25" x14ac:dyDescent="0.3">
      <c r="Q124" s="13"/>
    </row>
    <row r="130" spans="17:27" x14ac:dyDescent="0.3">
      <c r="Q130" s="13"/>
      <c r="Y130" s="12"/>
      <c r="Z130" s="12"/>
    </row>
    <row r="131" spans="17:27" ht="17.399999999999999" x14ac:dyDescent="0.3">
      <c r="Q131" s="27" t="s">
        <v>95</v>
      </c>
      <c r="R131" s="27"/>
      <c r="S131" s="27"/>
      <c r="T131" s="27"/>
      <c r="Y131" s="12"/>
      <c r="Z131" s="12"/>
    </row>
    <row r="132" spans="17:27" x14ac:dyDescent="0.3">
      <c r="Q132" s="13"/>
      <c r="Y132" s="12"/>
      <c r="Z132" s="12"/>
    </row>
    <row r="133" spans="17:27" x14ac:dyDescent="0.3">
      <c r="Q133" s="13"/>
      <c r="Y133" s="12"/>
      <c r="Z133" s="12"/>
    </row>
    <row r="134" spans="17:27" x14ac:dyDescent="0.3">
      <c r="Q134" s="13"/>
      <c r="Y134" s="12"/>
      <c r="Z134" s="12"/>
    </row>
    <row r="135" spans="17:27" x14ac:dyDescent="0.3">
      <c r="Q135" s="13"/>
      <c r="U135" s="14"/>
      <c r="Y135" s="12"/>
      <c r="Z135" s="12"/>
    </row>
    <row r="136" spans="17:27" x14ac:dyDescent="0.3">
      <c r="Q136" s="21" t="s">
        <v>68</v>
      </c>
      <c r="R136" s="21" t="s">
        <v>2</v>
      </c>
      <c r="S136" s="21" t="s">
        <v>4</v>
      </c>
      <c r="T136" s="21" t="s">
        <v>0</v>
      </c>
      <c r="U136" s="21" t="s">
        <v>3</v>
      </c>
      <c r="V136" s="21" t="s">
        <v>1</v>
      </c>
      <c r="W136" s="22" t="s">
        <v>6</v>
      </c>
      <c r="X136" s="21" t="s">
        <v>83</v>
      </c>
      <c r="Y136" s="22" t="s">
        <v>84</v>
      </c>
      <c r="Z136" s="22" t="s">
        <v>85</v>
      </c>
      <c r="AA136" s="21" t="s">
        <v>73</v>
      </c>
    </row>
    <row r="137" spans="17:27" x14ac:dyDescent="0.3">
      <c r="Q137" s="13" t="str">
        <f>_xlfn.CONCAT(Q56,"CtrlShare")</f>
        <v>UCRetr_RSD_APA1CtrlShare</v>
      </c>
      <c r="R137" s="13" t="str">
        <f>_xlfn.CONCAT(E56,"*")</f>
        <v>RSD_APA2_SH*</v>
      </c>
      <c r="S137" s="13" t="str">
        <f>E56</f>
        <v>RSD_APA2_SH</v>
      </c>
      <c r="U137" s="13" t="str">
        <f>S137</f>
        <v>RSD_APA2_SH</v>
      </c>
      <c r="W137" s="13" t="s">
        <v>86</v>
      </c>
      <c r="X137" s="75" t="e">
        <f>1+X138</f>
        <v>#DIV/0!</v>
      </c>
      <c r="Y137" s="12" t="s">
        <v>87</v>
      </c>
      <c r="Z137" s="12" t="s">
        <v>88</v>
      </c>
      <c r="AA137" s="13" t="str">
        <f>Q137</f>
        <v>UCRetr_RSD_APA1CtrlShare</v>
      </c>
    </row>
    <row r="138" spans="17:27" x14ac:dyDescent="0.3">
      <c r="Q138" s="13"/>
      <c r="R138" s="13" t="str">
        <f>H56</f>
        <v>RSD_UMSH_APA2</v>
      </c>
      <c r="S138" s="13" t="str">
        <f>S137</f>
        <v>RSD_APA2_SH</v>
      </c>
      <c r="U138" s="13" t="str">
        <f>U137</f>
        <v>RSD_APA2_SH</v>
      </c>
      <c r="X138" s="75" t="e">
        <f>-H70</f>
        <v>#DIV/0!</v>
      </c>
      <c r="Y138" s="12"/>
      <c r="Z138" s="12"/>
    </row>
    <row r="139" spans="17:27" x14ac:dyDescent="0.3">
      <c r="Q139" s="13"/>
      <c r="X139" s="75"/>
      <c r="Y139" s="12"/>
      <c r="Z139" s="12"/>
    </row>
    <row r="140" spans="17:27" x14ac:dyDescent="0.3">
      <c r="Q140" s="76"/>
      <c r="U140" s="76"/>
      <c r="V140" s="76"/>
      <c r="W140" s="76"/>
      <c r="X140" s="75"/>
      <c r="Y140" s="77"/>
      <c r="Z140" s="77"/>
      <c r="AA140" s="76"/>
    </row>
    <row r="141" spans="17:27" x14ac:dyDescent="0.3">
      <c r="Q141" s="13"/>
      <c r="Y141" s="12"/>
      <c r="Z141" s="12"/>
    </row>
    <row r="142" spans="17:27" x14ac:dyDescent="0.3">
      <c r="Q142" s="13"/>
      <c r="Y142" s="12"/>
      <c r="Z142" s="12"/>
    </row>
    <row r="143" spans="17:27" x14ac:dyDescent="0.3">
      <c r="Q143" s="13"/>
      <c r="Y143" s="12"/>
      <c r="Z143" s="12"/>
    </row>
    <row r="144" spans="17:27" x14ac:dyDescent="0.3">
      <c r="Q144" s="13"/>
      <c r="U144" s="14"/>
      <c r="Y144" s="12"/>
      <c r="Z144" s="12"/>
    </row>
    <row r="145" spans="17:27" x14ac:dyDescent="0.3">
      <c r="Q145" s="21" t="s">
        <v>68</v>
      </c>
      <c r="R145" s="21" t="s">
        <v>2</v>
      </c>
      <c r="S145" s="21" t="s">
        <v>4</v>
      </c>
      <c r="T145" s="21" t="s">
        <v>0</v>
      </c>
      <c r="U145" s="21" t="s">
        <v>3</v>
      </c>
      <c r="V145" s="21" t="s">
        <v>1</v>
      </c>
      <c r="W145" s="22" t="s">
        <v>6</v>
      </c>
      <c r="X145" s="21" t="s">
        <v>83</v>
      </c>
      <c r="Y145" s="22" t="s">
        <v>84</v>
      </c>
      <c r="Z145" s="22" t="s">
        <v>85</v>
      </c>
      <c r="AA145" s="21" t="s">
        <v>73</v>
      </c>
    </row>
    <row r="146" spans="17:27" x14ac:dyDescent="0.3">
      <c r="Q146" s="13" t="str">
        <f>_xlfn.CONCAT(Q65,"CtrlShare")</f>
        <v>UCRetr_RSD_DTA1CtrlShare</v>
      </c>
      <c r="R146" s="13" t="str">
        <f>_xlfn.CONCAT(E57,"*")</f>
        <v>RSD_APA3_SH*</v>
      </c>
      <c r="S146" s="13" t="str">
        <f>E57</f>
        <v>RSD_APA3_SH</v>
      </c>
      <c r="U146" s="13" t="str">
        <f>S146</f>
        <v>RSD_APA3_SH</v>
      </c>
      <c r="W146" s="13" t="s">
        <v>86</v>
      </c>
      <c r="X146" s="75" t="e">
        <f>1+X147</f>
        <v>#DIV/0!</v>
      </c>
      <c r="Y146" s="12" t="s">
        <v>87</v>
      </c>
      <c r="Z146" s="12" t="s">
        <v>88</v>
      </c>
      <c r="AA146" s="13" t="str">
        <f>Q146</f>
        <v>UCRetr_RSD_DTA1CtrlShare</v>
      </c>
    </row>
    <row r="147" spans="17:27" x14ac:dyDescent="0.3">
      <c r="Q147" s="13"/>
      <c r="R147" s="13" t="str">
        <f>H57</f>
        <v>RSD_UMSH_APA3</v>
      </c>
      <c r="S147" s="13" t="str">
        <f>S146</f>
        <v>RSD_APA3_SH</v>
      </c>
      <c r="U147" s="13" t="str">
        <f>U146</f>
        <v>RSD_APA3_SH</v>
      </c>
      <c r="X147" s="75" t="e">
        <f>-H71</f>
        <v>#DIV/0!</v>
      </c>
      <c r="Y147" s="12"/>
      <c r="Z147" s="12"/>
    </row>
    <row r="148" spans="17:27" x14ac:dyDescent="0.3">
      <c r="Q148" s="13"/>
      <c r="X148" s="75"/>
      <c r="Y148" s="12"/>
      <c r="Z148" s="12"/>
    </row>
    <row r="149" spans="17:27" x14ac:dyDescent="0.3">
      <c r="Q149" s="13"/>
      <c r="X149" s="75"/>
      <c r="Y149" s="12"/>
      <c r="Z149" s="12"/>
    </row>
    <row r="150" spans="17:27" x14ac:dyDescent="0.3">
      <c r="Q150" s="13"/>
      <c r="Y150" s="12"/>
      <c r="Z150" s="12"/>
    </row>
    <row r="151" spans="17:27" x14ac:dyDescent="0.3">
      <c r="Q151" s="13"/>
      <c r="Y151" s="12"/>
      <c r="Z151" s="12"/>
    </row>
    <row r="152" spans="17:27" x14ac:dyDescent="0.3">
      <c r="Q152" s="13"/>
      <c r="Y152" s="12"/>
      <c r="Z152" s="12"/>
    </row>
    <row r="153" spans="17:27" x14ac:dyDescent="0.3">
      <c r="Q153" s="13" t="s">
        <v>134</v>
      </c>
      <c r="U153" s="14"/>
      <c r="W153" s="13" t="s">
        <v>82</v>
      </c>
      <c r="Y153" s="12"/>
      <c r="Z153" s="12"/>
    </row>
    <row r="154" spans="17:27" x14ac:dyDescent="0.3">
      <c r="Q154" s="21" t="s">
        <v>68</v>
      </c>
      <c r="R154" s="21" t="s">
        <v>2</v>
      </c>
      <c r="S154" s="21" t="s">
        <v>4</v>
      </c>
      <c r="T154" s="21" t="s">
        <v>0</v>
      </c>
      <c r="U154" s="21" t="s">
        <v>3</v>
      </c>
      <c r="V154" s="21" t="s">
        <v>1</v>
      </c>
      <c r="W154" s="22" t="s">
        <v>6</v>
      </c>
      <c r="X154" s="21" t="s">
        <v>83</v>
      </c>
      <c r="Y154" s="22" t="s">
        <v>84</v>
      </c>
      <c r="Z154" s="22" t="s">
        <v>85</v>
      </c>
      <c r="AA154" s="21" t="s">
        <v>73</v>
      </c>
    </row>
    <row r="155" spans="17:27" x14ac:dyDescent="0.3">
      <c r="Q155" s="13" t="str">
        <f>CONCATENATE(Q56,"CtrlShare")</f>
        <v>UCRetr_RSD_APA1CtrlShare</v>
      </c>
      <c r="R155" s="13" t="str">
        <f>CONCATENATE(E58,"*")</f>
        <v>RSD_APA1_SH*</v>
      </c>
      <c r="S155" s="13" t="str">
        <f>E58</f>
        <v>RSD_APA1_SH</v>
      </c>
      <c r="U155" s="13" t="str">
        <f>S155</f>
        <v>RSD_APA1_SH</v>
      </c>
      <c r="W155" s="13" t="s">
        <v>86</v>
      </c>
      <c r="X155" s="75">
        <f>1+X156</f>
        <v>9.090909090909105E-2</v>
      </c>
      <c r="Y155" s="12" t="s">
        <v>87</v>
      </c>
      <c r="Z155" s="12" t="s">
        <v>88</v>
      </c>
      <c r="AA155" s="13" t="str">
        <f>Q155</f>
        <v>UCRetr_RSD_APA1CtrlShare</v>
      </c>
    </row>
    <row r="156" spans="17:27" x14ac:dyDescent="0.3">
      <c r="Q156" s="13"/>
      <c r="R156" s="13" t="str">
        <f>H58</f>
        <v>RSD_UMSH_APA1</v>
      </c>
      <c r="S156" s="13" t="str">
        <f>S155</f>
        <v>RSD_APA1_SH</v>
      </c>
      <c r="U156" s="13" t="str">
        <f>U155</f>
        <v>RSD_APA1_SH</v>
      </c>
      <c r="X156" s="75">
        <f>-H72</f>
        <v>-0.90909090909090895</v>
      </c>
      <c r="Y156" s="12"/>
      <c r="Z156" s="12"/>
    </row>
    <row r="157" spans="17:27" x14ac:dyDescent="0.3">
      <c r="Q157" s="13"/>
      <c r="X157" s="75"/>
      <c r="Y157" s="12"/>
      <c r="Z157" s="12"/>
    </row>
    <row r="158" spans="17:27" x14ac:dyDescent="0.3">
      <c r="Q158" s="13"/>
      <c r="X158" s="75"/>
      <c r="Y158" s="12"/>
      <c r="Z158" s="12"/>
    </row>
    <row r="159" spans="17:27" x14ac:dyDescent="0.3">
      <c r="Q159" s="13"/>
      <c r="Y159" s="12"/>
      <c r="Z159" s="12"/>
    </row>
    <row r="160" spans="17:27" x14ac:dyDescent="0.3">
      <c r="Q160" s="13"/>
      <c r="Y160" s="12"/>
      <c r="Z160" s="12"/>
    </row>
    <row r="161" spans="17:27" x14ac:dyDescent="0.3">
      <c r="Q161" s="13"/>
      <c r="Y161" s="12"/>
      <c r="Z161" s="12"/>
    </row>
    <row r="162" spans="17:27" x14ac:dyDescent="0.3">
      <c r="Q162" s="13"/>
      <c r="U162" s="14"/>
      <c r="Y162" s="12"/>
      <c r="Z162" s="12"/>
    </row>
    <row r="163" spans="17:27" x14ac:dyDescent="0.3">
      <c r="Q163" s="21" t="s">
        <v>68</v>
      </c>
      <c r="R163" s="21" t="s">
        <v>2</v>
      </c>
      <c r="S163" s="21" t="s">
        <v>4</v>
      </c>
      <c r="T163" s="21" t="s">
        <v>0</v>
      </c>
      <c r="U163" s="21" t="s">
        <v>3</v>
      </c>
      <c r="V163" s="21" t="s">
        <v>1</v>
      </c>
      <c r="W163" s="22" t="s">
        <v>6</v>
      </c>
      <c r="X163" s="21" t="s">
        <v>83</v>
      </c>
      <c r="Y163" s="22" t="s">
        <v>84</v>
      </c>
      <c r="Z163" s="22" t="s">
        <v>85</v>
      </c>
      <c r="AA163" s="21" t="s">
        <v>73</v>
      </c>
    </row>
    <row r="164" spans="17:27" x14ac:dyDescent="0.3">
      <c r="Q164" s="13" t="str">
        <f>_xlfn.CONCAT(Q83,"CtrlShare")</f>
        <v>UCRetr_CtrlShare</v>
      </c>
      <c r="R164" s="13" t="str">
        <f>_xlfn.CONCAT(E59,"*")</f>
        <v>RSD_APA4_SH*</v>
      </c>
      <c r="S164" s="13" t="str">
        <f>E59</f>
        <v>RSD_APA4_SH</v>
      </c>
      <c r="U164" s="13" t="str">
        <f>S164</f>
        <v>RSD_APA4_SH</v>
      </c>
      <c r="W164" s="13" t="s">
        <v>86</v>
      </c>
      <c r="X164" s="75" t="e">
        <f>1+X165</f>
        <v>#DIV/0!</v>
      </c>
      <c r="Y164" s="12" t="s">
        <v>87</v>
      </c>
      <c r="Z164" s="12" t="s">
        <v>88</v>
      </c>
      <c r="AA164" s="13" t="str">
        <f>Q164</f>
        <v>UCRetr_CtrlShare</v>
      </c>
    </row>
    <row r="165" spans="17:27" x14ac:dyDescent="0.3">
      <c r="Q165" s="13"/>
      <c r="R165" s="13" t="str">
        <f>H59</f>
        <v>RSD_UMSH_APA4</v>
      </c>
      <c r="S165" s="13" t="str">
        <f>S164</f>
        <v>RSD_APA4_SH</v>
      </c>
      <c r="U165" s="13" t="str">
        <f>U164</f>
        <v>RSD_APA4_SH</v>
      </c>
      <c r="X165" s="75" t="e">
        <f>-H73</f>
        <v>#DIV/0!</v>
      </c>
      <c r="Y165" s="12"/>
      <c r="Z165" s="12"/>
    </row>
    <row r="166" spans="17:27" x14ac:dyDescent="0.3">
      <c r="Q166" s="13"/>
      <c r="X166" s="75"/>
      <c r="Y166" s="12"/>
      <c r="Z166" s="12"/>
    </row>
    <row r="167" spans="17:27" x14ac:dyDescent="0.3">
      <c r="Q167" s="13"/>
      <c r="X167" s="75"/>
      <c r="Y167" s="12"/>
      <c r="Z167" s="12"/>
    </row>
    <row r="168" spans="17:27" x14ac:dyDescent="0.3">
      <c r="Q168" s="13"/>
      <c r="Y168" s="12"/>
      <c r="Z168" s="12"/>
    </row>
    <row r="169" spans="17:27" x14ac:dyDescent="0.3">
      <c r="Q169" s="13"/>
      <c r="Y169" s="12"/>
      <c r="Z169" s="12"/>
    </row>
    <row r="170" spans="17:27" x14ac:dyDescent="0.3">
      <c r="Q170" s="13"/>
      <c r="Y170" s="12"/>
      <c r="Z170" s="12"/>
    </row>
    <row r="171" spans="17:27" x14ac:dyDescent="0.3">
      <c r="Q171" s="13"/>
      <c r="U171" s="14"/>
      <c r="Y171" s="12"/>
      <c r="Z171" s="12"/>
    </row>
    <row r="172" spans="17:27" x14ac:dyDescent="0.3">
      <c r="Q172" s="21" t="s">
        <v>68</v>
      </c>
      <c r="R172" s="21" t="s">
        <v>2</v>
      </c>
      <c r="S172" s="21" t="s">
        <v>4</v>
      </c>
      <c r="T172" s="21" t="s">
        <v>0</v>
      </c>
      <c r="U172" s="21" t="s">
        <v>3</v>
      </c>
      <c r="V172" s="21" t="s">
        <v>1</v>
      </c>
      <c r="W172" s="22" t="s">
        <v>6</v>
      </c>
      <c r="X172" s="21" t="s">
        <v>83</v>
      </c>
      <c r="Y172" s="22" t="s">
        <v>84</v>
      </c>
      <c r="Z172" s="22" t="s">
        <v>85</v>
      </c>
      <c r="AA172" s="21" t="s">
        <v>73</v>
      </c>
    </row>
    <row r="173" spans="17:27" x14ac:dyDescent="0.3">
      <c r="Q173" s="13" t="str">
        <f>_xlfn.CONCAT(Q92,"CtrlShare")</f>
        <v>UCRetr_CtrlShare</v>
      </c>
      <c r="R173" s="13" t="str">
        <f>_xlfn.CONCAT(E60,"*")</f>
        <v>RSD_DTA2_SH*</v>
      </c>
      <c r="S173" s="13" t="str">
        <f>E60</f>
        <v>RSD_DTA2_SH</v>
      </c>
      <c r="U173" s="13" t="str">
        <f>S173</f>
        <v>RSD_DTA2_SH</v>
      </c>
      <c r="W173" s="13" t="s">
        <v>86</v>
      </c>
      <c r="X173" s="75" t="e">
        <f>1+X174</f>
        <v>#DIV/0!</v>
      </c>
      <c r="Y173" s="12" t="s">
        <v>87</v>
      </c>
      <c r="Z173" s="12" t="s">
        <v>88</v>
      </c>
      <c r="AA173" s="13" t="str">
        <f>Q173</f>
        <v>UCRetr_CtrlShare</v>
      </c>
    </row>
    <row r="174" spans="17:27" x14ac:dyDescent="0.3">
      <c r="Q174" s="13"/>
      <c r="R174" s="13" t="str">
        <f>H60</f>
        <v>RSD_UMSH_DTA2</v>
      </c>
      <c r="S174" s="13" t="str">
        <f>S173</f>
        <v>RSD_DTA2_SH</v>
      </c>
      <c r="U174" s="13" t="str">
        <f>U173</f>
        <v>RSD_DTA2_SH</v>
      </c>
      <c r="X174" s="75" t="e">
        <f>-H74</f>
        <v>#DIV/0!</v>
      </c>
      <c r="Y174" s="12"/>
      <c r="Z174" s="12"/>
    </row>
    <row r="175" spans="17:27" x14ac:dyDescent="0.3">
      <c r="Q175" s="13"/>
      <c r="X175" s="75"/>
      <c r="Y175" s="12"/>
      <c r="Z175" s="12"/>
    </row>
    <row r="176" spans="17:27" x14ac:dyDescent="0.3">
      <c r="Q176" s="13"/>
      <c r="X176" s="75"/>
      <c r="Y176" s="12"/>
      <c r="Z176" s="12"/>
    </row>
    <row r="177" spans="17:27" x14ac:dyDescent="0.3">
      <c r="Q177" s="13"/>
      <c r="Y177" s="12"/>
      <c r="Z177" s="12"/>
    </row>
    <row r="178" spans="17:27" x14ac:dyDescent="0.3">
      <c r="Q178" s="13"/>
      <c r="Y178" s="12"/>
      <c r="Z178" s="12"/>
    </row>
    <row r="179" spans="17:27" x14ac:dyDescent="0.3">
      <c r="Q179" s="13"/>
      <c r="Y179" s="12"/>
      <c r="Z179" s="12"/>
    </row>
    <row r="180" spans="17:27" x14ac:dyDescent="0.3">
      <c r="Q180" s="13"/>
      <c r="U180" s="14"/>
      <c r="Y180" s="12"/>
      <c r="Z180" s="12"/>
    </row>
    <row r="181" spans="17:27" x14ac:dyDescent="0.3">
      <c r="Q181" s="21" t="s">
        <v>68</v>
      </c>
      <c r="R181" s="21" t="s">
        <v>2</v>
      </c>
      <c r="S181" s="21" t="s">
        <v>4</v>
      </c>
      <c r="T181" s="21" t="s">
        <v>0</v>
      </c>
      <c r="U181" s="21" t="s">
        <v>3</v>
      </c>
      <c r="V181" s="21" t="s">
        <v>1</v>
      </c>
      <c r="W181" s="22" t="s">
        <v>6</v>
      </c>
      <c r="X181" s="21" t="s">
        <v>83</v>
      </c>
      <c r="Y181" s="22" t="s">
        <v>84</v>
      </c>
      <c r="Z181" s="22" t="s">
        <v>85</v>
      </c>
      <c r="AA181" s="21" t="s">
        <v>73</v>
      </c>
    </row>
    <row r="182" spans="17:27" x14ac:dyDescent="0.3">
      <c r="Q182" s="13" t="str">
        <f>_xlfn.CONCAT(Q101,"CtrlShare")</f>
        <v>UCRetr_CtrlShare</v>
      </c>
      <c r="R182" s="13" t="str">
        <f>_xlfn.CONCAT(E61,"*")</f>
        <v>RSD_DTA3_SH*</v>
      </c>
      <c r="S182" s="13" t="str">
        <f>E61</f>
        <v>RSD_DTA3_SH</v>
      </c>
      <c r="U182" s="13" t="str">
        <f>S182</f>
        <v>RSD_DTA3_SH</v>
      </c>
      <c r="W182" s="13" t="s">
        <v>86</v>
      </c>
      <c r="X182" s="75" t="e">
        <f>1+X183</f>
        <v>#DIV/0!</v>
      </c>
      <c r="Y182" s="12" t="s">
        <v>87</v>
      </c>
      <c r="Z182" s="12" t="s">
        <v>88</v>
      </c>
      <c r="AA182" s="13" t="str">
        <f>Q182</f>
        <v>UCRetr_CtrlShare</v>
      </c>
    </row>
    <row r="183" spans="17:27" x14ac:dyDescent="0.3">
      <c r="Q183" s="13"/>
      <c r="R183" s="13" t="str">
        <f>H61</f>
        <v>RSD_UMSH_DTA3</v>
      </c>
      <c r="S183" s="13" t="str">
        <f>S182</f>
        <v>RSD_DTA3_SH</v>
      </c>
      <c r="U183" s="13" t="str">
        <f>U182</f>
        <v>RSD_DTA3_SH</v>
      </c>
      <c r="X183" s="75" t="e">
        <f>-H75</f>
        <v>#DIV/0!</v>
      </c>
      <c r="Y183" s="12"/>
      <c r="Z183" s="12"/>
    </row>
    <row r="184" spans="17:27" x14ac:dyDescent="0.3">
      <c r="Q184" s="13"/>
      <c r="X184" s="75"/>
      <c r="Y184" s="12"/>
      <c r="Z184" s="12"/>
    </row>
    <row r="185" spans="17:27" x14ac:dyDescent="0.3">
      <c r="Q185" s="13"/>
      <c r="X185" s="75"/>
      <c r="Y185" s="12"/>
      <c r="Z185" s="12"/>
    </row>
    <row r="186" spans="17:27" x14ac:dyDescent="0.3">
      <c r="Q186" s="13"/>
      <c r="Y186" s="12"/>
      <c r="Z186" s="12"/>
    </row>
    <row r="187" spans="17:27" x14ac:dyDescent="0.3">
      <c r="Q187" s="13"/>
      <c r="Y187" s="12"/>
      <c r="Z187" s="12"/>
    </row>
    <row r="188" spans="17:27" x14ac:dyDescent="0.3">
      <c r="Q188" s="13"/>
      <c r="Y188" s="12"/>
      <c r="Z188" s="12"/>
    </row>
    <row r="189" spans="17:27" x14ac:dyDescent="0.3">
      <c r="Q189" s="13" t="s">
        <v>134</v>
      </c>
      <c r="U189" s="14"/>
      <c r="W189" s="13" t="s">
        <v>82</v>
      </c>
      <c r="Y189" s="12"/>
      <c r="Z189" s="12"/>
    </row>
    <row r="190" spans="17:27" x14ac:dyDescent="0.3">
      <c r="Q190" s="21" t="s">
        <v>68</v>
      </c>
      <c r="R190" s="21" t="s">
        <v>2</v>
      </c>
      <c r="S190" s="21" t="s">
        <v>4</v>
      </c>
      <c r="T190" s="21" t="s">
        <v>0</v>
      </c>
      <c r="U190" s="21" t="s">
        <v>3</v>
      </c>
      <c r="V190" s="21" t="s">
        <v>1</v>
      </c>
      <c r="W190" s="22" t="s">
        <v>6</v>
      </c>
      <c r="X190" s="21" t="s">
        <v>83</v>
      </c>
      <c r="Y190" s="22" t="s">
        <v>84</v>
      </c>
      <c r="Z190" s="22" t="s">
        <v>85</v>
      </c>
      <c r="AA190" s="21" t="s">
        <v>73</v>
      </c>
    </row>
    <row r="191" spans="17:27" x14ac:dyDescent="0.3">
      <c r="Q191" s="13" t="str">
        <f>CONCATENATE(Q65,"CtrlShare")</f>
        <v>UCRetr_RSD_DTA1CtrlShare</v>
      </c>
      <c r="R191" s="13" t="str">
        <f>CONCATENATE(E62,"*")</f>
        <v>RSD_DTA1_SH*</v>
      </c>
      <c r="S191" s="13" t="str">
        <f>E62</f>
        <v>RSD_DTA1_SH</v>
      </c>
      <c r="U191" s="13" t="str">
        <f>S191</f>
        <v>RSD_DTA1_SH</v>
      </c>
      <c r="W191" s="13" t="s">
        <v>86</v>
      </c>
      <c r="X191" s="75">
        <f>1+X192</f>
        <v>9.0909090909090939E-2</v>
      </c>
      <c r="Y191" s="12" t="s">
        <v>87</v>
      </c>
      <c r="Z191" s="12" t="s">
        <v>88</v>
      </c>
      <c r="AA191" s="13" t="str">
        <f>Q191</f>
        <v>UCRetr_RSD_DTA1CtrlShare</v>
      </c>
    </row>
    <row r="192" spans="17:27" x14ac:dyDescent="0.3">
      <c r="Q192" s="13"/>
      <c r="R192" s="13" t="str">
        <f>H62</f>
        <v>RSD_UMSH_DTA1</v>
      </c>
      <c r="S192" s="13" t="str">
        <f>S191</f>
        <v>RSD_DTA1_SH</v>
      </c>
      <c r="U192" s="13" t="str">
        <f>U191</f>
        <v>RSD_DTA1_SH</v>
      </c>
      <c r="X192" s="75">
        <f>-H76</f>
        <v>-0.90909090909090906</v>
      </c>
      <c r="Y192" s="12"/>
      <c r="Z192" s="12"/>
    </row>
    <row r="193" spans="17:27" x14ac:dyDescent="0.3">
      <c r="Q193" s="13"/>
      <c r="X193" s="75"/>
      <c r="Y193" s="12"/>
      <c r="Z193" s="12"/>
    </row>
    <row r="194" spans="17:27" x14ac:dyDescent="0.3">
      <c r="Q194" s="13"/>
      <c r="X194" s="75"/>
      <c r="Y194" s="12"/>
      <c r="Z194" s="12"/>
    </row>
    <row r="195" spans="17:27" x14ac:dyDescent="0.3">
      <c r="Q195" s="13"/>
      <c r="Y195" s="12"/>
      <c r="Z195" s="12"/>
    </row>
    <row r="196" spans="17:27" x14ac:dyDescent="0.3">
      <c r="Q196" s="13"/>
      <c r="Y196" s="12"/>
      <c r="Z196" s="12"/>
    </row>
    <row r="197" spans="17:27" x14ac:dyDescent="0.3">
      <c r="Q197" s="13"/>
      <c r="Y197" s="12"/>
      <c r="Z197" s="12"/>
    </row>
    <row r="198" spans="17:27" x14ac:dyDescent="0.3">
      <c r="Q198" s="13"/>
      <c r="U198" s="14"/>
      <c r="Y198" s="12"/>
      <c r="Z198" s="12"/>
    </row>
    <row r="199" spans="17:27" x14ac:dyDescent="0.3">
      <c r="Q199" s="21" t="s">
        <v>68</v>
      </c>
      <c r="R199" s="21" t="s">
        <v>2</v>
      </c>
      <c r="S199" s="21" t="s">
        <v>4</v>
      </c>
      <c r="T199" s="21" t="s">
        <v>0</v>
      </c>
      <c r="U199" s="21" t="s">
        <v>3</v>
      </c>
      <c r="V199" s="21" t="s">
        <v>1</v>
      </c>
      <c r="W199" s="22" t="s">
        <v>6</v>
      </c>
      <c r="X199" s="21" t="s">
        <v>83</v>
      </c>
      <c r="Y199" s="22" t="s">
        <v>84</v>
      </c>
      <c r="Z199" s="22" t="s">
        <v>85</v>
      </c>
      <c r="AA199" s="21" t="s">
        <v>73</v>
      </c>
    </row>
    <row r="200" spans="17:27" x14ac:dyDescent="0.3">
      <c r="Q200" s="13" t="str">
        <f>_xlfn.CONCAT(Q119,"CtrlShare")</f>
        <v>UCRetr_CtrlShare</v>
      </c>
      <c r="R200" s="13" t="str">
        <f>_xlfn.CONCAT(E63,"*")</f>
        <v>RSD_DTA4_SH*</v>
      </c>
      <c r="S200" s="13" t="str">
        <f>E63</f>
        <v>RSD_DTA4_SH</v>
      </c>
      <c r="U200" s="13" t="str">
        <f>S200</f>
        <v>RSD_DTA4_SH</v>
      </c>
      <c r="W200" s="13" t="s">
        <v>86</v>
      </c>
      <c r="X200" s="75" t="e">
        <f>1+X201</f>
        <v>#DIV/0!</v>
      </c>
      <c r="Y200" s="12" t="s">
        <v>87</v>
      </c>
      <c r="Z200" s="12" t="s">
        <v>88</v>
      </c>
      <c r="AA200" s="13" t="str">
        <f>Q200</f>
        <v>UCRetr_CtrlShare</v>
      </c>
    </row>
    <row r="201" spans="17:27" x14ac:dyDescent="0.3">
      <c r="Q201" s="13"/>
      <c r="R201" s="13" t="str">
        <f>H63</f>
        <v>RSD_UMSH_DTA4</v>
      </c>
      <c r="S201" s="13" t="str">
        <f>S200</f>
        <v>RSD_DTA4_SH</v>
      </c>
      <c r="U201" s="13" t="str">
        <f>U200</f>
        <v>RSD_DTA4_SH</v>
      </c>
      <c r="X201" s="75" t="e">
        <f>-H77</f>
        <v>#DIV/0!</v>
      </c>
      <c r="Y201" s="12"/>
      <c r="Z201" s="12"/>
    </row>
    <row r="202" spans="17:27" x14ac:dyDescent="0.3">
      <c r="Q202" s="13"/>
      <c r="X202" s="75"/>
      <c r="Y202" s="12"/>
      <c r="Z202" s="12"/>
    </row>
    <row r="203" spans="17:27" x14ac:dyDescent="0.3">
      <c r="Q203" s="13"/>
      <c r="X203" s="75"/>
      <c r="Y203" s="12"/>
      <c r="Z203" s="12"/>
    </row>
    <row r="204" spans="17:27" x14ac:dyDescent="0.3">
      <c r="Q204" s="13"/>
      <c r="Y204" s="12"/>
      <c r="Z20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41"/>
  <sheetViews>
    <sheetView tabSelected="1" zoomScale="70" zoomScaleNormal="70" workbookViewId="0">
      <selection sqref="A1:XFD1048576"/>
    </sheetView>
  </sheetViews>
  <sheetFormatPr defaultRowHeight="14.4" x14ac:dyDescent="0.3"/>
  <cols>
    <col min="1" max="1" width="8.88671875" style="13"/>
    <col min="2" max="2" width="18" style="13" customWidth="1"/>
    <col min="3" max="3" width="23.88671875" style="13" customWidth="1"/>
    <col min="4" max="13" width="8.88671875" style="13"/>
    <col min="14" max="14" width="21.6640625" style="13" bestFit="1" customWidth="1"/>
    <col min="15" max="15" width="20.33203125" style="13" customWidth="1"/>
    <col min="16" max="16" width="8.88671875" style="13"/>
    <col min="17" max="17" width="20.88671875" style="18" customWidth="1"/>
    <col min="18" max="18" width="34.109375" style="13" customWidth="1"/>
    <col min="19" max="19" width="23.109375" style="13" customWidth="1"/>
    <col min="20" max="20" width="15.109375" style="13" customWidth="1"/>
    <col min="21" max="21" width="34.33203125" style="13" customWidth="1"/>
    <col min="22" max="22" width="37.88671875" style="13" customWidth="1"/>
    <col min="23" max="23" width="15.109375" style="13" customWidth="1"/>
    <col min="24" max="24" width="15" style="13" customWidth="1"/>
    <col min="25" max="25" width="34.88671875" style="13" customWidth="1"/>
    <col min="26" max="26" width="15" style="13" customWidth="1"/>
    <col min="27" max="27" width="22.6640625" style="13" customWidth="1"/>
    <col min="28" max="28" width="32.109375" style="13" bestFit="1" customWidth="1"/>
    <col min="29" max="29" width="25.6640625" style="13" customWidth="1"/>
    <col min="30" max="30" width="37.88671875" style="13" bestFit="1" customWidth="1"/>
    <col min="31" max="31" width="25.33203125" style="13" customWidth="1"/>
    <col min="32" max="32" width="17.88671875" style="13" customWidth="1"/>
    <col min="33" max="33" width="21.5546875" style="13" customWidth="1"/>
    <col min="34" max="16384" width="8.88671875" style="13"/>
  </cols>
  <sheetData>
    <row r="1" spans="1:30" x14ac:dyDescent="0.3">
      <c r="A1" s="13" t="s">
        <v>135</v>
      </c>
      <c r="B1" s="13" t="s">
        <v>136</v>
      </c>
      <c r="C1" s="13" t="s">
        <v>137</v>
      </c>
      <c r="D1" s="13" t="s">
        <v>138</v>
      </c>
      <c r="E1" s="13" t="s">
        <v>139</v>
      </c>
      <c r="F1" s="13" t="s">
        <v>140</v>
      </c>
      <c r="G1" s="13" t="s">
        <v>141</v>
      </c>
      <c r="H1" s="13" t="s">
        <v>142</v>
      </c>
      <c r="I1" s="13" t="s">
        <v>143</v>
      </c>
      <c r="J1" s="13" t="s">
        <v>144</v>
      </c>
      <c r="K1" s="13" t="s">
        <v>145</v>
      </c>
      <c r="L1" s="13" t="s">
        <v>132</v>
      </c>
    </row>
    <row r="2" spans="1:30" x14ac:dyDescent="0.3">
      <c r="A2" s="13" t="s">
        <v>57</v>
      </c>
      <c r="B2" s="13" t="s">
        <v>79</v>
      </c>
      <c r="C2" s="13" t="s">
        <v>126</v>
      </c>
      <c r="D2" s="13" t="s">
        <v>58</v>
      </c>
      <c r="E2" s="13" t="s">
        <v>58</v>
      </c>
      <c r="F2" s="13" t="s">
        <v>58</v>
      </c>
      <c r="G2" s="13">
        <v>2017</v>
      </c>
      <c r="H2" s="13" t="s">
        <v>58</v>
      </c>
      <c r="I2" s="13" t="s">
        <v>58</v>
      </c>
      <c r="J2" s="13" t="s">
        <v>58</v>
      </c>
      <c r="K2" s="13" t="s">
        <v>58</v>
      </c>
      <c r="L2" s="13">
        <v>70</v>
      </c>
      <c r="N2" s="13" t="str">
        <f>B2&amp;C2</f>
        <v>LIFETER_BU_TP</v>
      </c>
      <c r="O2" s="13">
        <f>L2</f>
        <v>70</v>
      </c>
    </row>
    <row r="3" spans="1:30" ht="17.399999999999999" x14ac:dyDescent="0.3">
      <c r="A3" s="13" t="s">
        <v>57</v>
      </c>
      <c r="B3" s="13" t="s">
        <v>79</v>
      </c>
      <c r="C3" s="13" t="s">
        <v>127</v>
      </c>
      <c r="D3" s="13" t="s">
        <v>58</v>
      </c>
      <c r="E3" s="13" t="s">
        <v>58</v>
      </c>
      <c r="F3" s="13" t="s">
        <v>58</v>
      </c>
      <c r="G3" s="13">
        <v>2017</v>
      </c>
      <c r="H3" s="13" t="s">
        <v>58</v>
      </c>
      <c r="I3" s="13" t="s">
        <v>58</v>
      </c>
      <c r="J3" s="13" t="s">
        <v>58</v>
      </c>
      <c r="K3" s="13" t="s">
        <v>58</v>
      </c>
      <c r="L3" s="13">
        <v>70</v>
      </c>
      <c r="N3" s="13" t="str">
        <f t="shared" ref="N3:N5" si="0">B3&amp;C3</f>
        <v>LIFETER_BU_TS</v>
      </c>
      <c r="O3" s="13">
        <f t="shared" ref="O3:O5" si="1">L3</f>
        <v>70</v>
      </c>
      <c r="S3" s="27" t="s">
        <v>66</v>
      </c>
      <c r="T3" s="27"/>
      <c r="U3" s="27"/>
      <c r="V3" s="27"/>
      <c r="W3" s="27"/>
      <c r="X3" s="27"/>
    </row>
    <row r="4" spans="1:30" x14ac:dyDescent="0.3">
      <c r="A4" s="13" t="s">
        <v>57</v>
      </c>
      <c r="B4" s="13" t="s">
        <v>67</v>
      </c>
      <c r="C4" s="13" t="s">
        <v>126</v>
      </c>
      <c r="D4" s="13" t="s">
        <v>58</v>
      </c>
      <c r="E4" s="13" t="s">
        <v>58</v>
      </c>
      <c r="F4" s="13" t="s">
        <v>58</v>
      </c>
      <c r="G4" s="13">
        <v>2017</v>
      </c>
      <c r="H4" s="13" t="s">
        <v>58</v>
      </c>
      <c r="I4" s="13" t="s">
        <v>58</v>
      </c>
      <c r="J4" s="13" t="s">
        <v>58</v>
      </c>
      <c r="K4" s="13" t="s">
        <v>58</v>
      </c>
      <c r="L4" s="13">
        <v>40000</v>
      </c>
      <c r="N4" s="13" t="str">
        <f t="shared" si="0"/>
        <v>STOCKTER_BU_TP</v>
      </c>
      <c r="O4" s="13">
        <f t="shared" si="1"/>
        <v>40000</v>
      </c>
      <c r="S4" s="28" t="s">
        <v>59</v>
      </c>
      <c r="T4" s="29"/>
      <c r="U4" s="29"/>
      <c r="W4" s="30" t="s">
        <v>59</v>
      </c>
      <c r="X4" s="29"/>
    </row>
    <row r="5" spans="1:30" x14ac:dyDescent="0.3">
      <c r="A5" s="13" t="s">
        <v>57</v>
      </c>
      <c r="B5" s="13" t="s">
        <v>67</v>
      </c>
      <c r="C5" s="13" t="s">
        <v>127</v>
      </c>
      <c r="D5" s="13" t="s">
        <v>58</v>
      </c>
      <c r="E5" s="13" t="s">
        <v>58</v>
      </c>
      <c r="F5" s="13" t="s">
        <v>58</v>
      </c>
      <c r="G5" s="13">
        <v>2017</v>
      </c>
      <c r="H5" s="13" t="s">
        <v>58</v>
      </c>
      <c r="I5" s="13" t="s">
        <v>58</v>
      </c>
      <c r="J5" s="13" t="s">
        <v>58</v>
      </c>
      <c r="K5" s="13" t="s">
        <v>58</v>
      </c>
      <c r="L5" s="13">
        <v>50000</v>
      </c>
      <c r="N5" s="13" t="str">
        <f t="shared" si="0"/>
        <v>STOCKTER_BU_TS</v>
      </c>
      <c r="O5" s="13">
        <f t="shared" si="1"/>
        <v>50000</v>
      </c>
      <c r="S5" s="31" t="s">
        <v>5</v>
      </c>
      <c r="T5" s="31" t="s">
        <v>6</v>
      </c>
      <c r="U5" s="31" t="s">
        <v>60</v>
      </c>
      <c r="V5" s="31" t="s">
        <v>61</v>
      </c>
      <c r="W5" s="32" t="s">
        <v>62</v>
      </c>
      <c r="X5" s="31" t="s">
        <v>132</v>
      </c>
    </row>
    <row r="6" spans="1:30" ht="18" thickBot="1" x14ac:dyDescent="0.35">
      <c r="N6" s="13" t="str">
        <f t="shared" ref="N6:N11" si="2">A6&amp;B6</f>
        <v/>
      </c>
      <c r="S6" s="33" t="s">
        <v>63</v>
      </c>
      <c r="T6" s="33"/>
      <c r="U6" s="33"/>
      <c r="V6" s="33"/>
      <c r="W6" s="34"/>
      <c r="X6" s="33">
        <v>3</v>
      </c>
      <c r="AA6" s="27" t="s">
        <v>76</v>
      </c>
    </row>
    <row r="7" spans="1:30" ht="15" thickBot="1" x14ac:dyDescent="0.35">
      <c r="N7" s="13" t="str">
        <f t="shared" si="2"/>
        <v/>
      </c>
      <c r="S7" s="33" t="s">
        <v>56</v>
      </c>
      <c r="T7" s="33"/>
      <c r="U7" s="33"/>
      <c r="V7" s="33"/>
      <c r="W7" s="35"/>
      <c r="X7" s="33" t="s">
        <v>81</v>
      </c>
      <c r="AA7" s="31" t="s">
        <v>132</v>
      </c>
      <c r="AC7" s="19" t="s">
        <v>1</v>
      </c>
      <c r="AD7" s="20" t="s">
        <v>80</v>
      </c>
    </row>
    <row r="8" spans="1:30" x14ac:dyDescent="0.3">
      <c r="N8" s="13" t="str">
        <f t="shared" si="2"/>
        <v/>
      </c>
      <c r="S8" s="36"/>
      <c r="T8" s="36"/>
      <c r="U8" s="37" t="s">
        <v>128</v>
      </c>
      <c r="V8" s="37" t="str">
        <f>"DumTER_"&amp;RIGHT(C2,2)&amp;""</f>
        <v>DumTER_TP</v>
      </c>
      <c r="W8" s="38">
        <v>2020</v>
      </c>
      <c r="X8" s="78">
        <f>AD8*(AA8)</f>
        <v>1148.5714285714284</v>
      </c>
      <c r="Z8" s="39" t="str">
        <f>C2</f>
        <v>TER_BU_TP</v>
      </c>
      <c r="AA8" s="40">
        <v>0.03</v>
      </c>
      <c r="AC8" s="79">
        <f>W8</f>
        <v>2020</v>
      </c>
      <c r="AD8" s="42">
        <f t="shared" ref="AD8:AD17" si="3">(-VLOOKUP("STOCKTER_BU_"&amp;RIGHT(V8,2),$N$2:$O$7,2,0)/VLOOKUP("LIFETER_BU_"&amp;RIGHT(V8,2),$N$2:$O$7,2,0)*(W8-$G$2)+VLOOKUP("STOCKTER_BU_"&amp;RIGHT(V8,2),$N$2:$O$7,2,0))</f>
        <v>38285.714285714283</v>
      </c>
    </row>
    <row r="9" spans="1:30" x14ac:dyDescent="0.3">
      <c r="N9" s="13" t="str">
        <f t="shared" si="2"/>
        <v/>
      </c>
      <c r="S9" s="43"/>
      <c r="T9" s="43"/>
      <c r="U9" s="44" t="s">
        <v>128</v>
      </c>
      <c r="V9" s="44" t="str">
        <f>"DumTER_"&amp;RIGHT(C3,2)&amp;""</f>
        <v>DumTER_TS</v>
      </c>
      <c r="W9" s="45">
        <f>W8</f>
        <v>2020</v>
      </c>
      <c r="X9" s="46">
        <f>AD9*(AA9)</f>
        <v>1435.7142857142856</v>
      </c>
      <c r="Z9" s="39" t="str">
        <f>C3</f>
        <v>TER_BU_TS</v>
      </c>
      <c r="AA9" s="40">
        <v>0.03</v>
      </c>
      <c r="AC9" s="47">
        <f t="shared" ref="AC9:AC17" si="4">W9</f>
        <v>2020</v>
      </c>
      <c r="AD9" s="80">
        <f t="shared" si="3"/>
        <v>47857.142857142855</v>
      </c>
    </row>
    <row r="10" spans="1:30" x14ac:dyDescent="0.3">
      <c r="N10" s="13" t="str">
        <f t="shared" si="2"/>
        <v/>
      </c>
      <c r="S10" s="36"/>
      <c r="T10" s="36"/>
      <c r="U10" s="37" t="s">
        <v>128</v>
      </c>
      <c r="V10" s="37" t="str">
        <f>"DumTER_"&amp;RIGHT(C2,2)&amp;""</f>
        <v>DumTER_TP</v>
      </c>
      <c r="W10" s="38">
        <f>BASE_YEAR+8</f>
        <v>2025</v>
      </c>
      <c r="X10" s="51">
        <f>IF(X8+AD8*AA8*($W10-$W8)&gt;AD10,AD10,X8+AD10*AA8*($W10-$W8))</f>
        <v>6462.8571428571431</v>
      </c>
      <c r="AC10" s="41">
        <f t="shared" si="4"/>
        <v>2025</v>
      </c>
      <c r="AD10" s="42">
        <f t="shared" si="3"/>
        <v>35428.571428571428</v>
      </c>
    </row>
    <row r="11" spans="1:30" x14ac:dyDescent="0.3">
      <c r="N11" s="13" t="str">
        <f t="shared" si="2"/>
        <v/>
      </c>
      <c r="S11" s="43"/>
      <c r="T11" s="43"/>
      <c r="U11" s="44" t="s">
        <v>128</v>
      </c>
      <c r="V11" s="44" t="str">
        <f>"DumTER_"&amp;RIGHT(C3,2)&amp;""</f>
        <v>DumTER_TS</v>
      </c>
      <c r="W11" s="45">
        <f>W10</f>
        <v>2025</v>
      </c>
      <c r="X11" s="46">
        <f>IF(X9+AD9*AA9*($W11-$W9)&gt;AD11,AD11,X9+AD11*AA9*($W11-$W9))</f>
        <v>8078.5714285714275</v>
      </c>
      <c r="AC11" s="47">
        <f t="shared" si="4"/>
        <v>2025</v>
      </c>
      <c r="AD11" s="80">
        <f t="shared" si="3"/>
        <v>44285.714285714283</v>
      </c>
    </row>
    <row r="12" spans="1:30" x14ac:dyDescent="0.3">
      <c r="S12" s="36"/>
      <c r="T12" s="36"/>
      <c r="U12" s="37" t="s">
        <v>128</v>
      </c>
      <c r="V12" s="37" t="str">
        <f>"DumTER_"&amp;RIGHT(C2,2)&amp;""</f>
        <v>DumTER_TP</v>
      </c>
      <c r="W12" s="38">
        <f>BASE_YEAR+13</f>
        <v>2030</v>
      </c>
      <c r="X12" s="51">
        <f>IF(X10+AD10*AA8*($W12-$W10)&gt;AD12,AD12,X10+AD12*AA8*($W12-$W10))</f>
        <v>11348.571428571428</v>
      </c>
      <c r="AC12" s="41">
        <f t="shared" si="4"/>
        <v>2030</v>
      </c>
      <c r="AD12" s="42">
        <f t="shared" si="3"/>
        <v>32571.428571428572</v>
      </c>
    </row>
    <row r="13" spans="1:30" x14ac:dyDescent="0.3">
      <c r="S13" s="43"/>
      <c r="T13" s="43"/>
      <c r="U13" s="44" t="s">
        <v>128</v>
      </c>
      <c r="V13" s="44" t="str">
        <f>"DumTER_"&amp;RIGHT(C3,2)&amp;""</f>
        <v>DumTER_TS</v>
      </c>
      <c r="W13" s="45">
        <f>W12</f>
        <v>2030</v>
      </c>
      <c r="X13" s="46">
        <f>IF(X11+AD11*AA9*($W13-$W11)&gt;AD13,AD13,X11+AD13*AA9*($W13-$W11))</f>
        <v>14185.714285714284</v>
      </c>
      <c r="AC13" s="47">
        <f t="shared" si="4"/>
        <v>2030</v>
      </c>
      <c r="AD13" s="80">
        <f t="shared" si="3"/>
        <v>40714.28571428571</v>
      </c>
    </row>
    <row r="14" spans="1:30" x14ac:dyDescent="0.3">
      <c r="S14" s="36"/>
      <c r="T14" s="36"/>
      <c r="U14" s="37" t="s">
        <v>128</v>
      </c>
      <c r="V14" s="37" t="str">
        <f>"DumTER_"&amp;RIGHT(C2,2)&amp;""</f>
        <v>DumTER_TP</v>
      </c>
      <c r="W14" s="38">
        <f>BASE_YEAR+23</f>
        <v>2040</v>
      </c>
      <c r="X14" s="51">
        <f>IF(X12+AD12*AA8*($W14-$W12)&gt;AD14,AD14,X12+AD14*AA8*($W14-$W12))</f>
        <v>19405.714285714283</v>
      </c>
      <c r="AC14" s="41">
        <f t="shared" si="4"/>
        <v>2040</v>
      </c>
      <c r="AD14" s="42">
        <f t="shared" si="3"/>
        <v>26857.142857142855</v>
      </c>
    </row>
    <row r="15" spans="1:30" x14ac:dyDescent="0.3">
      <c r="S15" s="43"/>
      <c r="T15" s="43"/>
      <c r="U15" s="44" t="s">
        <v>128</v>
      </c>
      <c r="V15" s="44" t="str">
        <f>"DumTER_"&amp;RIGHT(C3,2)&amp;""</f>
        <v>DumTER_TS</v>
      </c>
      <c r="W15" s="45">
        <f>W14</f>
        <v>2040</v>
      </c>
      <c r="X15" s="46">
        <f>IF(X13+AD13*AA9*($W15-$W13)&gt;AD15,AD15,X13+AD15*AA9*($W15-$W13))</f>
        <v>24257.142857142855</v>
      </c>
      <c r="AC15" s="47">
        <f t="shared" si="4"/>
        <v>2040</v>
      </c>
      <c r="AD15" s="80">
        <f t="shared" si="3"/>
        <v>33571.428571428565</v>
      </c>
    </row>
    <row r="16" spans="1:30" x14ac:dyDescent="0.3">
      <c r="S16" s="36"/>
      <c r="T16" s="36"/>
      <c r="U16" s="37" t="s">
        <v>128</v>
      </c>
      <c r="V16" s="37" t="str">
        <f>"DumTER_"&amp;RIGHT(C2,2)&amp;""</f>
        <v>DumTER_TP</v>
      </c>
      <c r="W16" s="38">
        <f>BASE_YEAR+33</f>
        <v>2050</v>
      </c>
      <c r="X16" s="51">
        <f>IF(X14+AD14*AA8*($W16-$W14)&gt;AD16,AD16,X14+AD16*AA8*($W16-$W14))</f>
        <v>21142.857142857141</v>
      </c>
      <c r="AC16" s="41">
        <f t="shared" si="4"/>
        <v>2050</v>
      </c>
      <c r="AD16" s="42">
        <f t="shared" si="3"/>
        <v>21142.857142857141</v>
      </c>
    </row>
    <row r="17" spans="2:30" x14ac:dyDescent="0.3">
      <c r="S17" s="43"/>
      <c r="T17" s="43"/>
      <c r="U17" s="44" t="s">
        <v>128</v>
      </c>
      <c r="V17" s="44" t="str">
        <f>"DumTER_"&amp;RIGHT(C3,2)&amp;""</f>
        <v>DumTER_TS</v>
      </c>
      <c r="W17" s="45">
        <f>W16</f>
        <v>2050</v>
      </c>
      <c r="X17" s="46">
        <f>IF(X15+AD15*AA9*($W17-$W15)&gt;AD17,AD17,X15+AD17*AA9*($W17-$W15))</f>
        <v>26428.571428571428</v>
      </c>
      <c r="AC17" s="47">
        <f t="shared" si="4"/>
        <v>2050</v>
      </c>
      <c r="AD17" s="80">
        <f t="shared" si="3"/>
        <v>26428.571428571428</v>
      </c>
    </row>
    <row r="19" spans="2:30" ht="15" thickBot="1" x14ac:dyDescent="0.35"/>
    <row r="20" spans="2:30" ht="15" thickBot="1" x14ac:dyDescent="0.35">
      <c r="Q20" s="13"/>
      <c r="V20" s="53" t="s">
        <v>74</v>
      </c>
      <c r="W20" s="54">
        <v>3</v>
      </c>
    </row>
    <row r="21" spans="2:30" x14ac:dyDescent="0.3">
      <c r="Q21" s="14" t="s">
        <v>133</v>
      </c>
    </row>
    <row r="22" spans="2:30" x14ac:dyDescent="0.3">
      <c r="Q22" s="13"/>
    </row>
    <row r="23" spans="2:30" x14ac:dyDescent="0.3">
      <c r="Q23" s="13"/>
      <c r="W23" s="55"/>
    </row>
    <row r="24" spans="2:30" ht="15" thickBot="1" x14ac:dyDescent="0.35">
      <c r="Q24" s="13"/>
      <c r="U24" s="14" t="s">
        <v>71</v>
      </c>
    </row>
    <row r="25" spans="2:30" x14ac:dyDescent="0.3">
      <c r="B25" s="56" t="s">
        <v>75</v>
      </c>
      <c r="C25" s="57"/>
      <c r="Q25" s="21" t="s">
        <v>68</v>
      </c>
      <c r="R25" s="21" t="s">
        <v>2</v>
      </c>
      <c r="S25" s="21" t="s">
        <v>3</v>
      </c>
      <c r="T25" s="21" t="s">
        <v>5</v>
      </c>
      <c r="U25" s="21" t="s">
        <v>1</v>
      </c>
      <c r="V25" s="21" t="s">
        <v>70</v>
      </c>
      <c r="W25" s="22" t="s">
        <v>132</v>
      </c>
      <c r="X25" s="21" t="s">
        <v>72</v>
      </c>
      <c r="Y25" s="21" t="s">
        <v>73</v>
      </c>
    </row>
    <row r="26" spans="2:30" x14ac:dyDescent="0.3">
      <c r="B26" s="59">
        <v>1</v>
      </c>
      <c r="C26" s="60" t="str">
        <f>V8</f>
        <v>DumTER_TP</v>
      </c>
      <c r="O26" s="13">
        <v>1</v>
      </c>
      <c r="Q26" s="13" t="str">
        <f>"UCRetr_"&amp;MID(VLOOKUP(O26,$B$26:$C$40,2,0),4,10)</f>
        <v>UCRetr_TER_TP</v>
      </c>
      <c r="R26" s="13" t="s">
        <v>128</v>
      </c>
      <c r="S26" s="13" t="str">
        <f>VLOOKUP(O26,$B$26:$C$27,2,0)&amp;"_Ret*"</f>
        <v>DumTER_TP_Ret*</v>
      </c>
      <c r="U26" s="13">
        <f>$W$8</f>
        <v>2020</v>
      </c>
      <c r="V26" s="23">
        <v>1</v>
      </c>
      <c r="W26" s="23">
        <f>VLOOKUP(LEFT($S26,9),$V$8:$X$9,W$20,0)</f>
        <v>1148.5714285714284</v>
      </c>
      <c r="X26" s="12">
        <v>5</v>
      </c>
      <c r="Y26" s="25" t="str">
        <f>"Upper limit of retrofits in "&amp;MID(VLOOKUP(O26,$B$26:$C$27,2,0),4,10)</f>
        <v>Upper limit of retrofits in TER_TP</v>
      </c>
    </row>
    <row r="27" spans="2:30" x14ac:dyDescent="0.3">
      <c r="B27" s="81">
        <f>B26+1</f>
        <v>2</v>
      </c>
      <c r="C27" s="82" t="str">
        <f>V9</f>
        <v>DumTER_TS</v>
      </c>
      <c r="Q27" s="13"/>
      <c r="R27" s="13" t="s">
        <v>128</v>
      </c>
      <c r="S27" s="13" t="str">
        <f>S26</f>
        <v>DumTER_TP_Ret*</v>
      </c>
      <c r="U27" s="13">
        <f>$W$10</f>
        <v>2025</v>
      </c>
      <c r="V27" s="23">
        <v>1</v>
      </c>
      <c r="W27" s="23">
        <f>VLOOKUP(LEFT($S27,9),$V$10:$X$11,W$20,0)</f>
        <v>6462.8571428571431</v>
      </c>
      <c r="X27" s="12"/>
    </row>
    <row r="28" spans="2:30" x14ac:dyDescent="0.3">
      <c r="Q28" s="13"/>
      <c r="R28" s="13" t="s">
        <v>128</v>
      </c>
      <c r="S28" s="13" t="str">
        <f t="shared" ref="S28:S30" si="5">S27</f>
        <v>DumTER_TP_Ret*</v>
      </c>
      <c r="U28" s="13">
        <f>$W$12</f>
        <v>2030</v>
      </c>
      <c r="V28" s="23">
        <v>1</v>
      </c>
      <c r="W28" s="23">
        <f>VLOOKUP(LEFT($S28,9),$V$12:$X$13,W$20,0)</f>
        <v>11348.571428571428</v>
      </c>
      <c r="X28" s="12"/>
    </row>
    <row r="29" spans="2:30" x14ac:dyDescent="0.3">
      <c r="Q29" s="13"/>
      <c r="R29" s="13" t="s">
        <v>128</v>
      </c>
      <c r="S29" s="13" t="str">
        <f t="shared" si="5"/>
        <v>DumTER_TP_Ret*</v>
      </c>
      <c r="U29" s="13">
        <f>$W$14</f>
        <v>2040</v>
      </c>
      <c r="V29" s="23">
        <v>1</v>
      </c>
      <c r="W29" s="23">
        <f>VLOOKUP(LEFT($S29,9),$V$14:$X$15,W$20,0)</f>
        <v>19405.714285714283</v>
      </c>
      <c r="X29" s="12"/>
    </row>
    <row r="30" spans="2:30" x14ac:dyDescent="0.3">
      <c r="Q30" s="13"/>
      <c r="R30" s="13" t="s">
        <v>128</v>
      </c>
      <c r="S30" s="13" t="str">
        <f t="shared" si="5"/>
        <v>DumTER_TP_Ret*</v>
      </c>
      <c r="U30" s="13">
        <f>$W$16</f>
        <v>2050</v>
      </c>
      <c r="V30" s="23">
        <v>1</v>
      </c>
      <c r="W30" s="23">
        <f>VLOOKUP(LEFT($S30,9),$V$16:$X$17,W$20,0)</f>
        <v>21142.857142857141</v>
      </c>
      <c r="X30" s="12"/>
    </row>
    <row r="31" spans="2:30" x14ac:dyDescent="0.3">
      <c r="Q31" s="13"/>
      <c r="Z31" s="18"/>
      <c r="AA31" s="18"/>
      <c r="AB31" s="18"/>
    </row>
    <row r="32" spans="2:30" x14ac:dyDescent="0.3">
      <c r="AB32" s="18"/>
      <c r="AC32" s="18"/>
    </row>
    <row r="33" spans="15:30" x14ac:dyDescent="0.3">
      <c r="Q33" s="13"/>
      <c r="U33" s="14" t="s">
        <v>71</v>
      </c>
      <c r="AB33" s="18"/>
      <c r="AC33" s="18"/>
    </row>
    <row r="34" spans="15:30" x14ac:dyDescent="0.3">
      <c r="Q34" s="21" t="s">
        <v>68</v>
      </c>
      <c r="R34" s="21" t="s">
        <v>2</v>
      </c>
      <c r="S34" s="21" t="s">
        <v>3</v>
      </c>
      <c r="T34" s="21" t="s">
        <v>5</v>
      </c>
      <c r="U34" s="21" t="s">
        <v>1</v>
      </c>
      <c r="V34" s="21" t="s">
        <v>70</v>
      </c>
      <c r="W34" s="22" t="s">
        <v>132</v>
      </c>
      <c r="X34" s="21" t="s">
        <v>72</v>
      </c>
      <c r="Y34" s="21" t="s">
        <v>73</v>
      </c>
      <c r="AB34" s="18"/>
      <c r="AC34" s="18"/>
      <c r="AD34" s="18"/>
    </row>
    <row r="35" spans="15:30" x14ac:dyDescent="0.3">
      <c r="O35" s="13">
        <f>O26+1</f>
        <v>2</v>
      </c>
      <c r="Q35" s="13" t="str">
        <f>"UCRetr_"&amp;MID(VLOOKUP(O35,$B$26:$C$40,2,0),4,10)</f>
        <v>UCRetr_TER_TS</v>
      </c>
      <c r="R35" s="13" t="s">
        <v>128</v>
      </c>
      <c r="S35" s="13" t="str">
        <f>VLOOKUP(O35,$B$26:$C$27,2,0)&amp;"_Ret*"</f>
        <v>DumTER_TS_Ret*</v>
      </c>
      <c r="U35" s="13">
        <f>$W$8</f>
        <v>2020</v>
      </c>
      <c r="V35" s="23">
        <v>1</v>
      </c>
      <c r="W35" s="23">
        <f>VLOOKUP(LEFT($S35,9),$V$8:$X$9,W$20,0)</f>
        <v>1435.7142857142856</v>
      </c>
      <c r="X35" s="12">
        <v>5</v>
      </c>
      <c r="Y35" s="25" t="str">
        <f>"Upper limit of retrofits in "&amp;MID(VLOOKUP(O35,$B$26:$C$27,2,0),4,10)</f>
        <v>Upper limit of retrofits in TER_TS</v>
      </c>
      <c r="AB35" s="18"/>
      <c r="AC35" s="18"/>
      <c r="AD35" s="18"/>
    </row>
    <row r="36" spans="15:30" x14ac:dyDescent="0.3">
      <c r="Q36" s="13"/>
      <c r="R36" s="13" t="s">
        <v>128</v>
      </c>
      <c r="S36" s="13" t="str">
        <f>S35</f>
        <v>DumTER_TS_Ret*</v>
      </c>
      <c r="U36" s="13">
        <f>$W$10</f>
        <v>2025</v>
      </c>
      <c r="V36" s="23">
        <v>1</v>
      </c>
      <c r="W36" s="23">
        <f>VLOOKUP(LEFT($S36,9),$V$10:$X$11,W$20,0)</f>
        <v>8078.5714285714275</v>
      </c>
      <c r="X36" s="12"/>
      <c r="AB36" s="18"/>
      <c r="AC36" s="18"/>
      <c r="AD36" s="18"/>
    </row>
    <row r="37" spans="15:30" x14ac:dyDescent="0.3">
      <c r="Q37" s="13"/>
      <c r="R37" s="13" t="s">
        <v>128</v>
      </c>
      <c r="S37" s="13" t="str">
        <f t="shared" ref="S37:S39" si="6">S36</f>
        <v>DumTER_TS_Ret*</v>
      </c>
      <c r="U37" s="13">
        <f>$W$12</f>
        <v>2030</v>
      </c>
      <c r="V37" s="23">
        <v>1</v>
      </c>
      <c r="W37" s="23">
        <f>VLOOKUP(LEFT($S37,9),$V$12:$X$13,W$20,0)</f>
        <v>14185.714285714284</v>
      </c>
      <c r="X37" s="12"/>
      <c r="AB37" s="18"/>
      <c r="AC37" s="18"/>
      <c r="AD37" s="18"/>
    </row>
    <row r="38" spans="15:30" x14ac:dyDescent="0.3">
      <c r="Q38" s="13"/>
      <c r="R38" s="13" t="s">
        <v>128</v>
      </c>
      <c r="S38" s="13" t="str">
        <f t="shared" si="6"/>
        <v>DumTER_TS_Ret*</v>
      </c>
      <c r="U38" s="13">
        <f>$W$14</f>
        <v>2040</v>
      </c>
      <c r="V38" s="23">
        <v>1</v>
      </c>
      <c r="W38" s="23">
        <f>VLOOKUP(LEFT($S38,9),$V$14:$X$15,W$20,0)</f>
        <v>24257.142857142855</v>
      </c>
      <c r="X38" s="12"/>
      <c r="AB38" s="18"/>
      <c r="AC38" s="18"/>
      <c r="AD38" s="18"/>
    </row>
    <row r="39" spans="15:30" x14ac:dyDescent="0.3">
      <c r="Q39" s="13"/>
      <c r="R39" s="13" t="s">
        <v>128</v>
      </c>
      <c r="S39" s="13" t="str">
        <f t="shared" si="6"/>
        <v>DumTER_TS_Ret*</v>
      </c>
      <c r="U39" s="13">
        <f>$W$16</f>
        <v>2050</v>
      </c>
      <c r="V39" s="23">
        <v>1</v>
      </c>
      <c r="W39" s="23">
        <f>VLOOKUP(LEFT($S39,9),$V$16:$X$17,W$20,0)</f>
        <v>26428.571428571428</v>
      </c>
      <c r="X39" s="12"/>
      <c r="AB39" s="18"/>
      <c r="AC39" s="18"/>
      <c r="AD39" s="18"/>
    </row>
    <row r="40" spans="15:30" x14ac:dyDescent="0.3">
      <c r="Q40" s="13"/>
      <c r="AB40" s="18"/>
      <c r="AC40" s="18"/>
      <c r="AD40" s="18"/>
    </row>
    <row r="41" spans="15:30" x14ac:dyDescent="0.3">
      <c r="AC41" s="18"/>
      <c r="AD4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3"/>
  <sheetViews>
    <sheetView workbookViewId="0">
      <selection activeCell="C11" sqref="C11"/>
    </sheetView>
  </sheetViews>
  <sheetFormatPr defaultRowHeight="14.4" x14ac:dyDescent="0.3"/>
  <cols>
    <col min="1" max="1" width="20.6640625" customWidth="1"/>
    <col min="2" max="2" width="35.109375" customWidth="1"/>
    <col min="3" max="3" width="26.88671875" customWidth="1"/>
    <col min="5" max="5" width="10.88671875" bestFit="1" customWidth="1"/>
  </cols>
  <sheetData>
    <row r="1" spans="1:6" x14ac:dyDescent="0.3">
      <c r="A1" s="1" t="s">
        <v>11</v>
      </c>
      <c r="B1" s="2"/>
      <c r="E1" s="3" t="s">
        <v>12</v>
      </c>
      <c r="F1" s="4">
        <v>2017</v>
      </c>
    </row>
    <row r="2" spans="1:6" ht="15.6" x14ac:dyDescent="0.3">
      <c r="A2" s="5" t="s">
        <v>13</v>
      </c>
      <c r="B2" s="6" t="s">
        <v>14</v>
      </c>
      <c r="E2" s="3" t="s">
        <v>15</v>
      </c>
      <c r="F2" s="5">
        <v>2050</v>
      </c>
    </row>
    <row r="3" spans="1:6" ht="15.6" x14ac:dyDescent="0.3">
      <c r="A3" s="5" t="s">
        <v>16</v>
      </c>
      <c r="B3" s="6" t="s">
        <v>122</v>
      </c>
    </row>
    <row r="4" spans="1:6" ht="15.6" x14ac:dyDescent="0.3">
      <c r="A4" s="5" t="s">
        <v>17</v>
      </c>
      <c r="B4" s="6" t="s">
        <v>18</v>
      </c>
    </row>
    <row r="5" spans="1:6" ht="15.6" x14ac:dyDescent="0.3">
      <c r="A5" s="5" t="s">
        <v>19</v>
      </c>
      <c r="B5" s="6" t="s">
        <v>20</v>
      </c>
      <c r="C5" s="7"/>
    </row>
    <row r="8" spans="1:6" x14ac:dyDescent="0.3">
      <c r="A8" s="11" t="s">
        <v>21</v>
      </c>
      <c r="B8" s="11"/>
    </row>
    <row r="10" spans="1:6" x14ac:dyDescent="0.3">
      <c r="A10" s="1" t="s">
        <v>5</v>
      </c>
      <c r="B10" s="1" t="s">
        <v>22</v>
      </c>
      <c r="C10" s="1" t="s">
        <v>23</v>
      </c>
      <c r="D10" s="1" t="s">
        <v>24</v>
      </c>
      <c r="E10" s="1" t="s">
        <v>25</v>
      </c>
    </row>
    <row r="11" spans="1:6" x14ac:dyDescent="0.3">
      <c r="A11" s="8" t="s">
        <v>26</v>
      </c>
      <c r="B11" s="5" t="s">
        <v>27</v>
      </c>
      <c r="C11" s="5" t="s">
        <v>28</v>
      </c>
      <c r="D11" s="9" t="s">
        <v>29</v>
      </c>
      <c r="E11" s="10"/>
    </row>
    <row r="12" spans="1:6" x14ac:dyDescent="0.3">
      <c r="A12" s="8" t="s">
        <v>30</v>
      </c>
      <c r="B12" s="5" t="s">
        <v>31</v>
      </c>
      <c r="C12" s="5" t="s">
        <v>32</v>
      </c>
      <c r="D12" s="10" t="s">
        <v>123</v>
      </c>
      <c r="E12" s="10" t="str">
        <f>B3&amp;"/"&amp;B2</f>
        <v>M$/PJ</v>
      </c>
    </row>
    <row r="13" spans="1:6" x14ac:dyDescent="0.3">
      <c r="A13" s="8" t="s">
        <v>33</v>
      </c>
      <c r="B13" s="5" t="s">
        <v>34</v>
      </c>
      <c r="C13" s="5" t="s">
        <v>28</v>
      </c>
      <c r="D13" s="9" t="str">
        <f>B2&amp;"/year"</f>
        <v>PJ/year</v>
      </c>
      <c r="E13" s="10"/>
    </row>
    <row r="14" spans="1:6" x14ac:dyDescent="0.3">
      <c r="A14" s="8" t="s">
        <v>35</v>
      </c>
      <c r="B14" s="5" t="s">
        <v>36</v>
      </c>
      <c r="C14" s="5" t="s">
        <v>28</v>
      </c>
      <c r="D14" s="10" t="s">
        <v>124</v>
      </c>
      <c r="E14" s="10" t="str">
        <f>B3&amp;"/"&amp;B2&amp;"/a"</f>
        <v>M$/PJ/a</v>
      </c>
    </row>
    <row r="15" spans="1:6" x14ac:dyDescent="0.3">
      <c r="A15" s="8" t="s">
        <v>37</v>
      </c>
      <c r="B15" s="5" t="s">
        <v>38</v>
      </c>
      <c r="C15" s="5" t="s">
        <v>28</v>
      </c>
      <c r="D15" s="10" t="s">
        <v>123</v>
      </c>
      <c r="E15" s="10" t="str">
        <f>B3&amp;"/"&amp;B2</f>
        <v>M$/PJ</v>
      </c>
    </row>
    <row r="16" spans="1:6" x14ac:dyDescent="0.3">
      <c r="A16" s="8" t="s">
        <v>10</v>
      </c>
      <c r="B16" s="5" t="s">
        <v>39</v>
      </c>
      <c r="C16" s="5" t="s">
        <v>28</v>
      </c>
      <c r="D16" s="10" t="s">
        <v>40</v>
      </c>
      <c r="E16" s="10" t="str">
        <f>B2&amp;"/"&amp;B5</f>
        <v>PJ/GW</v>
      </c>
    </row>
    <row r="17" spans="1:5" x14ac:dyDescent="0.3">
      <c r="A17" s="8" t="s">
        <v>26</v>
      </c>
      <c r="B17" s="5" t="s">
        <v>27</v>
      </c>
      <c r="C17" s="5" t="s">
        <v>28</v>
      </c>
      <c r="D17" s="9" t="s">
        <v>29</v>
      </c>
      <c r="E17" s="10"/>
    </row>
    <row r="18" spans="1:5" ht="28.8" x14ac:dyDescent="0.3">
      <c r="A18" s="8" t="s">
        <v>9</v>
      </c>
      <c r="B18" s="5" t="s">
        <v>41</v>
      </c>
      <c r="C18" s="5"/>
      <c r="D18" s="9" t="s">
        <v>42</v>
      </c>
      <c r="E18" s="10" t="s">
        <v>43</v>
      </c>
    </row>
    <row r="19" spans="1:5" x14ac:dyDescent="0.3">
      <c r="A19" s="8" t="s">
        <v>10</v>
      </c>
      <c r="B19" s="5" t="s">
        <v>44</v>
      </c>
      <c r="C19" s="5"/>
      <c r="D19" s="9" t="str">
        <f>IF(B2="PJ","TJ/unit","GJ/unit")</f>
        <v>TJ/unit</v>
      </c>
      <c r="E19" s="10"/>
    </row>
    <row r="20" spans="1:5" x14ac:dyDescent="0.3">
      <c r="A20" s="8" t="s">
        <v>45</v>
      </c>
      <c r="B20" s="5" t="s">
        <v>46</v>
      </c>
      <c r="C20" s="5" t="s">
        <v>28</v>
      </c>
      <c r="D20" s="10" t="s">
        <v>47</v>
      </c>
      <c r="E20" s="10"/>
    </row>
    <row r="21" spans="1:5" x14ac:dyDescent="0.3">
      <c r="A21" s="8" t="s">
        <v>9</v>
      </c>
      <c r="B21" s="5" t="s">
        <v>41</v>
      </c>
      <c r="C21" s="5" t="s">
        <v>48</v>
      </c>
      <c r="D21" s="9" t="str">
        <f>B2&amp;"/year"</f>
        <v>PJ/year</v>
      </c>
      <c r="E21" s="10"/>
    </row>
    <row r="22" spans="1:5" x14ac:dyDescent="0.3">
      <c r="A22" s="8" t="s">
        <v>49</v>
      </c>
      <c r="B22" s="5" t="s">
        <v>50</v>
      </c>
      <c r="C22" s="5" t="s">
        <v>51</v>
      </c>
      <c r="D22" s="9" t="s">
        <v>52</v>
      </c>
      <c r="E22" s="10"/>
    </row>
    <row r="23" spans="1:5" x14ac:dyDescent="0.3">
      <c r="A23" s="8" t="s">
        <v>53</v>
      </c>
      <c r="B23" s="5" t="s">
        <v>54</v>
      </c>
      <c r="C23" s="5" t="s">
        <v>51</v>
      </c>
      <c r="D23" s="9" t="s">
        <v>52</v>
      </c>
      <c r="E23" s="10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Fill_Orders</vt:lpstr>
      <vt:lpstr>RSD_Retrofit_BND</vt:lpstr>
      <vt:lpstr>TER_Retrofit_BND</vt:lpstr>
      <vt:lpstr>General</vt:lpstr>
      <vt:lpstr>BASE_YEAR</vt:lpstr>
      <vt:lpstr>END_YEAR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252213537693023</vt:r8>
  </property>
</Properties>
</file>