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showObjects="placeholders"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rocco\Desktop\TIMES-CAC_v2021_Open\"/>
    </mc:Choice>
  </mc:AlternateContent>
  <xr:revisionPtr revIDLastSave="0" documentId="13_ncr:1_{D07DB7BA-397A-4D5E-8EB6-E4532174A197}" xr6:coauthVersionLast="47" xr6:coauthVersionMax="47" xr10:uidLastSave="{00000000-0000-0000-0000-000000000000}"/>
  <bookViews>
    <workbookView xWindow="372" yWindow="0" windowWidth="22668" windowHeight="12240" tabRatio="901" activeTab="4" xr2:uid="{00000000-000D-0000-FFFF-FFFF00000000}"/>
  </bookViews>
  <sheets>
    <sheet name="AGR_BAL" sheetId="138" r:id="rId1"/>
    <sheet name="AGR_Techs" sheetId="132" r:id="rId2"/>
    <sheet name="AGR_Fuels" sheetId="139" r:id="rId3"/>
    <sheet name="Emissions_Table" sheetId="134" r:id="rId4"/>
    <sheet name="Commodities" sheetId="135" r:id="rId5"/>
    <sheet name="General" sheetId="136" state="hidden" r:id="rId6"/>
    <sheet name="En.Bal-Final_Energy" sheetId="137" state="hidden" r:id="rId7"/>
  </sheets>
  <definedNames>
    <definedName name="BASE_YEAR">General!$F$1</definedName>
    <definedName name="END_YEAR">General!$F$2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1" i="132" l="1"/>
  <c r="F30" i="132"/>
  <c r="AT38" i="137" l="1"/>
  <c r="K49" i="132" l="1"/>
  <c r="K48" i="132"/>
  <c r="K47" i="132"/>
  <c r="K46" i="132"/>
  <c r="K45" i="132"/>
  <c r="K44" i="132"/>
  <c r="K43" i="132"/>
  <c r="K42" i="132"/>
  <c r="K41" i="132"/>
  <c r="I45" i="132" l="1"/>
  <c r="I47" i="132"/>
  <c r="I48" i="132"/>
  <c r="G41" i="132" l="1"/>
  <c r="P41" i="132" s="1"/>
  <c r="O41" i="132" s="1"/>
  <c r="N7" i="134" l="1"/>
  <c r="M7" i="134"/>
  <c r="L7" i="134"/>
  <c r="K7" i="134"/>
  <c r="J7" i="134"/>
  <c r="I7" i="134"/>
  <c r="H7" i="134"/>
  <c r="G7" i="134"/>
  <c r="F7" i="134"/>
  <c r="E7" i="134"/>
  <c r="D7" i="134"/>
  <c r="C7" i="134"/>
  <c r="N6" i="134"/>
  <c r="M6" i="134"/>
  <c r="L6" i="134"/>
  <c r="K6" i="134"/>
  <c r="J6" i="134"/>
  <c r="I6" i="134"/>
  <c r="H6" i="134"/>
  <c r="G6" i="134"/>
  <c r="F6" i="134"/>
  <c r="E6" i="134"/>
  <c r="D6" i="134"/>
  <c r="C6" i="134"/>
  <c r="X29" i="132" l="1"/>
  <c r="W29" i="132"/>
  <c r="F49" i="132"/>
  <c r="E49" i="132"/>
  <c r="D49" i="132"/>
  <c r="C49" i="132"/>
  <c r="B49" i="132"/>
  <c r="Z29" i="132"/>
  <c r="Y29" i="132"/>
  <c r="AE43" i="137"/>
  <c r="H5" i="138" s="1"/>
  <c r="AF43" i="137"/>
  <c r="I5" i="138" s="1"/>
  <c r="AJ43" i="137"/>
  <c r="BF43" i="137"/>
  <c r="M5" i="138" s="1"/>
  <c r="R14" i="138"/>
  <c r="N43" i="137"/>
  <c r="F5" i="138"/>
  <c r="K43" i="137"/>
  <c r="L43" i="137"/>
  <c r="E5" i="138"/>
  <c r="BT43" i="137"/>
  <c r="R5" i="138"/>
  <c r="BS43" i="137"/>
  <c r="Q5" i="138"/>
  <c r="Q20" i="138" s="1"/>
  <c r="AU43" i="137"/>
  <c r="L5" i="138"/>
  <c r="L21" i="138" s="1"/>
  <c r="Q43" i="132" s="1"/>
  <c r="G43" i="132" s="1"/>
  <c r="P43" i="132" s="1"/>
  <c r="O43" i="132" s="1"/>
  <c r="AS43" i="137"/>
  <c r="K5" i="138" s="1"/>
  <c r="AL43" i="137"/>
  <c r="J5" i="138" s="1"/>
  <c r="D10" i="138"/>
  <c r="E19" i="139"/>
  <c r="D18" i="139"/>
  <c r="E16" i="139"/>
  <c r="D15" i="139"/>
  <c r="D14" i="139"/>
  <c r="C4" i="134"/>
  <c r="P40" i="132"/>
  <c r="X28" i="132"/>
  <c r="X27" i="132"/>
  <c r="X26" i="132"/>
  <c r="X25" i="132"/>
  <c r="C45" i="132"/>
  <c r="W25" i="132"/>
  <c r="B45" i="132"/>
  <c r="Y25" i="132"/>
  <c r="Z25" i="132"/>
  <c r="X22" i="132"/>
  <c r="D45" i="132"/>
  <c r="X24" i="132"/>
  <c r="X23" i="132"/>
  <c r="X21" i="132"/>
  <c r="Q27" i="139"/>
  <c r="Q26" i="139"/>
  <c r="Q25" i="139"/>
  <c r="Q24" i="139"/>
  <c r="Q23" i="139"/>
  <c r="Q22" i="139"/>
  <c r="Q21" i="139"/>
  <c r="Q20" i="139"/>
  <c r="Q19" i="139"/>
  <c r="Q18" i="139"/>
  <c r="Q17" i="139"/>
  <c r="Q16" i="139"/>
  <c r="Q15" i="139"/>
  <c r="Q14" i="139"/>
  <c r="Q13" i="139"/>
  <c r="Q12" i="139"/>
  <c r="Q11" i="139"/>
  <c r="Q10" i="139"/>
  <c r="Q9" i="139"/>
  <c r="C10" i="139"/>
  <c r="Q40" i="132"/>
  <c r="D48" i="132"/>
  <c r="D47" i="132"/>
  <c r="D46" i="132"/>
  <c r="D44" i="132"/>
  <c r="D43" i="132"/>
  <c r="D42" i="132"/>
  <c r="D41" i="132"/>
  <c r="C48" i="132"/>
  <c r="W28" i="132"/>
  <c r="B48" i="132"/>
  <c r="Z28" i="132"/>
  <c r="Y28" i="132"/>
  <c r="C47" i="132"/>
  <c r="W27" i="132"/>
  <c r="B47" i="132"/>
  <c r="Y27" i="132"/>
  <c r="Z27" i="132"/>
  <c r="C46" i="132"/>
  <c r="W26" i="132"/>
  <c r="B46" i="132"/>
  <c r="Z26" i="132"/>
  <c r="Y26" i="132"/>
  <c r="C44" i="132"/>
  <c r="C43" i="132"/>
  <c r="C42" i="132"/>
  <c r="C41" i="132"/>
  <c r="W24" i="132"/>
  <c r="B44" i="132"/>
  <c r="W23" i="132"/>
  <c r="B43" i="132"/>
  <c r="W22" i="132"/>
  <c r="B42" i="132"/>
  <c r="Y22" i="132"/>
  <c r="Z22" i="132"/>
  <c r="Y23" i="132"/>
  <c r="Z23" i="132"/>
  <c r="Y24" i="132"/>
  <c r="Z24" i="132"/>
  <c r="W21" i="132"/>
  <c r="B41" i="132"/>
  <c r="H40" i="132"/>
  <c r="E32" i="132"/>
  <c r="C7" i="132"/>
  <c r="X20" i="132"/>
  <c r="D7" i="132"/>
  <c r="D6" i="132"/>
  <c r="W20" i="132"/>
  <c r="C23" i="138"/>
  <c r="D31" i="132"/>
  <c r="E48" i="132"/>
  <c r="C22" i="138"/>
  <c r="D30" i="132"/>
  <c r="E47" i="132"/>
  <c r="C21" i="138"/>
  <c r="D29" i="132"/>
  <c r="E45" i="132"/>
  <c r="C20" i="138"/>
  <c r="C11" i="138"/>
  <c r="C14" i="138"/>
  <c r="C13" i="138"/>
  <c r="C12" i="138"/>
  <c r="Z9" i="135"/>
  <c r="Z10" i="135"/>
  <c r="Z11" i="135"/>
  <c r="E43" i="132"/>
  <c r="E42" i="132"/>
  <c r="E46" i="132"/>
  <c r="E41" i="132"/>
  <c r="E44" i="132"/>
  <c r="B23" i="132"/>
  <c r="B35" i="132"/>
  <c r="D10" i="139"/>
  <c r="E10" i="139"/>
  <c r="P9" i="139"/>
  <c r="B10" i="139"/>
  <c r="R9" i="139"/>
  <c r="S9" i="139"/>
  <c r="Y21" i="132"/>
  <c r="Z21" i="132"/>
  <c r="Q10" i="138"/>
  <c r="Q6" i="138"/>
  <c r="Q19" i="138"/>
  <c r="D6" i="138"/>
  <c r="D19" i="138"/>
  <c r="C3" i="134"/>
  <c r="C6" i="132"/>
  <c r="X18" i="132"/>
  <c r="X19" i="132"/>
  <c r="C39" i="139"/>
  <c r="C31" i="139"/>
  <c r="C30" i="139"/>
  <c r="C29" i="139"/>
  <c r="C28" i="139"/>
  <c r="C27" i="139"/>
  <c r="C26" i="139"/>
  <c r="C25" i="139"/>
  <c r="C24" i="139"/>
  <c r="C23" i="139"/>
  <c r="C22" i="139"/>
  <c r="C21" i="139"/>
  <c r="C20" i="139"/>
  <c r="C17" i="139"/>
  <c r="C14" i="139"/>
  <c r="C13" i="139"/>
  <c r="C12" i="139"/>
  <c r="C11" i="139"/>
  <c r="D22" i="139"/>
  <c r="D4" i="134"/>
  <c r="E4" i="134"/>
  <c r="F4" i="134"/>
  <c r="G4" i="134"/>
  <c r="H4" i="134"/>
  <c r="I4" i="134"/>
  <c r="J4" i="134"/>
  <c r="K4" i="134"/>
  <c r="L4" i="134"/>
  <c r="M4" i="134"/>
  <c r="N4" i="134"/>
  <c r="D21" i="136"/>
  <c r="G40" i="132"/>
  <c r="E14" i="136"/>
  <c r="F1" i="136"/>
  <c r="S27" i="139"/>
  <c r="K18" i="132"/>
  <c r="E16" i="136"/>
  <c r="E15" i="136"/>
  <c r="E12" i="136"/>
  <c r="D19" i="136"/>
  <c r="Q18" i="132"/>
  <c r="D13" i="136"/>
  <c r="Z8" i="135"/>
  <c r="Z7" i="135"/>
  <c r="P9" i="135"/>
  <c r="P8" i="135"/>
  <c r="P7" i="135"/>
  <c r="I38" i="139"/>
  <c r="E7" i="132"/>
  <c r="E6" i="132"/>
  <c r="O18" i="132"/>
  <c r="N18" i="132"/>
  <c r="R18" i="132"/>
  <c r="H18" i="132"/>
  <c r="F5" i="132"/>
  <c r="D39" i="139"/>
  <c r="R27" i="139"/>
  <c r="S26" i="139"/>
  <c r="R26" i="139"/>
  <c r="S25" i="139"/>
  <c r="R25" i="139"/>
  <c r="S24" i="139"/>
  <c r="R24" i="139"/>
  <c r="S23" i="139"/>
  <c r="R23" i="139"/>
  <c r="S22" i="139"/>
  <c r="R22" i="139"/>
  <c r="S21" i="139"/>
  <c r="R21" i="139"/>
  <c r="S20" i="139"/>
  <c r="R20" i="139"/>
  <c r="S19" i="139"/>
  <c r="R19" i="139"/>
  <c r="S18" i="139"/>
  <c r="R18" i="139"/>
  <c r="S17" i="139"/>
  <c r="R17" i="139"/>
  <c r="S16" i="139"/>
  <c r="R16" i="139"/>
  <c r="S15" i="139"/>
  <c r="R15" i="139"/>
  <c r="S14" i="139"/>
  <c r="R14" i="139"/>
  <c r="S13" i="139"/>
  <c r="R13" i="139"/>
  <c r="S12" i="139"/>
  <c r="R12" i="139"/>
  <c r="S11" i="139"/>
  <c r="R11" i="139"/>
  <c r="S10" i="139"/>
  <c r="R10" i="139"/>
  <c r="Y18" i="132"/>
  <c r="Y19" i="132"/>
  <c r="Y20" i="132"/>
  <c r="D27" i="139"/>
  <c r="E40" i="139"/>
  <c r="D26" i="139"/>
  <c r="D25" i="139"/>
  <c r="D30" i="139"/>
  <c r="E31" i="139"/>
  <c r="D31" i="139"/>
  <c r="D29" i="139"/>
  <c r="E29" i="139"/>
  <c r="E30" i="139"/>
  <c r="D28" i="139"/>
  <c r="E26" i="139"/>
  <c r="E25" i="139"/>
  <c r="E27" i="139"/>
  <c r="E28" i="139"/>
  <c r="D24" i="139"/>
  <c r="E23" i="139"/>
  <c r="E24" i="139"/>
  <c r="D23" i="139"/>
  <c r="D17" i="139"/>
  <c r="E20" i="139"/>
  <c r="D20" i="139"/>
  <c r="E21" i="139"/>
  <c r="D21" i="139"/>
  <c r="E22" i="139"/>
  <c r="D12" i="139"/>
  <c r="E12" i="139"/>
  <c r="D13" i="139"/>
  <c r="E13" i="139"/>
  <c r="D11" i="139"/>
  <c r="E11" i="139"/>
  <c r="P27" i="139"/>
  <c r="B39" i="139"/>
  <c r="P19" i="139"/>
  <c r="B24" i="139"/>
  <c r="P20" i="139"/>
  <c r="B25" i="139"/>
  <c r="P21" i="139"/>
  <c r="B26" i="139"/>
  <c r="P25" i="139"/>
  <c r="B30" i="139"/>
  <c r="P18" i="139"/>
  <c r="B23" i="139"/>
  <c r="P22" i="139"/>
  <c r="B27" i="139"/>
  <c r="P23" i="139"/>
  <c r="B28" i="139"/>
  <c r="P24" i="139"/>
  <c r="B29" i="139"/>
  <c r="P26" i="139"/>
  <c r="B31" i="139"/>
  <c r="P10" i="139"/>
  <c r="B11" i="139"/>
  <c r="P11" i="139"/>
  <c r="B12" i="139"/>
  <c r="P12" i="139"/>
  <c r="B13" i="139"/>
  <c r="P13" i="139"/>
  <c r="B14" i="139"/>
  <c r="P14" i="139"/>
  <c r="B17" i="139"/>
  <c r="P15" i="139"/>
  <c r="B20" i="139"/>
  <c r="P16" i="139"/>
  <c r="B21" i="139"/>
  <c r="P17" i="139"/>
  <c r="B22" i="139"/>
  <c r="B6" i="134"/>
  <c r="B7" i="134"/>
  <c r="B5" i="134"/>
  <c r="Z20" i="132"/>
  <c r="R6" i="138"/>
  <c r="R19" i="138"/>
  <c r="P6" i="138"/>
  <c r="O6" i="138"/>
  <c r="N3" i="134"/>
  <c r="N6" i="138"/>
  <c r="M6" i="138"/>
  <c r="L3" i="134"/>
  <c r="L6" i="138"/>
  <c r="K6" i="138"/>
  <c r="J6" i="138"/>
  <c r="I6" i="138"/>
  <c r="H6" i="138"/>
  <c r="H19" i="138"/>
  <c r="G6" i="138"/>
  <c r="F3" i="134"/>
  <c r="F6" i="138"/>
  <c r="E6" i="138"/>
  <c r="E10" i="138"/>
  <c r="F10" i="138"/>
  <c r="G10" i="138"/>
  <c r="H10" i="138"/>
  <c r="I10" i="138"/>
  <c r="J10" i="138"/>
  <c r="K10" i="138"/>
  <c r="L10" i="138"/>
  <c r="M10" i="138"/>
  <c r="N10" i="138"/>
  <c r="O10" i="138"/>
  <c r="P10" i="138"/>
  <c r="R10" i="138"/>
  <c r="J18" i="132"/>
  <c r="H38" i="139"/>
  <c r="G38" i="139"/>
  <c r="I18" i="132"/>
  <c r="F3" i="132"/>
  <c r="G7" i="139"/>
  <c r="G18" i="132"/>
  <c r="C29" i="132"/>
  <c r="G19" i="138"/>
  <c r="I3" i="134"/>
  <c r="M3" i="134"/>
  <c r="J19" i="138"/>
  <c r="E19" i="132"/>
  <c r="H3" i="134"/>
  <c r="E20" i="132"/>
  <c r="P19" i="138"/>
  <c r="I19" i="138"/>
  <c r="E3" i="134"/>
  <c r="F19" i="138"/>
  <c r="N19" i="138"/>
  <c r="D3" i="134"/>
  <c r="J3" i="134"/>
  <c r="G3" i="134"/>
  <c r="M19" i="138"/>
  <c r="E19" i="138"/>
  <c r="K3" i="134"/>
  <c r="O19" i="138"/>
  <c r="L19" i="138"/>
  <c r="K19" i="138"/>
  <c r="B14" i="132"/>
  <c r="C20" i="132"/>
  <c r="D20" i="132"/>
  <c r="W19" i="132"/>
  <c r="W18" i="132"/>
  <c r="D19" i="132"/>
  <c r="C19" i="132"/>
  <c r="B20" i="132"/>
  <c r="B29" i="132"/>
  <c r="B19" i="132"/>
  <c r="D22" i="138"/>
  <c r="D15" i="138"/>
  <c r="D23" i="138"/>
  <c r="D20" i="138"/>
  <c r="D21" i="138"/>
  <c r="Q41" i="132"/>
  <c r="P23" i="138"/>
  <c r="P15" i="138"/>
  <c r="P20" i="138"/>
  <c r="P22" i="138"/>
  <c r="P21" i="138"/>
  <c r="G20" i="138"/>
  <c r="G21" i="138"/>
  <c r="G23" i="138"/>
  <c r="G22" i="138"/>
  <c r="G15" i="138"/>
  <c r="N22" i="138"/>
  <c r="N21" i="138"/>
  <c r="N23" i="138"/>
  <c r="N15" i="138"/>
  <c r="N20" i="138"/>
  <c r="O22" i="138"/>
  <c r="O15" i="138"/>
  <c r="O23" i="138"/>
  <c r="O21" i="138"/>
  <c r="O20" i="138"/>
  <c r="L23" i="138"/>
  <c r="F21" i="138"/>
  <c r="F23" i="138"/>
  <c r="F15" i="138"/>
  <c r="F20" i="138"/>
  <c r="F22" i="138"/>
  <c r="E22" i="138"/>
  <c r="E20" i="138"/>
  <c r="E15" i="138"/>
  <c r="E21" i="138"/>
  <c r="Q49" i="132" s="1"/>
  <c r="E23" i="138"/>
  <c r="Q23" i="138"/>
  <c r="R23" i="138"/>
  <c r="Q48" i="132" s="1"/>
  <c r="G48" i="132" s="1"/>
  <c r="P48" i="132" s="1"/>
  <c r="O48" i="132" s="1"/>
  <c r="R20" i="138"/>
  <c r="R15" i="138"/>
  <c r="R22" i="138"/>
  <c r="Q47" i="132" s="1"/>
  <c r="G47" i="132" s="1"/>
  <c r="P47" i="132" s="1"/>
  <c r="O47" i="132" s="1"/>
  <c r="R21" i="138"/>
  <c r="L22" i="138" l="1"/>
  <c r="L15" i="138"/>
  <c r="L20" i="138"/>
  <c r="M15" i="138"/>
  <c r="M22" i="138"/>
  <c r="M21" i="138"/>
  <c r="Q44" i="132" s="1"/>
  <c r="G44" i="132" s="1"/>
  <c r="P44" i="132" s="1"/>
  <c r="O44" i="132" s="1"/>
  <c r="M23" i="138"/>
  <c r="M20" i="138"/>
  <c r="Q21" i="138"/>
  <c r="Q45" i="132" s="1"/>
  <c r="G45" i="132" s="1"/>
  <c r="P45" i="132" s="1"/>
  <c r="O45" i="132" s="1"/>
  <c r="Q22" i="138"/>
  <c r="Q15" i="138"/>
  <c r="J21" i="138"/>
  <c r="Q42" i="132" s="1"/>
  <c r="G42" i="132" s="1"/>
  <c r="P42" i="132" s="1"/>
  <c r="O42" i="132" s="1"/>
  <c r="J23" i="138"/>
  <c r="J15" i="138"/>
  <c r="J22" i="138"/>
  <c r="Q46" i="132" s="1"/>
  <c r="G46" i="132" s="1"/>
  <c r="P46" i="132" s="1"/>
  <c r="O46" i="132" s="1"/>
  <c r="J20" i="138"/>
  <c r="O20" i="132" s="1"/>
  <c r="I23" i="138"/>
  <c r="I22" i="138"/>
  <c r="I21" i="138"/>
  <c r="I15" i="138"/>
  <c r="I20" i="138"/>
  <c r="O19" i="132" s="1"/>
  <c r="K22" i="138"/>
  <c r="K15" i="138"/>
  <c r="K20" i="138"/>
  <c r="K21" i="138"/>
  <c r="K23" i="138"/>
  <c r="H20" i="138"/>
  <c r="H21" i="138"/>
  <c r="H15" i="138"/>
  <c r="H23" i="138"/>
  <c r="H22" i="138"/>
  <c r="S5" i="138"/>
  <c r="S23" i="138"/>
  <c r="G49" i="132"/>
  <c r="P49" i="132" s="1"/>
  <c r="O49" i="132" s="1"/>
  <c r="S20" i="138" l="1"/>
  <c r="S22" i="138"/>
  <c r="S21" i="138"/>
  <c r="Q50" i="132"/>
  <c r="G50" i="132"/>
  <c r="P50" i="132"/>
  <c r="O21" i="132"/>
  <c r="Q19" i="132"/>
  <c r="O50" i="132"/>
  <c r="F7" i="132" s="1"/>
  <c r="S24" i="138" l="1"/>
  <c r="F29" i="132"/>
  <c r="H29" i="132"/>
  <c r="R20" i="132"/>
  <c r="H20" i="132" s="1"/>
  <c r="R19" i="132"/>
  <c r="H19" i="132" s="1"/>
  <c r="N19" i="132" s="1"/>
  <c r="G19" i="132"/>
  <c r="Q20" i="132"/>
  <c r="G20" i="132" s="1"/>
  <c r="F6" i="132" l="1"/>
  <c r="N20" i="132"/>
  <c r="N21" i="13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16" authorId="0" shapeId="0" xr:uid="{00000000-0006-0000-02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AA16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B16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C16" authorId="0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U17" authorId="0" shapeId="0" xr:uid="{00000000-0006-0000-02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26" authorId="0" shapeId="0" xr:uid="{00000000-0006-0000-02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38" authorId="0" shapeId="0" xr:uid="{00000000-0006-0000-0200-000007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7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T7" authorId="0" shapeId="0" xr:uid="{00000000-0006-0000-03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7" authorId="1" shapeId="0" xr:uid="{00000000-0006-0000-03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7" authorId="0" shapeId="0" xr:uid="{00000000-0006-0000-03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8" authorId="0" shapeId="0" xr:uid="{00000000-0006-0000-03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36" authorId="0" shapeId="0" xr:uid="{00000000-0006-0000-03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5" authorId="1" shapeId="0" xr:uid="{00000000-0006-0000-0500-000002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5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5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L5" authorId="0" shapeId="0" xr:uid="{00000000-0006-0000-0500-000006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5" authorId="1" shapeId="0" xr:uid="{00000000-0006-0000-0500-000007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5" authorId="2" shapeId="0" xr:uid="{00000000-0006-0000-0500-000008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5" authorId="2" shapeId="0" xr:uid="{00000000-0006-0000-0500-000009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5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V5" authorId="0" shapeId="0" xr:uid="{00000000-0006-0000-0500-00000B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AA5" authorId="1" shapeId="0" xr:uid="{00000000-0006-0000-0500-00000C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AB5" authorId="2" shapeId="0" xr:uid="{00000000-0006-0000-0500-00000D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C5" authorId="2" shapeId="0" xr:uid="{00000000-0006-0000-0500-00000E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D5" authorId="2" shapeId="0" xr:uid="{00000000-0006-0000-0500-00000F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<sst xmlns="http://schemas.openxmlformats.org/spreadsheetml/2006/main" count="697" uniqueCount="407">
  <si>
    <t>CommName</t>
  </si>
  <si>
    <t>TechName</t>
  </si>
  <si>
    <t>TechDesc</t>
  </si>
  <si>
    <t>FIXOM</t>
  </si>
  <si>
    <t>CommDesc</t>
  </si>
  <si>
    <t>Unit</t>
  </si>
  <si>
    <t>VAROM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</si>
  <si>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</si>
  <si>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</si>
  <si>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</si>
  <si>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</si>
  <si>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</si>
  <si>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</si>
  <si>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</si>
  <si>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</si>
  <si>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</si>
  <si>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</si>
  <si>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EFF</t>
  </si>
  <si>
    <t>~COMEMI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</si>
  <si>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</si>
  <si>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</si>
  <si>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</si>
  <si>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</si>
  <si>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</si>
  <si>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</si>
  <si>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</si>
  <si>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</si>
  <si>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</si>
  <si>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</si>
  <si>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</si>
  <si>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</si>
  <si>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</si>
  <si>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</si>
  <si>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</si>
  <si>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</si>
  <si>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</si>
  <si>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</si>
  <si>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</si>
  <si>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Efficiency</t>
  </si>
  <si>
    <t>Processes</t>
  </si>
  <si>
    <t>Variable O&amp;M Cost</t>
  </si>
  <si>
    <t>Fixed O&amp;M Cost</t>
  </si>
  <si>
    <t>*TechDesc</t>
  </si>
  <si>
    <t>*Commodity Set Membership</t>
  </si>
  <si>
    <t>*Process Set Membership</t>
  </si>
  <si>
    <t>Sense of the Balance EQN.</t>
  </si>
  <si>
    <t>Timeslice Level</t>
  </si>
  <si>
    <t>Primary Commodity Group</t>
  </si>
  <si>
    <t>TimeSlice level of Process Activity</t>
  </si>
  <si>
    <t>*Units</t>
  </si>
  <si>
    <t>kg/GJ</t>
  </si>
  <si>
    <t>* Definition of the Commodities used in this workbook</t>
  </si>
  <si>
    <t>NRG</t>
  </si>
  <si>
    <t>Anthracite</t>
  </si>
  <si>
    <t>COABIC</t>
  </si>
  <si>
    <t>Other bituminous coal</t>
  </si>
  <si>
    <t>Coke oven coke</t>
  </si>
  <si>
    <t>Coal tar</t>
  </si>
  <si>
    <t>COABKB</t>
  </si>
  <si>
    <t>BKB (brown coal briquettes)</t>
  </si>
  <si>
    <t>Refinery gas</t>
  </si>
  <si>
    <t>OILDSL</t>
  </si>
  <si>
    <t>Diesel</t>
  </si>
  <si>
    <t>OILGSL</t>
  </si>
  <si>
    <t>Gasoline</t>
  </si>
  <si>
    <t>Aviation Gasoline</t>
  </si>
  <si>
    <t>OILLPG</t>
  </si>
  <si>
    <t>Liquified petroleum gas</t>
  </si>
  <si>
    <t>OILKER</t>
  </si>
  <si>
    <t>Kerosene</t>
  </si>
  <si>
    <t>Naphtha</t>
  </si>
  <si>
    <t>Petroleum Coke</t>
  </si>
  <si>
    <t>Bitumen</t>
  </si>
  <si>
    <t>Lubricants</t>
  </si>
  <si>
    <t>OILOTH</t>
  </si>
  <si>
    <t>Other petroleum products</t>
  </si>
  <si>
    <t>BIOLOG</t>
  </si>
  <si>
    <t>Wood</t>
  </si>
  <si>
    <t>BIOWMU</t>
  </si>
  <si>
    <t>Municipal waste</t>
  </si>
  <si>
    <t>BIOWID</t>
  </si>
  <si>
    <t>Industrial Waste</t>
  </si>
  <si>
    <t>BIOWAN</t>
  </si>
  <si>
    <t>Animal waste</t>
  </si>
  <si>
    <t>BIOETH</t>
  </si>
  <si>
    <t>BIODSL</t>
  </si>
  <si>
    <t>Biodiesel</t>
  </si>
  <si>
    <t>Bioethanol</t>
  </si>
  <si>
    <t>BIOBGS</t>
  </si>
  <si>
    <t>Biogas</t>
  </si>
  <si>
    <t>BIOPLT</t>
  </si>
  <si>
    <t>Pellet</t>
  </si>
  <si>
    <t>BIOCHR</t>
  </si>
  <si>
    <t>Charcoal</t>
  </si>
  <si>
    <t>RESHYD</t>
  </si>
  <si>
    <t>Hydro Energy</t>
  </si>
  <si>
    <t>RESSOL</t>
  </si>
  <si>
    <t>Solar Energy</t>
  </si>
  <si>
    <t>RESWIN</t>
  </si>
  <si>
    <t>Wind Energy</t>
  </si>
  <si>
    <t>RESGEO</t>
  </si>
  <si>
    <t>Geothermal Energy</t>
  </si>
  <si>
    <t>AGRCOABIC</t>
  </si>
  <si>
    <t>AGRCOABKB</t>
  </si>
  <si>
    <t>BKB (brown coal briquettes) (AGR)</t>
  </si>
  <si>
    <t>AGROILDSL</t>
  </si>
  <si>
    <t>Diesel (AGR)</t>
  </si>
  <si>
    <t>AGROILGSL</t>
  </si>
  <si>
    <t>Gasoline (AGR)</t>
  </si>
  <si>
    <t>AGROILLPG</t>
  </si>
  <si>
    <t>Liquified petroleum gas (AGR)</t>
  </si>
  <si>
    <t>AGRGASNAT</t>
  </si>
  <si>
    <t>Natural Gas (AGR)</t>
  </si>
  <si>
    <t>AGRBIOLOG</t>
  </si>
  <si>
    <t>Wood (AGR)</t>
  </si>
  <si>
    <t>AGRBIOWAN</t>
  </si>
  <si>
    <t>Animal waste (AGR)</t>
  </si>
  <si>
    <t>AGRBIOETH</t>
  </si>
  <si>
    <t>Pure Bioethanol (AGR)</t>
  </si>
  <si>
    <t>AGRBIODSL</t>
  </si>
  <si>
    <t>Biodiesel (AGR)</t>
  </si>
  <si>
    <t>Bioethanol (AGR)</t>
  </si>
  <si>
    <t>AGRBIOBGS</t>
  </si>
  <si>
    <t>Biogas (AGR)</t>
  </si>
  <si>
    <t>AGRBIOPLT</t>
  </si>
  <si>
    <t>Pellet (AGR)</t>
  </si>
  <si>
    <t>AGRBIOCHR</t>
  </si>
  <si>
    <t>Charcoal (AGR)</t>
  </si>
  <si>
    <t>AGRRESSOL</t>
  </si>
  <si>
    <t>Solar Energy (AGR)</t>
  </si>
  <si>
    <t>AGRRESGEO</t>
  </si>
  <si>
    <t>Geothermal Energy (AGR)</t>
  </si>
  <si>
    <t>ELCHIG</t>
  </si>
  <si>
    <t>DAYNITE</t>
  </si>
  <si>
    <t>ELC</t>
  </si>
  <si>
    <t>High Voltage electricity after losses</t>
  </si>
  <si>
    <t>ELCHIGG</t>
  </si>
  <si>
    <t>High Voltage electricity before Losses</t>
  </si>
  <si>
    <t>AGRELC</t>
  </si>
  <si>
    <t>Electricity (AGR)</t>
  </si>
  <si>
    <t>ENV</t>
  </si>
  <si>
    <t>Gg</t>
  </si>
  <si>
    <t>AGRCO2</t>
  </si>
  <si>
    <t>CO2 (AGR)</t>
  </si>
  <si>
    <t>AGRCH4</t>
  </si>
  <si>
    <t>CH4 (AGR)</t>
  </si>
  <si>
    <t>AGRN2O</t>
  </si>
  <si>
    <t>N2O (AGR)</t>
  </si>
  <si>
    <t>Default Units</t>
  </si>
  <si>
    <t>Energy</t>
  </si>
  <si>
    <t>Currency Unit</t>
  </si>
  <si>
    <t>Emissions</t>
  </si>
  <si>
    <t>NCAP_TLIFE</t>
  </si>
  <si>
    <t>* Definition of the Processes used in this worksheet</t>
  </si>
  <si>
    <t>Technical Lifetime of Process</t>
  </si>
  <si>
    <t>*</t>
  </si>
  <si>
    <t>0000</t>
  </si>
  <si>
    <t>3270A</t>
  </si>
  <si>
    <t>Total all products</t>
  </si>
  <si>
    <t>Solid fuels</t>
  </si>
  <si>
    <t>Lignite / Brown Coal</t>
  </si>
  <si>
    <t>BKB</t>
  </si>
  <si>
    <t>Oil (total)</t>
  </si>
  <si>
    <t>Crude oil</t>
  </si>
  <si>
    <t>Natural Gas Liguids</t>
  </si>
  <si>
    <t>Refinery Feedstocks</t>
  </si>
  <si>
    <t>Additives / Oxygenates</t>
  </si>
  <si>
    <t>Other Hydrocarb. (w/o bio)</t>
  </si>
  <si>
    <t>LPG</t>
  </si>
  <si>
    <t>Motor Gasoline (w/o bio)</t>
  </si>
  <si>
    <t>Gasoline Type Jet Fuel</t>
  </si>
  <si>
    <t>Kerosene Type Jet Fuel</t>
  </si>
  <si>
    <t>Other Kerosene</t>
  </si>
  <si>
    <t>Gas/Diesel Oil (w/o bio)</t>
  </si>
  <si>
    <t>Fuel Oil</t>
  </si>
  <si>
    <t>White spirit and SBP</t>
  </si>
  <si>
    <t>Paraffin Waxes</t>
  </si>
  <si>
    <t>Other Products</t>
  </si>
  <si>
    <t>Gas</t>
  </si>
  <si>
    <t>Natural gas</t>
  </si>
  <si>
    <t xml:space="preserve">Coke oven gas </t>
  </si>
  <si>
    <t>Blast furnace gas</t>
  </si>
  <si>
    <t>Total Renewables</t>
  </si>
  <si>
    <t>Hydro power</t>
  </si>
  <si>
    <t>Wind power</t>
  </si>
  <si>
    <t>Solar thermal</t>
  </si>
  <si>
    <t>Solar PV</t>
  </si>
  <si>
    <t>Solid biomass</t>
  </si>
  <si>
    <t>Biogas (all)</t>
  </si>
  <si>
    <t>Municipal wastes (renew.)</t>
  </si>
  <si>
    <t>Geo-thermal</t>
  </si>
  <si>
    <t>Wastes (non ren.)</t>
  </si>
  <si>
    <t>Industrial wastes</t>
  </si>
  <si>
    <t>Municial wastes (non-ren.)</t>
  </si>
  <si>
    <t>Derived heat</t>
  </si>
  <si>
    <t>Electricity</t>
  </si>
  <si>
    <t>Available for Final Consumption</t>
  </si>
  <si>
    <t>B_101500</t>
  </si>
  <si>
    <t>Final non-energy consumption</t>
  </si>
  <si>
    <t>B_101600</t>
  </si>
  <si>
    <t>+</t>
  </si>
  <si>
    <t>Non-Energy Use in Transformation sector</t>
  </si>
  <si>
    <t>B_101603</t>
  </si>
  <si>
    <t>Non-Energy Use in Energy sector</t>
  </si>
  <si>
    <t>B_101604</t>
  </si>
  <si>
    <t>Non-Energy Use in Industry sector</t>
  </si>
  <si>
    <t>B_101605</t>
  </si>
  <si>
    <t>of which Non-Energy Use in Chemical/Petrochemical Industry</t>
  </si>
  <si>
    <t>B_101601</t>
  </si>
  <si>
    <t>Non-Energy Use in Transport sector</t>
  </si>
  <si>
    <t>B_101606</t>
  </si>
  <si>
    <t>Non-Energy Use in Other sectors</t>
  </si>
  <si>
    <t>B_101607</t>
  </si>
  <si>
    <t>Non-Energy Use in Industry, Transformation and Energy Sectors</t>
  </si>
  <si>
    <t>B_101608</t>
  </si>
  <si>
    <t>Final energy consumption</t>
  </si>
  <si>
    <t>B_101700</t>
  </si>
  <si>
    <t>Industry</t>
  </si>
  <si>
    <t>B_101800</t>
  </si>
  <si>
    <t>Iron &amp; steel industry</t>
  </si>
  <si>
    <t>B_101805</t>
  </si>
  <si>
    <t>Chemical and Petrochemical industry</t>
  </si>
  <si>
    <t>B_101815</t>
  </si>
  <si>
    <t>Non-ferrous metal industry</t>
  </si>
  <si>
    <t>B_101810</t>
  </si>
  <si>
    <t>Non-metallic Minerals (Glass, pottery &amp; building mat. Industry)</t>
  </si>
  <si>
    <t>B_101820</t>
  </si>
  <si>
    <t>Transport Equipment</t>
  </si>
  <si>
    <t>B_101846</t>
  </si>
  <si>
    <t>Machinery</t>
  </si>
  <si>
    <t>B_101847</t>
  </si>
  <si>
    <t>Mining and Quarrying</t>
  </si>
  <si>
    <t>B_101825</t>
  </si>
  <si>
    <t>Food and Tabacco</t>
  </si>
  <si>
    <t>B_101830</t>
  </si>
  <si>
    <t>Paper, Pulp and Print</t>
  </si>
  <si>
    <t>B_101840</t>
  </si>
  <si>
    <t>Wood and Wood Products</t>
  </si>
  <si>
    <t>B_101851</t>
  </si>
  <si>
    <t>Construction</t>
  </si>
  <si>
    <t>B_101852</t>
  </si>
  <si>
    <t>Textile and Leather</t>
  </si>
  <si>
    <t>B_101835</t>
  </si>
  <si>
    <t>Non-specified (Industry)</t>
  </si>
  <si>
    <t>B_101853</t>
  </si>
  <si>
    <t>Transport</t>
  </si>
  <si>
    <t>B_101900</t>
  </si>
  <si>
    <t>Rail</t>
  </si>
  <si>
    <t>B_101910</t>
  </si>
  <si>
    <t>Road</t>
  </si>
  <si>
    <t>B_101920</t>
  </si>
  <si>
    <t>International aviation</t>
  </si>
  <si>
    <t>B_101931</t>
  </si>
  <si>
    <t>Domestic aviation</t>
  </si>
  <si>
    <t>B_101932</t>
  </si>
  <si>
    <t>Domestic Navigation</t>
  </si>
  <si>
    <t>B_101940</t>
  </si>
  <si>
    <t>Pipeline transport</t>
  </si>
  <si>
    <t>B_101945</t>
  </si>
  <si>
    <t>Non-specified (Transport)</t>
  </si>
  <si>
    <t>B_101950</t>
  </si>
  <si>
    <t>Other Sectors</t>
  </si>
  <si>
    <t>B_102000</t>
  </si>
  <si>
    <t>Services</t>
  </si>
  <si>
    <t>B_102035</t>
  </si>
  <si>
    <t>Residential</t>
  </si>
  <si>
    <t>B_102010</t>
  </si>
  <si>
    <t>Agriculture / Forestry</t>
  </si>
  <si>
    <t>B_102030</t>
  </si>
  <si>
    <t>Fishing</t>
  </si>
  <si>
    <t>B_102020</t>
  </si>
  <si>
    <t>Non-specified (Other)</t>
  </si>
  <si>
    <t>B_102040</t>
  </si>
  <si>
    <t>Statistical differences</t>
  </si>
  <si>
    <t>B_102200</t>
  </si>
  <si>
    <t>Flow/Product</t>
  </si>
  <si>
    <t>Total</t>
  </si>
  <si>
    <t>Breakout by end-use (Fractional Shares)</t>
  </si>
  <si>
    <t>End-use description</t>
  </si>
  <si>
    <t>Agricultural Machinery</t>
  </si>
  <si>
    <t>Final energy consumption by end-use (PJ)</t>
  </si>
  <si>
    <t>DMD</t>
  </si>
  <si>
    <t>AGRMAC</t>
  </si>
  <si>
    <t>Demands for the Base Year</t>
  </si>
  <si>
    <t>Demand</t>
  </si>
  <si>
    <t>Attribute</t>
  </si>
  <si>
    <t>*Unit</t>
  </si>
  <si>
    <t>Demand Commodity Name</t>
  </si>
  <si>
    <t>Demand Unit</t>
  </si>
  <si>
    <t>Demand Value</t>
  </si>
  <si>
    <t>E</t>
  </si>
  <si>
    <t>*Demand Name</t>
  </si>
  <si>
    <t>Agriculture Demand Technologies</t>
  </si>
  <si>
    <t>Final Energy</t>
  </si>
  <si>
    <t>Stock-assumption</t>
  </si>
  <si>
    <t>Final Energy En. Balance</t>
  </si>
  <si>
    <t>PRC_RESID</t>
  </si>
  <si>
    <t>Existing Installed Capacity</t>
  </si>
  <si>
    <t>Final energy consumption: Agriculture / Forestry</t>
  </si>
  <si>
    <t>*Units:</t>
  </si>
  <si>
    <t>PRE</t>
  </si>
  <si>
    <t>Activity to Capacity Units</t>
  </si>
  <si>
    <t>ELE</t>
  </si>
  <si>
    <t>DEM</t>
  </si>
  <si>
    <t>Agriculture Base-year energy consumption from Energy Balance (PJ)</t>
  </si>
  <si>
    <t>Years</t>
  </si>
  <si>
    <t>ACT_BND</t>
  </si>
  <si>
    <t>COST</t>
  </si>
  <si>
    <t>PRC_CAPACT</t>
  </si>
  <si>
    <t>[0 - 1]</t>
  </si>
  <si>
    <t>ELCMLO</t>
  </si>
  <si>
    <t>Medium-Low Voltage electricity</t>
  </si>
  <si>
    <t>Units by Attribute and Sector</t>
  </si>
  <si>
    <t>Meaning</t>
  </si>
  <si>
    <t>Sector</t>
  </si>
  <si>
    <t>Units</t>
  </si>
  <si>
    <t>Equivalent</t>
  </si>
  <si>
    <t>COMEMI</t>
  </si>
  <si>
    <t>Emission Coefficient</t>
  </si>
  <si>
    <t>All</t>
  </si>
  <si>
    <t>Extraction cost/Import Cost/Export cost</t>
  </si>
  <si>
    <t>Mining</t>
  </si>
  <si>
    <t>Annual Bound</t>
  </si>
  <si>
    <t>Capacity to Activity</t>
  </si>
  <si>
    <t>BASE_YEAR</t>
  </si>
  <si>
    <t>END_YEAR</t>
  </si>
  <si>
    <t>Existing Capacity</t>
  </si>
  <si>
    <t>000s Units</t>
  </si>
  <si>
    <t>Energy/Unit - delivered/year</t>
  </si>
  <si>
    <t>Capacity</t>
  </si>
  <si>
    <t>GJ/kW</t>
  </si>
  <si>
    <t>Technical Lifetime</t>
  </si>
  <si>
    <t>PJ</t>
  </si>
  <si>
    <t>GW</t>
  </si>
  <si>
    <t>Generic processes</t>
  </si>
  <si>
    <t>[ 0 -1 ]</t>
  </si>
  <si>
    <t>Source</t>
  </si>
  <si>
    <t>IPCC Emission Factor Database (2006 Values)available at  https://www.ipcc-nggip.iges.or.jp/EFDB/find_ef.php</t>
  </si>
  <si>
    <t>GASNAT_LP</t>
  </si>
  <si>
    <t>Low pressure natural gas</t>
  </si>
  <si>
    <t>SEASON</t>
  </si>
  <si>
    <t>Coking coal</t>
  </si>
  <si>
    <t>Sub-bituminous coal</t>
  </si>
  <si>
    <t>Patent Fuels</t>
  </si>
  <si>
    <t>Gas coke</t>
  </si>
  <si>
    <t>Peat</t>
  </si>
  <si>
    <t>Peat products</t>
  </si>
  <si>
    <t>Oil shale &amp; oil sands</t>
  </si>
  <si>
    <t>Ethane</t>
  </si>
  <si>
    <t>Gasworks gas</t>
  </si>
  <si>
    <t>Other recovered gas</t>
  </si>
  <si>
    <t>Tide, wave and ocean</t>
  </si>
  <si>
    <t>Bio gasoline</t>
  </si>
  <si>
    <t>Bio jet kerosene</t>
  </si>
  <si>
    <t>Other liquid biofuels</t>
  </si>
  <si>
    <t>Nuclear heat</t>
  </si>
  <si>
    <t>Derived Heat (AGR)</t>
  </si>
  <si>
    <t>AGRSTA</t>
  </si>
  <si>
    <t>Input</t>
  </si>
  <si>
    <t>Input share</t>
  </si>
  <si>
    <t>HETHTH</t>
  </si>
  <si>
    <t>Derived Heat</t>
  </si>
  <si>
    <t>Stationary Uses - Heat</t>
  </si>
  <si>
    <t>Stationary Uses - Machine Drive</t>
  </si>
  <si>
    <t>Stationary Uses - Other Uses</t>
  </si>
  <si>
    <t>AGRSTHT</t>
  </si>
  <si>
    <t>AGRSTMCH</t>
  </si>
  <si>
    <t>AGRSTOTH</t>
  </si>
  <si>
    <t>Output</t>
  </si>
  <si>
    <t>Agricultural Stationary Uses</t>
  </si>
  <si>
    <t>Agricultural Stationary Uses-Heat</t>
  </si>
  <si>
    <t>Agricultural Stationary Uses-Machine Drive</t>
  </si>
  <si>
    <t>Agricultural Stationary Uses-Other</t>
  </si>
  <si>
    <t>\I: Total</t>
  </si>
  <si>
    <t>Output share</t>
  </si>
  <si>
    <t>OILHFO</t>
  </si>
  <si>
    <t>Fuel Oil (AGR)</t>
  </si>
  <si>
    <t>AGROILHFO</t>
  </si>
  <si>
    <t>*Technology Name</t>
  </si>
  <si>
    <t>AGRLTH</t>
  </si>
  <si>
    <t>FLO_SHAR~UP~2019</t>
  </si>
  <si>
    <t>FLO_SHAR~UP~2020</t>
  </si>
  <si>
    <t>Share of Input</t>
  </si>
  <si>
    <t>[0-1]</t>
  </si>
  <si>
    <t>COABCO</t>
  </si>
  <si>
    <t>COASUB</t>
  </si>
  <si>
    <t>Bituminous coal</t>
  </si>
  <si>
    <t>BrownCoal/Lignite</t>
  </si>
  <si>
    <t>Sub-bituminous coal (AGR)</t>
  </si>
  <si>
    <t>Bituminous coal (AGR)</t>
  </si>
  <si>
    <t>BrownCoal/Lignite (AGR)</t>
  </si>
  <si>
    <t>AGRCOASUB</t>
  </si>
  <si>
    <t>AGRCOABCO</t>
  </si>
  <si>
    <t>TBC</t>
  </si>
  <si>
    <t>Ktoe</t>
  </si>
  <si>
    <t>RDM: to be double check with local data</t>
  </si>
  <si>
    <t>AFA</t>
  </si>
  <si>
    <t>Availability</t>
  </si>
  <si>
    <t>M$</t>
  </si>
  <si>
    <t>$/GJ</t>
  </si>
  <si>
    <t>$/GJ/a</t>
  </si>
  <si>
    <t>Calibrarion</t>
  </si>
  <si>
    <t>RDM: demand fractions</t>
  </si>
  <si>
    <t>Cap2Act-calibration</t>
  </si>
  <si>
    <t>Relaxation factor</t>
  </si>
  <si>
    <t>AFA~LO</t>
  </si>
  <si>
    <t>Azerbaijan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</si>
</sst>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"/>
    <numFmt numFmtId="165" formatCode="\Te\x\t"/>
    <numFmt numFmtId="166" formatCode="0.0"/>
    <numFmt numFmtId="167" formatCode="#,##0.000;\-#,##0.000;&quot;&quot;"/>
    <numFmt numFmtId="168" formatCode="0.00000"/>
    <numFmt numFmtId="169" formatCode="0.0000"/>
    <numFmt numFmtId="170" formatCode="#,##0.00;\-#,##0.00;&quot;&quot;"/>
    <numFmt numFmtId="171" formatCode="#,##0;\-#,##0;&quot;&quot;"/>
    <numFmt numFmtId="172" formatCode="#,##0.00000;\-#,##0.00000;&quot;&quot;"/>
    <numFmt numFmtId="173" formatCode="#,##0.0;\-#,##0.0;&quot;&quot;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6"/>
      <color theme="1"/>
      <name val="Arial"/>
      <family val="2"/>
    </font>
    <font>
      <b/>
      <i/>
      <sz val="8"/>
      <color theme="1"/>
      <name val="Arial"/>
      <family val="2"/>
    </font>
    <font>
      <i/>
      <sz val="8"/>
      <color theme="1"/>
      <name val="Arial"/>
      <family val="2"/>
    </font>
    <font>
      <i/>
      <sz val="6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</fills>
  <borders count="2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thin">
        <color indexed="8"/>
      </bottom>
      <diagonal/>
    </border>
    <border>
      <left/>
      <right/>
      <top style="hair">
        <color indexed="22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/>
      <bottom style="hair">
        <color indexed="22"/>
      </bottom>
      <diagonal/>
    </border>
    <border>
      <left style="thin">
        <color indexed="64"/>
      </left>
      <right/>
      <top style="hair">
        <color indexed="22"/>
      </top>
      <bottom style="hair">
        <color indexed="22"/>
      </bottom>
      <diagonal/>
    </border>
    <border>
      <left style="thin">
        <color indexed="64"/>
      </left>
      <right/>
      <top style="hair">
        <color indexed="22"/>
      </top>
      <bottom style="thin">
        <color indexed="8"/>
      </bottom>
      <diagonal/>
    </border>
    <border>
      <left style="thin">
        <color indexed="64"/>
      </left>
      <right/>
      <top style="hair">
        <color indexed="22"/>
      </top>
      <bottom style="thin">
        <color indexed="64"/>
      </bottom>
      <diagonal/>
    </border>
  </borders>
  <cellStyleXfs count="6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2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</cellStyleXfs>
  <cellXfs count="134">
    <xf numFmtId="0" fontId="0" fillId="0" borderId="0" xfId="0"/>
    <xf numFmtId="0" fontId="9" fillId="0" borderId="0" xfId="0" applyFont="1" applyFill="1"/>
    <xf numFmtId="0" fontId="10" fillId="0" borderId="0" xfId="0" applyFont="1" applyFill="1"/>
    <xf numFmtId="0" fontId="10" fillId="0" borderId="0" xfId="0" applyFont="1" applyFill="1" applyBorder="1" applyProtection="1">
      <protection locked="0"/>
    </xf>
    <xf numFmtId="0" fontId="10" fillId="0" borderId="4" xfId="0" applyFont="1" applyFill="1" applyBorder="1" applyAlignment="1">
      <alignment horizontal="center"/>
    </xf>
    <xf numFmtId="0" fontId="9" fillId="0" borderId="12" xfId="0" applyFont="1" applyFill="1" applyBorder="1" applyAlignment="1">
      <alignment vertical="center"/>
    </xf>
    <xf numFmtId="0" fontId="10" fillId="0" borderId="13" xfId="0" applyFont="1" applyFill="1" applyBorder="1" applyAlignment="1">
      <alignment horizontal="center" wrapText="1"/>
    </xf>
    <xf numFmtId="0" fontId="9" fillId="0" borderId="0" xfId="0" applyFont="1" applyFill="1" applyAlignment="1"/>
    <xf numFmtId="170" fontId="9" fillId="0" borderId="9" xfId="0" applyNumberFormat="1" applyFont="1" applyFill="1" applyBorder="1" applyAlignment="1">
      <alignment horizontal="left"/>
    </xf>
    <xf numFmtId="170" fontId="10" fillId="0" borderId="9" xfId="0" applyNumberFormat="1" applyFont="1" applyFill="1" applyBorder="1" applyAlignment="1">
      <alignment horizontal="left"/>
    </xf>
    <xf numFmtId="167" fontId="10" fillId="0" borderId="9" xfId="0" applyNumberFormat="1" applyFont="1" applyFill="1" applyBorder="1" applyAlignment="1">
      <alignment horizontal="center"/>
    </xf>
    <xf numFmtId="173" fontId="10" fillId="0" borderId="0" xfId="0" applyNumberFormat="1" applyFont="1" applyFill="1"/>
    <xf numFmtId="0" fontId="10" fillId="0" borderId="13" xfId="0" applyFont="1" applyFill="1" applyBorder="1" applyAlignment="1">
      <alignment horizontal="left"/>
    </xf>
    <xf numFmtId="0" fontId="10" fillId="0" borderId="12" xfId="0" applyFont="1" applyFill="1" applyBorder="1" applyAlignment="1">
      <alignment vertical="center"/>
    </xf>
    <xf numFmtId="0" fontId="10" fillId="0" borderId="13" xfId="0" applyFont="1" applyFill="1" applyBorder="1" applyAlignment="1">
      <alignment horizontal="left" wrapText="1"/>
    </xf>
    <xf numFmtId="0" fontId="9" fillId="0" borderId="13" xfId="0" applyFont="1" applyFill="1" applyBorder="1" applyAlignment="1">
      <alignment horizontal="left" wrapText="1"/>
    </xf>
    <xf numFmtId="170" fontId="10" fillId="0" borderId="9" xfId="0" applyNumberFormat="1" applyFont="1" applyFill="1" applyBorder="1" applyAlignment="1">
      <alignment horizontal="right"/>
    </xf>
    <xf numFmtId="170" fontId="10" fillId="0" borderId="9" xfId="0" applyNumberFormat="1" applyFont="1" applyFill="1" applyBorder="1" applyAlignment="1">
      <alignment horizontal="center"/>
    </xf>
    <xf numFmtId="0" fontId="10" fillId="0" borderId="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Border="1" applyProtection="1">
      <protection locked="0"/>
    </xf>
    <xf numFmtId="2" fontId="10" fillId="0" borderId="0" xfId="0" applyNumberFormat="1" applyFont="1" applyFill="1" applyBorder="1" applyAlignment="1" applyProtection="1">
      <alignment horizontal="right"/>
    </xf>
    <xf numFmtId="167" fontId="10" fillId="0" borderId="9" xfId="0" applyNumberFormat="1" applyFont="1" applyFill="1" applyBorder="1" applyAlignment="1">
      <alignment horizontal="right"/>
    </xf>
    <xf numFmtId="167" fontId="10" fillId="0" borderId="0" xfId="0" applyNumberFormat="1" applyFont="1" applyFill="1"/>
    <xf numFmtId="0" fontId="9" fillId="0" borderId="12" xfId="0" applyFont="1" applyFill="1" applyBorder="1" applyAlignment="1">
      <alignment horizontal="center" vertical="center" wrapText="1"/>
    </xf>
    <xf numFmtId="0" fontId="10" fillId="0" borderId="1" xfId="0" applyFont="1" applyFill="1" applyBorder="1"/>
    <xf numFmtId="0" fontId="10" fillId="0" borderId="0" xfId="0" applyFont="1" applyFill="1" applyBorder="1"/>
    <xf numFmtId="164" fontId="10" fillId="0" borderId="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left"/>
    </xf>
    <xf numFmtId="2" fontId="10" fillId="0" borderId="0" xfId="0" applyNumberFormat="1" applyFont="1" applyFill="1" applyAlignment="1">
      <alignment horizontal="center"/>
    </xf>
    <xf numFmtId="0" fontId="9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right"/>
    </xf>
    <xf numFmtId="165" fontId="10" fillId="0" borderId="0" xfId="0" applyNumberFormat="1" applyFont="1" applyFill="1"/>
    <xf numFmtId="0" fontId="9" fillId="0" borderId="0" xfId="0" applyFont="1" applyFill="1" applyAlignment="1">
      <alignment horizontal="left"/>
    </xf>
    <xf numFmtId="0" fontId="10" fillId="0" borderId="0" xfId="0" applyFont="1" applyFill="1" applyBorder="1" applyAlignment="1">
      <alignment horizontal="right"/>
    </xf>
    <xf numFmtId="165" fontId="9" fillId="0" borderId="0" xfId="0" applyNumberFormat="1" applyFont="1" applyFill="1"/>
    <xf numFmtId="0" fontId="9" fillId="0" borderId="14" xfId="0" applyFont="1" applyFill="1" applyBorder="1" applyAlignment="1">
      <alignment vertical="center"/>
    </xf>
    <xf numFmtId="165" fontId="9" fillId="0" borderId="5" xfId="0" applyNumberFormat="1" applyFont="1" applyFill="1" applyBorder="1"/>
    <xf numFmtId="0" fontId="10" fillId="0" borderId="15" xfId="0" applyFont="1" applyFill="1" applyBorder="1" applyAlignment="1">
      <alignment horizontal="center" wrapText="1"/>
    </xf>
    <xf numFmtId="165" fontId="10" fillId="0" borderId="2" xfId="0" applyNumberFormat="1" applyFont="1" applyFill="1" applyBorder="1" applyAlignment="1">
      <alignment horizontal="left" wrapText="1"/>
    </xf>
    <xf numFmtId="0" fontId="10" fillId="0" borderId="16" xfId="0" applyFont="1" applyFill="1" applyBorder="1" applyAlignment="1">
      <alignment horizontal="left" wrapText="1"/>
    </xf>
    <xf numFmtId="0" fontId="10" fillId="0" borderId="16" xfId="0" applyFont="1" applyFill="1" applyBorder="1" applyAlignment="1">
      <alignment horizontal="center" wrapText="1"/>
    </xf>
    <xf numFmtId="0" fontId="10" fillId="0" borderId="17" xfId="0" applyFont="1" applyFill="1" applyBorder="1" applyAlignment="1">
      <alignment horizontal="center" wrapText="1"/>
    </xf>
    <xf numFmtId="164" fontId="10" fillId="0" borderId="0" xfId="0" applyNumberFormat="1" applyFont="1" applyFill="1"/>
    <xf numFmtId="0" fontId="10" fillId="0" borderId="14" xfId="0" applyFont="1" applyFill="1" applyBorder="1"/>
    <xf numFmtId="169" fontId="10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8" fontId="10" fillId="0" borderId="0" xfId="0" applyNumberFormat="1" applyFont="1" applyFill="1"/>
    <xf numFmtId="166" fontId="10" fillId="0" borderId="0" xfId="0" applyNumberFormat="1" applyFont="1" applyFill="1"/>
    <xf numFmtId="0" fontId="10" fillId="0" borderId="18" xfId="0" applyFont="1" applyFill="1" applyBorder="1"/>
    <xf numFmtId="0" fontId="10" fillId="0" borderId="4" xfId="0" applyFont="1" applyFill="1" applyBorder="1"/>
    <xf numFmtId="2" fontId="10" fillId="0" borderId="13" xfId="0" applyNumberFormat="1" applyFont="1" applyFill="1" applyBorder="1" applyAlignment="1">
      <alignment horizontal="center"/>
    </xf>
    <xf numFmtId="0" fontId="10" fillId="0" borderId="13" xfId="0" applyFont="1" applyFill="1" applyBorder="1"/>
    <xf numFmtId="1" fontId="9" fillId="0" borderId="13" xfId="0" applyNumberFormat="1" applyFont="1" applyFill="1" applyBorder="1"/>
    <xf numFmtId="164" fontId="10" fillId="0" borderId="0" xfId="0" applyNumberFormat="1" applyFont="1" applyFill="1" applyAlignment="1">
      <alignment horizontal="center"/>
    </xf>
    <xf numFmtId="0" fontId="10" fillId="0" borderId="5" xfId="0" applyFont="1" applyFill="1" applyBorder="1"/>
    <xf numFmtId="164" fontId="11" fillId="0" borderId="0" xfId="0" applyNumberFormat="1" applyFont="1" applyFill="1" applyAlignment="1">
      <alignment horizontal="center"/>
    </xf>
    <xf numFmtId="0" fontId="10" fillId="0" borderId="0" xfId="0" applyFont="1" applyFill="1" applyBorder="1" applyAlignment="1">
      <alignment horizontal="left" wrapText="1"/>
    </xf>
    <xf numFmtId="0" fontId="10" fillId="0" borderId="17" xfId="0" applyFont="1" applyFill="1" applyBorder="1" applyAlignment="1">
      <alignment horizontal="right" wrapText="1"/>
    </xf>
    <xf numFmtId="0" fontId="10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0" fontId="10" fillId="0" borderId="19" xfId="0" applyFont="1" applyFill="1" applyBorder="1"/>
    <xf numFmtId="0" fontId="10" fillId="0" borderId="5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left" vertical="center" wrapText="1"/>
    </xf>
    <xf numFmtId="1" fontId="10" fillId="0" borderId="0" xfId="0" applyNumberFormat="1" applyFont="1" applyFill="1" applyBorder="1" applyAlignment="1">
      <alignment horizontal="center"/>
    </xf>
    <xf numFmtId="164" fontId="10" fillId="0" borderId="0" xfId="0" applyNumberFormat="1" applyFont="1" applyFill="1" applyBorder="1" applyAlignment="1">
      <alignment horizontal="right"/>
    </xf>
    <xf numFmtId="165" fontId="9" fillId="0" borderId="12" xfId="0" applyNumberFormat="1" applyFont="1" applyFill="1" applyBorder="1"/>
    <xf numFmtId="165" fontId="9" fillId="0" borderId="12" xfId="0" applyNumberFormat="1" applyFont="1" applyFill="1" applyBorder="1" applyAlignment="1">
      <alignment horizontal="left"/>
    </xf>
    <xf numFmtId="165" fontId="10" fillId="0" borderId="13" xfId="0" applyNumberFormat="1" applyFont="1" applyFill="1" applyBorder="1" applyAlignment="1">
      <alignment horizontal="center" vertical="center" wrapText="1"/>
    </xf>
    <xf numFmtId="165" fontId="10" fillId="0" borderId="2" xfId="0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170" fontId="10" fillId="0" borderId="0" xfId="0" applyNumberFormat="1" applyFont="1" applyFill="1"/>
    <xf numFmtId="0" fontId="7" fillId="0" borderId="0" xfId="1" applyFont="1" applyFill="1" applyAlignment="1">
      <alignment wrapText="1"/>
    </xf>
    <xf numFmtId="0" fontId="1" fillId="0" borderId="0" xfId="1" applyFont="1" applyFill="1" applyAlignment="1">
      <alignment wrapText="1"/>
    </xf>
    <xf numFmtId="0" fontId="8" fillId="0" borderId="0" xfId="0" applyFont="1" applyFill="1"/>
    <xf numFmtId="0" fontId="1" fillId="0" borderId="0" xfId="1" applyFont="1" applyFill="1" applyAlignment="1"/>
    <xf numFmtId="0" fontId="1" fillId="0" borderId="0" xfId="1" applyFont="1" applyFill="1" applyAlignment="1">
      <alignment horizontal="right" wrapText="1"/>
    </xf>
    <xf numFmtId="0" fontId="12" fillId="0" borderId="0" xfId="2" applyFont="1" applyFill="1" applyAlignment="1">
      <alignment horizontal="center"/>
    </xf>
    <xf numFmtId="0" fontId="13" fillId="0" borderId="0" xfId="2" applyFont="1" applyFill="1" applyAlignment="1">
      <alignment horizontal="center"/>
    </xf>
    <xf numFmtId="0" fontId="7" fillId="0" borderId="0" xfId="1" applyFont="1" applyFill="1" applyAlignment="1">
      <alignment horizontal="left" wrapText="1"/>
    </xf>
    <xf numFmtId="0" fontId="1" fillId="0" borderId="0" xfId="1" applyFont="1" applyFill="1" applyAlignment="1">
      <alignment horizontal="center"/>
    </xf>
    <xf numFmtId="0" fontId="1" fillId="0" borderId="0" xfId="1" applyFont="1" applyFill="1" applyAlignment="1">
      <alignment horizontal="center" wrapText="1"/>
    </xf>
    <xf numFmtId="0" fontId="14" fillId="0" borderId="3" xfId="0" applyFont="1" applyFill="1" applyBorder="1" applyAlignment="1">
      <alignment horizontal="left" vertical="center" wrapText="1"/>
    </xf>
    <xf numFmtId="0" fontId="14" fillId="0" borderId="4" xfId="0" applyFont="1" applyFill="1" applyBorder="1" applyAlignment="1">
      <alignment horizontal="centerContinuous" vertical="center" wrapText="1"/>
    </xf>
    <xf numFmtId="0" fontId="8" fillId="0" borderId="4" xfId="0" applyFont="1" applyFill="1" applyBorder="1" applyAlignment="1">
      <alignment horizontal="centerContinuous" vertical="center" wrapText="1"/>
    </xf>
    <xf numFmtId="0" fontId="14" fillId="0" borderId="4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center"/>
    </xf>
    <xf numFmtId="171" fontId="15" fillId="0" borderId="4" xfId="0" applyNumberFormat="1" applyFont="1" applyFill="1" applyBorder="1" applyAlignment="1">
      <alignment horizontal="right"/>
    </xf>
    <xf numFmtId="171" fontId="15" fillId="0" borderId="20" xfId="0" applyNumberFormat="1" applyFont="1" applyFill="1" applyBorder="1" applyAlignment="1">
      <alignment horizontal="right"/>
    </xf>
    <xf numFmtId="0" fontId="15" fillId="0" borderId="7" xfId="0" applyFont="1" applyFill="1" applyBorder="1" applyAlignment="1">
      <alignment horizontal="left"/>
    </xf>
    <xf numFmtId="0" fontId="16" fillId="0" borderId="7" xfId="0" applyFont="1" applyFill="1" applyBorder="1" applyAlignment="1">
      <alignment horizontal="center"/>
    </xf>
    <xf numFmtId="171" fontId="15" fillId="0" borderId="7" xfId="0" applyNumberFormat="1" applyFont="1" applyFill="1" applyBorder="1" applyAlignment="1">
      <alignment horizontal="right"/>
    </xf>
    <xf numFmtId="171" fontId="15" fillId="0" borderId="21" xfId="0" applyNumberFormat="1" applyFont="1" applyFill="1" applyBorder="1" applyAlignment="1">
      <alignment horizontal="right"/>
    </xf>
    <xf numFmtId="0" fontId="15" fillId="0" borderId="8" xfId="0" applyFont="1" applyFill="1" applyBorder="1" applyAlignment="1">
      <alignment horizontal="center"/>
    </xf>
    <xf numFmtId="0" fontId="14" fillId="0" borderId="8" xfId="0" applyFont="1" applyFill="1" applyBorder="1" applyAlignment="1">
      <alignment horizontal="left"/>
    </xf>
    <xf numFmtId="0" fontId="16" fillId="0" borderId="8" xfId="0" applyFont="1" applyFill="1" applyBorder="1" applyAlignment="1">
      <alignment horizontal="center"/>
    </xf>
    <xf numFmtId="171" fontId="14" fillId="0" borderId="8" xfId="0" applyNumberFormat="1" applyFont="1" applyFill="1" applyBorder="1" applyAlignment="1">
      <alignment horizontal="right"/>
    </xf>
    <xf numFmtId="171" fontId="14" fillId="0" borderId="22" xfId="0" applyNumberFormat="1" applyFont="1" applyFill="1" applyBorder="1" applyAlignment="1">
      <alignment horizontal="right"/>
    </xf>
    <xf numFmtId="0" fontId="15" fillId="0" borderId="9" xfId="0" applyFont="1" applyFill="1" applyBorder="1" applyAlignment="1">
      <alignment horizontal="center"/>
    </xf>
    <xf numFmtId="0" fontId="14" fillId="0" borderId="9" xfId="0" applyFont="1" applyFill="1" applyBorder="1" applyAlignment="1">
      <alignment horizontal="left"/>
    </xf>
    <xf numFmtId="0" fontId="16" fillId="0" borderId="9" xfId="0" applyFont="1" applyFill="1" applyBorder="1" applyAlignment="1">
      <alignment horizontal="center"/>
    </xf>
    <xf numFmtId="171" fontId="14" fillId="0" borderId="9" xfId="0" applyNumberFormat="1" applyFont="1" applyFill="1" applyBorder="1" applyAlignment="1">
      <alignment horizontal="right"/>
    </xf>
    <xf numFmtId="171" fontId="14" fillId="0" borderId="23" xfId="0" applyNumberFormat="1" applyFont="1" applyFill="1" applyBorder="1" applyAlignment="1">
      <alignment horizontal="right"/>
    </xf>
    <xf numFmtId="0" fontId="17" fillId="0" borderId="9" xfId="0" applyFont="1" applyFill="1" applyBorder="1" applyAlignment="1">
      <alignment horizontal="center"/>
    </xf>
    <xf numFmtId="0" fontId="18" fillId="0" borderId="9" xfId="0" applyFont="1" applyFill="1" applyBorder="1" applyAlignment="1">
      <alignment horizontal="left"/>
    </xf>
    <xf numFmtId="0" fontId="19" fillId="0" borderId="9" xfId="0" applyFont="1" applyFill="1" applyBorder="1" applyAlignment="1">
      <alignment horizontal="center"/>
    </xf>
    <xf numFmtId="171" fontId="18" fillId="0" borderId="9" xfId="0" applyNumberFormat="1" applyFont="1" applyFill="1" applyBorder="1" applyAlignment="1">
      <alignment horizontal="right"/>
    </xf>
    <xf numFmtId="171" fontId="18" fillId="0" borderId="23" xfId="0" applyNumberFormat="1" applyFont="1" applyFill="1" applyBorder="1" applyAlignment="1">
      <alignment horizontal="right"/>
    </xf>
    <xf numFmtId="0" fontId="15" fillId="0" borderId="10" xfId="0" applyFont="1" applyFill="1" applyBorder="1" applyAlignment="1">
      <alignment horizontal="center"/>
    </xf>
    <xf numFmtId="0" fontId="14" fillId="0" borderId="10" xfId="0" applyFont="1" applyFill="1" applyBorder="1" applyAlignment="1">
      <alignment horizontal="left"/>
    </xf>
    <xf numFmtId="0" fontId="16" fillId="0" borderId="10" xfId="0" applyFont="1" applyFill="1" applyBorder="1" applyAlignment="1">
      <alignment horizontal="center"/>
    </xf>
    <xf numFmtId="171" fontId="14" fillId="0" borderId="10" xfId="0" applyNumberFormat="1" applyFont="1" applyFill="1" applyBorder="1" applyAlignment="1">
      <alignment horizontal="right"/>
    </xf>
    <xf numFmtId="171" fontId="14" fillId="0" borderId="24" xfId="0" applyNumberFormat="1" applyFont="1" applyFill="1" applyBorder="1" applyAlignment="1">
      <alignment horizontal="right"/>
    </xf>
    <xf numFmtId="0" fontId="14" fillId="0" borderId="9" xfId="0" applyFont="1" applyFill="1" applyBorder="1"/>
    <xf numFmtId="172" fontId="14" fillId="0" borderId="9" xfId="0" applyNumberFormat="1" applyFont="1" applyFill="1" applyBorder="1" applyAlignment="1">
      <alignment horizontal="right"/>
    </xf>
    <xf numFmtId="172" fontId="14" fillId="0" borderId="23" xfId="0" applyNumberFormat="1" applyFont="1" applyFill="1" applyBorder="1" applyAlignment="1">
      <alignment horizontal="right"/>
    </xf>
    <xf numFmtId="170" fontId="14" fillId="0" borderId="9" xfId="0" applyNumberFormat="1" applyFont="1" applyFill="1" applyBorder="1" applyAlignment="1">
      <alignment horizontal="right"/>
    </xf>
    <xf numFmtId="173" fontId="14" fillId="0" borderId="9" xfId="0" applyNumberFormat="1" applyFont="1" applyFill="1" applyBorder="1" applyAlignment="1">
      <alignment horizontal="right"/>
    </xf>
    <xf numFmtId="173" fontId="14" fillId="0" borderId="23" xfId="0" applyNumberFormat="1" applyFont="1" applyFill="1" applyBorder="1" applyAlignment="1">
      <alignment horizontal="right"/>
    </xf>
    <xf numFmtId="0" fontId="14" fillId="0" borderId="11" xfId="0" applyFont="1" applyFill="1" applyBorder="1"/>
    <xf numFmtId="0" fontId="15" fillId="0" borderId="11" xfId="0" applyFont="1" applyFill="1" applyBorder="1" applyAlignment="1">
      <alignment horizontal="center"/>
    </xf>
    <xf numFmtId="0" fontId="14" fillId="0" borderId="11" xfId="0" applyFont="1" applyFill="1" applyBorder="1" applyAlignment="1">
      <alignment horizontal="left"/>
    </xf>
    <xf numFmtId="0" fontId="16" fillId="0" borderId="11" xfId="0" applyFont="1" applyFill="1" applyBorder="1" applyAlignment="1">
      <alignment horizontal="center"/>
    </xf>
    <xf numFmtId="171" fontId="14" fillId="0" borderId="11" xfId="0" applyNumberFormat="1" applyFont="1" applyFill="1" applyBorder="1" applyAlignment="1">
      <alignment horizontal="right"/>
    </xf>
    <xf numFmtId="171" fontId="14" fillId="0" borderId="25" xfId="0" applyNumberFormat="1" applyFont="1" applyFill="1" applyBorder="1" applyAlignment="1">
      <alignment horizontal="right"/>
    </xf>
    <xf numFmtId="171" fontId="8" fillId="0" borderId="0" xfId="0" applyNumberFormat="1" applyFont="1" applyFill="1"/>
    <xf numFmtId="173" fontId="15" fillId="0" borderId="7" xfId="0" applyNumberFormat="1" applyFont="1" applyFill="1" applyBorder="1" applyAlignment="1">
      <alignment horizontal="right"/>
    </xf>
    <xf numFmtId="173" fontId="15" fillId="0" borderId="21" xfId="0" applyNumberFormat="1" applyFont="1" applyFill="1" applyBorder="1" applyAlignment="1">
      <alignment horizontal="right"/>
    </xf>
  </cellXfs>
  <cellStyles count="6">
    <cellStyle name="20% - Accent2" xfId="3" builtinId="34" hidden="1"/>
    <cellStyle name="60% - Accent2" xfId="4" builtinId="36" hidden="1"/>
    <cellStyle name="Accent2" xfId="1" builtinId="33"/>
    <cellStyle name="Accent3" xfId="5" builtinId="37" hidden="1"/>
    <cellStyle name="Good" xfId="2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B24"/>
  <sheetViews>
    <sheetView zoomScale="55" zoomScaleNormal="55" workbookViewId="0">
      <selection sqref="A1:XFD1048576"/>
    </sheetView>
  </sheetViews>
  <sheetFormatPr defaultColWidth="13.44140625" defaultRowHeight="13.8" x14ac:dyDescent="0.25"/>
  <cols>
    <col min="1" max="1" width="5.33203125" style="2" bestFit="1" customWidth="1"/>
    <col min="2" max="2" width="55.88671875" style="2" customWidth="1"/>
    <col min="3" max="3" width="12.5546875" style="2" bestFit="1" customWidth="1"/>
    <col min="4" max="4" width="16.88671875" style="2" bestFit="1" customWidth="1"/>
    <col min="5" max="5" width="22.44140625" style="2" bestFit="1" customWidth="1"/>
    <col min="6" max="6" width="21.44140625" style="2" bestFit="1" customWidth="1"/>
    <col min="7" max="7" width="18.5546875" style="2" bestFit="1" customWidth="1"/>
    <col min="8" max="8" width="16.5546875" style="2" bestFit="1" customWidth="1"/>
    <col min="9" max="9" width="26.5546875" style="2" bestFit="1" customWidth="1"/>
    <col min="10" max="10" width="25.109375" style="2" bestFit="1" customWidth="1"/>
    <col min="11" max="11" width="17.88671875" style="2" bestFit="1" customWidth="1"/>
    <col min="12" max="12" width="18.33203125" style="2" bestFit="1" customWidth="1"/>
    <col min="13" max="13" width="17.33203125" style="2" bestFit="1" customWidth="1"/>
    <col min="14" max="15" width="17.5546875" style="2" bestFit="1" customWidth="1"/>
    <col min="16" max="17" width="18" style="2" customWidth="1"/>
    <col min="18" max="18" width="12.33203125" style="2" bestFit="1" customWidth="1"/>
    <col min="19" max="19" width="9.6640625" style="2" bestFit="1" customWidth="1"/>
    <col min="20" max="20" width="13.44140625" style="2"/>
    <col min="21" max="22" width="17.5546875" style="2" customWidth="1"/>
    <col min="23" max="24" width="16.6640625" style="2" customWidth="1"/>
    <col min="25" max="25" width="16.44140625" style="2" customWidth="1"/>
    <col min="26" max="16384" width="13.44140625" style="2"/>
  </cols>
  <sheetData>
    <row r="1" spans="1:28" s="3" customFormat="1" x14ac:dyDescent="0.25">
      <c r="A1" s="1"/>
      <c r="B1" s="1" t="s">
        <v>304</v>
      </c>
      <c r="C1" s="1"/>
      <c r="D1" s="2"/>
      <c r="E1" s="2"/>
      <c r="F1" s="2"/>
      <c r="G1" s="2"/>
      <c r="H1" s="2"/>
    </row>
    <row r="2" spans="1:28" s="3" customFormat="1" x14ac:dyDescent="0.25">
      <c r="A2" s="1"/>
      <c r="B2" s="1"/>
      <c r="C2" s="1"/>
      <c r="D2" s="2"/>
      <c r="E2" s="2"/>
      <c r="F2" s="2"/>
      <c r="G2" s="2"/>
      <c r="T2" s="2"/>
      <c r="U2" s="2"/>
      <c r="V2" s="2"/>
      <c r="W2" s="2"/>
      <c r="X2" s="2"/>
      <c r="Y2" s="2"/>
      <c r="Z2" s="2"/>
      <c r="AA2" s="2"/>
      <c r="AB2" s="2"/>
    </row>
    <row r="3" spans="1:28" s="3" customFormat="1" ht="19.5" customHeight="1" x14ac:dyDescent="0.25">
      <c r="A3" s="1"/>
      <c r="B3" s="1"/>
      <c r="C3" s="1"/>
      <c r="D3" s="4">
        <v>2115</v>
      </c>
      <c r="E3" s="4">
        <v>2117</v>
      </c>
      <c r="F3" s="4">
        <v>2210</v>
      </c>
      <c r="G3" s="4">
        <v>2230</v>
      </c>
      <c r="H3" s="4">
        <v>3220</v>
      </c>
      <c r="I3" s="4">
        <v>3234</v>
      </c>
      <c r="J3" s="4">
        <v>3260</v>
      </c>
      <c r="K3" s="4" t="s">
        <v>157</v>
      </c>
      <c r="L3" s="4">
        <v>4100</v>
      </c>
      <c r="M3" s="4">
        <v>5541</v>
      </c>
      <c r="N3" s="4">
        <v>5544</v>
      </c>
      <c r="O3" s="4">
        <v>5542</v>
      </c>
      <c r="P3" s="4">
        <v>5550</v>
      </c>
      <c r="Q3" s="4">
        <v>5200</v>
      </c>
      <c r="R3" s="4">
        <v>6000</v>
      </c>
      <c r="T3" s="2"/>
      <c r="U3" s="2"/>
      <c r="V3" s="2"/>
      <c r="W3" s="2"/>
      <c r="X3" s="2"/>
      <c r="Y3" s="2"/>
      <c r="Z3" s="2"/>
      <c r="AA3" s="2"/>
      <c r="AB3" s="2"/>
    </row>
    <row r="4" spans="1:28" s="7" customFormat="1" ht="31.5" customHeight="1" thickBot="1" x14ac:dyDescent="0.3">
      <c r="A4" s="1"/>
      <c r="B4" s="5" t="s">
        <v>275</v>
      </c>
      <c r="C4" s="5"/>
      <c r="D4" s="6" t="s">
        <v>342</v>
      </c>
      <c r="E4" s="6" t="s">
        <v>55</v>
      </c>
      <c r="F4" s="6" t="s">
        <v>160</v>
      </c>
      <c r="G4" s="6" t="s">
        <v>161</v>
      </c>
      <c r="H4" s="6" t="s">
        <v>168</v>
      </c>
      <c r="I4" s="6" t="s">
        <v>169</v>
      </c>
      <c r="J4" s="6" t="s">
        <v>173</v>
      </c>
      <c r="K4" s="6" t="s">
        <v>174</v>
      </c>
      <c r="L4" s="6" t="s">
        <v>179</v>
      </c>
      <c r="M4" s="6" t="s">
        <v>187</v>
      </c>
      <c r="N4" s="6" t="s">
        <v>93</v>
      </c>
      <c r="O4" s="6" t="s">
        <v>188</v>
      </c>
      <c r="P4" s="6" t="s">
        <v>190</v>
      </c>
      <c r="Q4" s="6" t="s">
        <v>194</v>
      </c>
      <c r="R4" s="6" t="s">
        <v>195</v>
      </c>
      <c r="T4" s="2"/>
      <c r="U4" s="2"/>
      <c r="V4" s="2"/>
      <c r="W4" s="2"/>
      <c r="X4" s="2"/>
      <c r="Y4" s="2"/>
      <c r="Z4" s="2"/>
      <c r="AA4" s="2"/>
      <c r="AB4" s="2"/>
    </row>
    <row r="5" spans="1:28" s="3" customFormat="1" x14ac:dyDescent="0.25">
      <c r="A5" s="1"/>
      <c r="B5" s="8" t="s">
        <v>298</v>
      </c>
      <c r="C5" s="9"/>
      <c r="D5" s="10"/>
      <c r="E5" s="10">
        <f>SUM('En.Bal-Final_Energy'!K43:L43)</f>
        <v>0</v>
      </c>
      <c r="F5" s="10">
        <f>'En.Bal-Final_Energy'!N43</f>
        <v>0</v>
      </c>
      <c r="G5" s="10"/>
      <c r="H5" s="10">
        <f>'En.Bal-Final_Energy'!AE43</f>
        <v>0</v>
      </c>
      <c r="I5" s="10">
        <f>'En.Bal-Final_Energy'!AF43</f>
        <v>0</v>
      </c>
      <c r="J5" s="10">
        <f>'En.Bal-Final_Energy'!AL43+'En.Bal-Final_Energy'!AJ43</f>
        <v>11.974247999999999</v>
      </c>
      <c r="K5" s="10">
        <f>'En.Bal-Final_Energy'!AS43</f>
        <v>0</v>
      </c>
      <c r="L5" s="10">
        <f>'En.Bal-Final_Energy'!AU43</f>
        <v>2.1352679999999999</v>
      </c>
      <c r="M5" s="10">
        <f>'En.Bal-Final_Energy'!BF43</f>
        <v>7.1999999999999995E-2</v>
      </c>
      <c r="N5" s="10"/>
      <c r="O5" s="10"/>
      <c r="P5" s="10"/>
      <c r="Q5" s="10">
        <f>'En.Bal-Final_Energy'!BS43</f>
        <v>0</v>
      </c>
      <c r="R5" s="10">
        <f>'En.Bal-Final_Energy'!BT43</f>
        <v>3.6843840000000001</v>
      </c>
      <c r="S5" s="11">
        <f>SUM(D5:R5)</f>
        <v>17.8659</v>
      </c>
      <c r="U5" s="2"/>
      <c r="V5" s="2"/>
      <c r="W5" s="2"/>
      <c r="X5" s="2"/>
      <c r="Y5" s="2"/>
      <c r="Z5" s="2"/>
      <c r="AA5" s="2"/>
      <c r="AB5" s="2"/>
    </row>
    <row r="6" spans="1:28" ht="14.4" thickBot="1" x14ac:dyDescent="0.3">
      <c r="A6" s="1"/>
      <c r="D6" s="12" t="str">
        <f>Commodities!D31</f>
        <v>AGRCOASUB</v>
      </c>
      <c r="E6" s="12" t="str">
        <f>Commodities!D32</f>
        <v>AGRCOABIC</v>
      </c>
      <c r="F6" s="12" t="str">
        <f>Commodities!D33</f>
        <v>AGRCOABCO</v>
      </c>
      <c r="G6" s="12" t="str">
        <f>Commodities!D34</f>
        <v>AGRCOABKB</v>
      </c>
      <c r="H6" s="12" t="str">
        <f>Commodities!D37</f>
        <v>AGROILLPG</v>
      </c>
      <c r="I6" s="12" t="str">
        <f>Commodities!D36</f>
        <v>AGROILGSL</v>
      </c>
      <c r="J6" s="12" t="str">
        <f>Commodities!D35</f>
        <v>AGROILDSL</v>
      </c>
      <c r="K6" s="12" t="str">
        <f>Commodities!D38</f>
        <v>AGROILHFO</v>
      </c>
      <c r="L6" s="12" t="str">
        <f>Commodities!D39</f>
        <v>AGRGASNAT</v>
      </c>
      <c r="M6" s="12" t="str">
        <f>Commodities!D40</f>
        <v>AGRBIOLOG</v>
      </c>
      <c r="N6" s="12" t="str">
        <f>Commodities!D47</f>
        <v>AGRBIOCHR</v>
      </c>
      <c r="O6" s="12" t="str">
        <f>Commodities!D45</f>
        <v>AGRBIOBGS</v>
      </c>
      <c r="P6" s="12" t="str">
        <f>Commodities!D49</f>
        <v>AGRRESGEO</v>
      </c>
      <c r="Q6" s="12" t="str">
        <f>Commodities!D50</f>
        <v>AGRLTH</v>
      </c>
      <c r="R6" s="12" t="str">
        <f>Commodities!D53</f>
        <v>AGRELC</v>
      </c>
    </row>
    <row r="7" spans="1:28" x14ac:dyDescent="0.25">
      <c r="A7" s="1"/>
    </row>
    <row r="9" spans="1:28" x14ac:dyDescent="0.25">
      <c r="B9" s="5" t="s">
        <v>277</v>
      </c>
      <c r="C9" s="5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</row>
    <row r="10" spans="1:28" ht="28.2" thickBot="1" x14ac:dyDescent="0.3">
      <c r="B10" s="14" t="s">
        <v>278</v>
      </c>
      <c r="C10" s="15"/>
      <c r="D10" s="14" t="str">
        <f t="shared" ref="D10:R10" si="0">D4</f>
        <v>Sub-bituminous coal</v>
      </c>
      <c r="E10" s="14" t="str">
        <f t="shared" si="0"/>
        <v>Other bituminous coal</v>
      </c>
      <c r="F10" s="14" t="str">
        <f t="shared" si="0"/>
        <v>Lignite / Brown Coal</v>
      </c>
      <c r="G10" s="14" t="str">
        <f t="shared" si="0"/>
        <v>BKB</v>
      </c>
      <c r="H10" s="14" t="str">
        <f t="shared" si="0"/>
        <v>LPG</v>
      </c>
      <c r="I10" s="14" t="str">
        <f t="shared" si="0"/>
        <v>Motor Gasoline (w/o bio)</v>
      </c>
      <c r="J10" s="14" t="str">
        <f t="shared" si="0"/>
        <v>Gas/Diesel Oil (w/o bio)</v>
      </c>
      <c r="K10" s="14" t="str">
        <f t="shared" si="0"/>
        <v>Fuel Oil</v>
      </c>
      <c r="L10" s="14" t="str">
        <f t="shared" si="0"/>
        <v>Natural gas</v>
      </c>
      <c r="M10" s="14" t="str">
        <f t="shared" si="0"/>
        <v>Solid biomass</v>
      </c>
      <c r="N10" s="14" t="str">
        <f t="shared" si="0"/>
        <v>Charcoal</v>
      </c>
      <c r="O10" s="14" t="str">
        <f t="shared" si="0"/>
        <v>Biogas (all)</v>
      </c>
      <c r="P10" s="14" t="str">
        <f t="shared" si="0"/>
        <v>Geo-thermal</v>
      </c>
      <c r="Q10" s="14" t="str">
        <f t="shared" ref="Q10" si="1">Q4</f>
        <v>Derived heat</v>
      </c>
      <c r="R10" s="14" t="str">
        <f t="shared" si="0"/>
        <v>Electricity</v>
      </c>
    </row>
    <row r="11" spans="1:28" x14ac:dyDescent="0.25">
      <c r="B11" s="9" t="s">
        <v>279</v>
      </c>
      <c r="C11" s="9" t="str">
        <f>Commodities!$X$7</f>
        <v>AGRMAC</v>
      </c>
      <c r="D11" s="9"/>
      <c r="E11" s="16"/>
      <c r="F11" s="16"/>
      <c r="G11" s="16"/>
      <c r="H11" s="16">
        <v>1</v>
      </c>
      <c r="I11" s="16">
        <v>1</v>
      </c>
      <c r="J11" s="16">
        <v>1</v>
      </c>
      <c r="K11" s="16">
        <v>1</v>
      </c>
      <c r="L11" s="16">
        <v>0</v>
      </c>
      <c r="M11" s="16">
        <v>0</v>
      </c>
      <c r="N11" s="16"/>
      <c r="O11" s="16"/>
      <c r="P11" s="16"/>
      <c r="Q11" s="16"/>
      <c r="R11" s="16"/>
    </row>
    <row r="12" spans="1:28" x14ac:dyDescent="0.25">
      <c r="B12" s="9" t="s">
        <v>362</v>
      </c>
      <c r="C12" s="9" t="str">
        <f>Commodities!$X$9</f>
        <v>AGRSTHT</v>
      </c>
      <c r="D12" s="17">
        <v>1</v>
      </c>
      <c r="E12" s="17">
        <v>1</v>
      </c>
      <c r="F12" s="17">
        <v>1</v>
      </c>
      <c r="G12" s="17">
        <v>1</v>
      </c>
      <c r="H12" s="16"/>
      <c r="I12" s="16"/>
      <c r="J12" s="16">
        <v>0</v>
      </c>
      <c r="K12" s="16"/>
      <c r="L12" s="16">
        <v>1</v>
      </c>
      <c r="M12" s="16">
        <v>1</v>
      </c>
      <c r="N12" s="16"/>
      <c r="O12" s="16"/>
      <c r="P12" s="16"/>
      <c r="Q12" s="16">
        <v>1</v>
      </c>
      <c r="R12" s="16"/>
    </row>
    <row r="13" spans="1:28" x14ac:dyDescent="0.25">
      <c r="B13" s="9" t="s">
        <v>363</v>
      </c>
      <c r="C13" s="9" t="str">
        <f>Commodities!$X$10</f>
        <v>AGRSTMCH</v>
      </c>
      <c r="D13" s="9"/>
      <c r="E13" s="16"/>
      <c r="F13" s="16"/>
      <c r="G13" s="16"/>
      <c r="H13" s="16"/>
      <c r="I13" s="16"/>
      <c r="J13" s="16">
        <v>0</v>
      </c>
      <c r="K13" s="16"/>
      <c r="L13" s="16"/>
      <c r="M13" s="16"/>
      <c r="N13" s="16"/>
      <c r="O13" s="16"/>
      <c r="P13" s="16"/>
      <c r="Q13" s="16"/>
      <c r="R13" s="16">
        <v>0.8</v>
      </c>
    </row>
    <row r="14" spans="1:28" x14ac:dyDescent="0.25">
      <c r="B14" s="9" t="s">
        <v>364</v>
      </c>
      <c r="C14" s="9" t="str">
        <f>Commodities!$X$11</f>
        <v>AGRSTOTH</v>
      </c>
      <c r="D14" s="9"/>
      <c r="E14" s="16"/>
      <c r="F14" s="16"/>
      <c r="G14" s="16"/>
      <c r="H14" s="16"/>
      <c r="I14" s="16"/>
      <c r="J14" s="16">
        <v>0</v>
      </c>
      <c r="K14" s="16"/>
      <c r="L14" s="16"/>
      <c r="M14" s="16"/>
      <c r="N14" s="16"/>
      <c r="O14" s="16"/>
      <c r="P14" s="16"/>
      <c r="Q14" s="16"/>
      <c r="R14" s="16">
        <f>1-R13</f>
        <v>0.19999999999999996</v>
      </c>
    </row>
    <row r="15" spans="1:28" x14ac:dyDescent="0.25">
      <c r="B15" s="18" t="s">
        <v>276</v>
      </c>
      <c r="C15" s="19"/>
      <c r="D15" s="20">
        <f>IF(AND(SUM(D11:D14)&lt;&gt;1,D5&lt;&gt;0),"ERR: " &amp;  SUM(D11:D14),SUM(D11:D14))</f>
        <v>1</v>
      </c>
      <c r="E15" s="20">
        <f t="shared" ref="E15:R15" si="2">IF(AND(SUM(E11:E14)&lt;&gt;1,E5&lt;&gt;0),"ERR: " &amp;  SUM(E11:E14),SUM(E11:E14))</f>
        <v>1</v>
      </c>
      <c r="F15" s="20">
        <f t="shared" si="2"/>
        <v>1</v>
      </c>
      <c r="G15" s="20">
        <f t="shared" si="2"/>
        <v>1</v>
      </c>
      <c r="H15" s="20">
        <f t="shared" si="2"/>
        <v>1</v>
      </c>
      <c r="I15" s="20">
        <f t="shared" si="2"/>
        <v>1</v>
      </c>
      <c r="J15" s="20">
        <f t="shared" si="2"/>
        <v>1</v>
      </c>
      <c r="K15" s="20">
        <f t="shared" si="2"/>
        <v>1</v>
      </c>
      <c r="L15" s="20">
        <f t="shared" si="2"/>
        <v>1</v>
      </c>
      <c r="M15" s="20">
        <f t="shared" si="2"/>
        <v>1</v>
      </c>
      <c r="N15" s="20">
        <f t="shared" si="2"/>
        <v>0</v>
      </c>
      <c r="O15" s="20">
        <f t="shared" si="2"/>
        <v>0</v>
      </c>
      <c r="P15" s="20">
        <f t="shared" si="2"/>
        <v>0</v>
      </c>
      <c r="Q15" s="20">
        <f t="shared" si="2"/>
        <v>1</v>
      </c>
      <c r="R15" s="20">
        <f t="shared" si="2"/>
        <v>1</v>
      </c>
    </row>
    <row r="18" spans="2:19" x14ac:dyDescent="0.25">
      <c r="B18" s="5" t="s">
        <v>280</v>
      </c>
      <c r="C18" s="5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5"/>
    </row>
    <row r="19" spans="2:19" ht="18.75" customHeight="1" thickBot="1" x14ac:dyDescent="0.3">
      <c r="B19" s="15"/>
      <c r="C19" s="15"/>
      <c r="D19" s="14" t="str">
        <f t="shared" ref="D19:R19" si="3">D$6</f>
        <v>AGRCOASUB</v>
      </c>
      <c r="E19" s="14" t="str">
        <f t="shared" si="3"/>
        <v>AGRCOABIC</v>
      </c>
      <c r="F19" s="14" t="str">
        <f t="shared" si="3"/>
        <v>AGRCOABCO</v>
      </c>
      <c r="G19" s="14" t="str">
        <f t="shared" si="3"/>
        <v>AGRCOABKB</v>
      </c>
      <c r="H19" s="14" t="str">
        <f t="shared" si="3"/>
        <v>AGROILLPG</v>
      </c>
      <c r="I19" s="14" t="str">
        <f t="shared" si="3"/>
        <v>AGROILGSL</v>
      </c>
      <c r="J19" s="14" t="str">
        <f t="shared" si="3"/>
        <v>AGROILDSL</v>
      </c>
      <c r="K19" s="14" t="str">
        <f t="shared" si="3"/>
        <v>AGROILHFO</v>
      </c>
      <c r="L19" s="14" t="str">
        <f t="shared" si="3"/>
        <v>AGRGASNAT</v>
      </c>
      <c r="M19" s="14" t="str">
        <f t="shared" si="3"/>
        <v>AGRBIOLOG</v>
      </c>
      <c r="N19" s="14" t="str">
        <f t="shared" si="3"/>
        <v>AGRBIOCHR</v>
      </c>
      <c r="O19" s="14" t="str">
        <f t="shared" si="3"/>
        <v>AGRBIOBGS</v>
      </c>
      <c r="P19" s="14" t="str">
        <f t="shared" si="3"/>
        <v>AGRRESGEO</v>
      </c>
      <c r="Q19" s="14" t="str">
        <f t="shared" si="3"/>
        <v>AGRLTH</v>
      </c>
      <c r="R19" s="14" t="str">
        <f t="shared" si="3"/>
        <v>AGRELC</v>
      </c>
      <c r="S19" s="15" t="s">
        <v>276</v>
      </c>
    </row>
    <row r="20" spans="2:19" x14ac:dyDescent="0.25">
      <c r="B20" s="9" t="s">
        <v>279</v>
      </c>
      <c r="C20" s="9" t="str">
        <f>Commodities!$X$7</f>
        <v>AGRMAC</v>
      </c>
      <c r="D20" s="21">
        <f>D$5*D11</f>
        <v>0</v>
      </c>
      <c r="E20" s="21">
        <f t="shared" ref="E20:R20" si="4">E$5*E11</f>
        <v>0</v>
      </c>
      <c r="F20" s="21">
        <f t="shared" si="4"/>
        <v>0</v>
      </c>
      <c r="G20" s="21">
        <f t="shared" si="4"/>
        <v>0</v>
      </c>
      <c r="H20" s="21">
        <f t="shared" si="4"/>
        <v>0</v>
      </c>
      <c r="I20" s="21">
        <f t="shared" si="4"/>
        <v>0</v>
      </c>
      <c r="J20" s="21">
        <f t="shared" si="4"/>
        <v>11.974247999999999</v>
      </c>
      <c r="K20" s="21">
        <f t="shared" si="4"/>
        <v>0</v>
      </c>
      <c r="L20" s="21">
        <f t="shared" si="4"/>
        <v>0</v>
      </c>
      <c r="M20" s="21">
        <f t="shared" si="4"/>
        <v>0</v>
      </c>
      <c r="N20" s="21">
        <f t="shared" si="4"/>
        <v>0</v>
      </c>
      <c r="O20" s="21">
        <f t="shared" si="4"/>
        <v>0</v>
      </c>
      <c r="P20" s="21">
        <f t="shared" si="4"/>
        <v>0</v>
      </c>
      <c r="Q20" s="21">
        <f t="shared" si="4"/>
        <v>0</v>
      </c>
      <c r="R20" s="21">
        <f t="shared" si="4"/>
        <v>0</v>
      </c>
      <c r="S20" s="22">
        <f>SUM(D20:R20)</f>
        <v>11.974247999999999</v>
      </c>
    </row>
    <row r="21" spans="2:19" x14ac:dyDescent="0.25">
      <c r="B21" s="9" t="s">
        <v>362</v>
      </c>
      <c r="C21" s="9" t="str">
        <f>Commodities!$X$9</f>
        <v>AGRSTHT</v>
      </c>
      <c r="D21" s="21">
        <f t="shared" ref="D21:R23" si="5">D$5*D12</f>
        <v>0</v>
      </c>
      <c r="E21" s="21">
        <f t="shared" si="5"/>
        <v>0</v>
      </c>
      <c r="F21" s="21">
        <f t="shared" si="5"/>
        <v>0</v>
      </c>
      <c r="G21" s="21">
        <f t="shared" si="5"/>
        <v>0</v>
      </c>
      <c r="H21" s="21">
        <f t="shared" si="5"/>
        <v>0</v>
      </c>
      <c r="I21" s="21">
        <f t="shared" si="5"/>
        <v>0</v>
      </c>
      <c r="J21" s="21">
        <f t="shared" si="5"/>
        <v>0</v>
      </c>
      <c r="K21" s="21">
        <f t="shared" si="5"/>
        <v>0</v>
      </c>
      <c r="L21" s="21">
        <f t="shared" si="5"/>
        <v>2.1352679999999999</v>
      </c>
      <c r="M21" s="21">
        <f t="shared" si="5"/>
        <v>7.1999999999999995E-2</v>
      </c>
      <c r="N21" s="21">
        <f t="shared" si="5"/>
        <v>0</v>
      </c>
      <c r="O21" s="21">
        <f t="shared" si="5"/>
        <v>0</v>
      </c>
      <c r="P21" s="21">
        <f t="shared" si="5"/>
        <v>0</v>
      </c>
      <c r="Q21" s="21">
        <f t="shared" si="5"/>
        <v>0</v>
      </c>
      <c r="R21" s="21">
        <f t="shared" si="5"/>
        <v>0</v>
      </c>
      <c r="S21" s="22">
        <f>SUM(D21:R21)</f>
        <v>2.207268</v>
      </c>
    </row>
    <row r="22" spans="2:19" x14ac:dyDescent="0.25">
      <c r="B22" s="9" t="s">
        <v>363</v>
      </c>
      <c r="C22" s="9" t="str">
        <f>Commodities!$X$10</f>
        <v>AGRSTMCH</v>
      </c>
      <c r="D22" s="21">
        <f t="shared" si="5"/>
        <v>0</v>
      </c>
      <c r="E22" s="21">
        <f t="shared" si="5"/>
        <v>0</v>
      </c>
      <c r="F22" s="21">
        <f t="shared" si="5"/>
        <v>0</v>
      </c>
      <c r="G22" s="21">
        <f t="shared" si="5"/>
        <v>0</v>
      </c>
      <c r="H22" s="21">
        <f t="shared" si="5"/>
        <v>0</v>
      </c>
      <c r="I22" s="21">
        <f t="shared" si="5"/>
        <v>0</v>
      </c>
      <c r="J22" s="21">
        <f t="shared" si="5"/>
        <v>0</v>
      </c>
      <c r="K22" s="21">
        <f t="shared" si="5"/>
        <v>0</v>
      </c>
      <c r="L22" s="21">
        <f t="shared" si="5"/>
        <v>0</v>
      </c>
      <c r="M22" s="21">
        <f t="shared" si="5"/>
        <v>0</v>
      </c>
      <c r="N22" s="21">
        <f t="shared" si="5"/>
        <v>0</v>
      </c>
      <c r="O22" s="21">
        <f t="shared" si="5"/>
        <v>0</v>
      </c>
      <c r="P22" s="21">
        <f t="shared" si="5"/>
        <v>0</v>
      </c>
      <c r="Q22" s="21">
        <f t="shared" si="5"/>
        <v>0</v>
      </c>
      <c r="R22" s="21">
        <f t="shared" si="5"/>
        <v>2.9475072000000004</v>
      </c>
      <c r="S22" s="22">
        <f>SUM(D22:R22)</f>
        <v>2.9475072000000004</v>
      </c>
    </row>
    <row r="23" spans="2:19" x14ac:dyDescent="0.25">
      <c r="B23" s="9" t="s">
        <v>364</v>
      </c>
      <c r="C23" s="9" t="str">
        <f>Commodities!$X$11</f>
        <v>AGRSTOTH</v>
      </c>
      <c r="D23" s="21">
        <f t="shared" si="5"/>
        <v>0</v>
      </c>
      <c r="E23" s="21">
        <f t="shared" si="5"/>
        <v>0</v>
      </c>
      <c r="F23" s="21">
        <f t="shared" si="5"/>
        <v>0</v>
      </c>
      <c r="G23" s="21">
        <f t="shared" si="5"/>
        <v>0</v>
      </c>
      <c r="H23" s="21">
        <f t="shared" si="5"/>
        <v>0</v>
      </c>
      <c r="I23" s="21">
        <f t="shared" si="5"/>
        <v>0</v>
      </c>
      <c r="J23" s="21">
        <f t="shared" si="5"/>
        <v>0</v>
      </c>
      <c r="K23" s="21">
        <f t="shared" si="5"/>
        <v>0</v>
      </c>
      <c r="L23" s="21">
        <f t="shared" si="5"/>
        <v>0</v>
      </c>
      <c r="M23" s="21">
        <f t="shared" si="5"/>
        <v>0</v>
      </c>
      <c r="N23" s="21">
        <f t="shared" si="5"/>
        <v>0</v>
      </c>
      <c r="O23" s="21">
        <f t="shared" si="5"/>
        <v>0</v>
      </c>
      <c r="P23" s="21">
        <f t="shared" si="5"/>
        <v>0</v>
      </c>
      <c r="Q23" s="21">
        <f t="shared" si="5"/>
        <v>0</v>
      </c>
      <c r="R23" s="21">
        <f t="shared" si="5"/>
        <v>0.73687679999999989</v>
      </c>
      <c r="S23" s="22">
        <f>SUM(D23:R23)</f>
        <v>0.73687679999999989</v>
      </c>
    </row>
    <row r="24" spans="2:19" x14ac:dyDescent="0.25">
      <c r="S24" s="22">
        <f>SUM(S20:S23)</f>
        <v>17.8659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C53"/>
  <sheetViews>
    <sheetView zoomScale="55" zoomScaleNormal="55" workbookViewId="0">
      <selection sqref="A1:XFD1048576"/>
    </sheetView>
  </sheetViews>
  <sheetFormatPr defaultColWidth="9.109375" defaultRowHeight="13.8" x14ac:dyDescent="0.25"/>
  <cols>
    <col min="1" max="1" width="5.88671875" style="2" customWidth="1"/>
    <col min="2" max="2" width="39.5546875" style="2" customWidth="1"/>
    <col min="3" max="3" width="65.88671875" style="2" customWidth="1"/>
    <col min="4" max="4" width="37.88671875" style="2" customWidth="1"/>
    <col min="5" max="5" width="16.6640625" style="2" customWidth="1"/>
    <col min="6" max="6" width="18.5546875" style="2" customWidth="1"/>
    <col min="7" max="7" width="24.33203125" style="2" bestFit="1" customWidth="1"/>
    <col min="8" max="8" width="19.88671875" style="2" customWidth="1"/>
    <col min="9" max="9" width="9.5546875" style="2" customWidth="1"/>
    <col min="10" max="10" width="23.44140625" style="2" bestFit="1" customWidth="1"/>
    <col min="11" max="11" width="16.88671875" style="2" bestFit="1" customWidth="1"/>
    <col min="12" max="12" width="18.88671875" style="2" bestFit="1" customWidth="1"/>
    <col min="13" max="13" width="8.6640625" style="2" customWidth="1"/>
    <col min="14" max="14" width="15.5546875" style="2" customWidth="1"/>
    <col min="15" max="15" width="11.44140625" style="2" customWidth="1"/>
    <col min="16" max="16" width="16.88671875" style="2" customWidth="1"/>
    <col min="17" max="17" width="20.44140625" style="2" customWidth="1"/>
    <col min="18" max="18" width="22.109375" style="2" customWidth="1"/>
    <col min="19" max="19" width="11.6640625" style="2" customWidth="1"/>
    <col min="20" max="20" width="24.88671875" style="2" customWidth="1"/>
    <col min="21" max="21" width="18.109375" style="2" customWidth="1"/>
    <col min="22" max="22" width="31" style="2" customWidth="1"/>
    <col min="23" max="23" width="39" style="2" customWidth="1"/>
    <col min="24" max="24" width="69.109375" style="2" customWidth="1"/>
    <col min="25" max="25" width="12.44140625" style="2" bestFit="1" customWidth="1"/>
    <col min="26" max="26" width="9.6640625" style="2" bestFit="1" customWidth="1"/>
    <col min="27" max="27" width="13" style="2" bestFit="1" customWidth="1"/>
    <col min="28" max="28" width="9.5546875" style="2" bestFit="1" customWidth="1"/>
    <col min="29" max="29" width="9.109375" style="2"/>
    <col min="30" max="30" width="42.44140625" style="2" bestFit="1" customWidth="1"/>
    <col min="31" max="16384" width="9.109375" style="2"/>
  </cols>
  <sheetData>
    <row r="1" spans="2:29" x14ac:dyDescent="0.25">
      <c r="B1" s="1" t="s">
        <v>283</v>
      </c>
    </row>
    <row r="2" spans="2:29" x14ac:dyDescent="0.25">
      <c r="D2" s="1" t="s">
        <v>15</v>
      </c>
      <c r="E2" s="1"/>
    </row>
    <row r="3" spans="2:29" x14ac:dyDescent="0.25">
      <c r="B3" s="5" t="s">
        <v>285</v>
      </c>
      <c r="C3" s="5" t="s">
        <v>291</v>
      </c>
      <c r="D3" s="5" t="s">
        <v>0</v>
      </c>
      <c r="E3" s="5" t="s">
        <v>286</v>
      </c>
      <c r="F3" s="23">
        <f>BASE_YEAR</f>
        <v>2017</v>
      </c>
    </row>
    <row r="4" spans="2:29" ht="14.4" thickBot="1" x14ac:dyDescent="0.3">
      <c r="B4" s="14" t="s">
        <v>155</v>
      </c>
      <c r="C4" s="14"/>
      <c r="D4" s="14" t="s">
        <v>287</v>
      </c>
      <c r="E4" s="14" t="s">
        <v>288</v>
      </c>
      <c r="F4" s="6" t="s">
        <v>289</v>
      </c>
    </row>
    <row r="5" spans="2:29" ht="14.4" thickBot="1" x14ac:dyDescent="0.3">
      <c r="B5" s="14" t="s">
        <v>49</v>
      </c>
      <c r="C5" s="14"/>
      <c r="D5" s="14"/>
      <c r="E5" s="14"/>
      <c r="F5" s="6" t="str">
        <f>General!$B$2</f>
        <v>PJ</v>
      </c>
    </row>
    <row r="6" spans="2:29" x14ac:dyDescent="0.25">
      <c r="B6" s="24" t="s">
        <v>284</v>
      </c>
      <c r="C6" s="25" t="str">
        <f>Commodities!Y7</f>
        <v>Agricultural Machinery</v>
      </c>
      <c r="D6" s="25" t="str">
        <f>Commodities!X7</f>
        <v>AGRMAC</v>
      </c>
      <c r="E6" s="25" t="str">
        <f>General!$B$2</f>
        <v>PJ</v>
      </c>
      <c r="F6" s="26">
        <f>SUMPRODUCT(G19:G20,H19:H20)</f>
        <v>3.5922743999999991</v>
      </c>
    </row>
    <row r="7" spans="2:29" x14ac:dyDescent="0.25">
      <c r="B7" s="25" t="s">
        <v>284</v>
      </c>
      <c r="C7" s="25" t="str">
        <f>Commodities!Y8</f>
        <v>Agricultural Stationary Uses</v>
      </c>
      <c r="D7" s="25" t="str">
        <f>Commodities!X8</f>
        <v>AGRSTA</v>
      </c>
      <c r="E7" s="25" t="str">
        <f>General!$B$2</f>
        <v>PJ</v>
      </c>
      <c r="F7" s="26">
        <f>O50</f>
        <v>4.5112705200000001</v>
      </c>
    </row>
    <row r="8" spans="2:29" x14ac:dyDescent="0.25">
      <c r="B8" s="25"/>
      <c r="C8" s="25"/>
    </row>
    <row r="9" spans="2:29" x14ac:dyDescent="0.25">
      <c r="B9" s="25"/>
      <c r="C9" s="25"/>
      <c r="E9" s="27"/>
    </row>
    <row r="10" spans="2:29" x14ac:dyDescent="0.25">
      <c r="B10" s="25"/>
      <c r="C10" s="25"/>
      <c r="E10" s="27"/>
    </row>
    <row r="11" spans="2:29" x14ac:dyDescent="0.25">
      <c r="B11" s="28"/>
      <c r="C11" s="28"/>
    </row>
    <row r="12" spans="2:29" x14ac:dyDescent="0.25">
      <c r="B12" s="1" t="s">
        <v>292</v>
      </c>
      <c r="U12" s="2" t="s">
        <v>153</v>
      </c>
    </row>
    <row r="14" spans="2:29" x14ac:dyDescent="0.25">
      <c r="B14" s="1" t="str">
        <f>C6</f>
        <v>Agricultural Machinery</v>
      </c>
      <c r="D14" s="29"/>
      <c r="E14" s="29"/>
      <c r="F14" s="29"/>
      <c r="H14" s="30"/>
      <c r="I14" s="30"/>
      <c r="J14" s="31"/>
      <c r="K14" s="31"/>
      <c r="O14" s="31"/>
      <c r="U14" s="32" t="s">
        <v>39</v>
      </c>
      <c r="V14" s="32"/>
      <c r="W14" s="32" t="s">
        <v>290</v>
      </c>
      <c r="X14" s="32"/>
      <c r="Y14" s="32"/>
      <c r="Z14" s="32"/>
      <c r="AA14" s="32"/>
      <c r="AB14" s="32"/>
      <c r="AC14" s="32"/>
    </row>
    <row r="15" spans="2:29" x14ac:dyDescent="0.25">
      <c r="E15" s="33" t="s">
        <v>15</v>
      </c>
      <c r="G15" s="30"/>
      <c r="J15" s="34"/>
      <c r="O15" s="31"/>
      <c r="Q15" s="31"/>
      <c r="U15" s="35" t="s">
        <v>19</v>
      </c>
      <c r="V15" s="35"/>
      <c r="W15" s="32"/>
      <c r="X15" s="32"/>
      <c r="Y15" s="32"/>
      <c r="Z15" s="32"/>
      <c r="AA15" s="32"/>
      <c r="AB15" s="32"/>
      <c r="AC15" s="32"/>
    </row>
    <row r="16" spans="2:29" ht="21" customHeight="1" x14ac:dyDescent="0.25">
      <c r="B16" s="5" t="s">
        <v>1</v>
      </c>
      <c r="C16" s="5" t="s">
        <v>42</v>
      </c>
      <c r="D16" s="5" t="s">
        <v>7</v>
      </c>
      <c r="E16" s="36" t="s">
        <v>8</v>
      </c>
      <c r="F16" s="23" t="s">
        <v>17</v>
      </c>
      <c r="G16" s="23" t="s">
        <v>308</v>
      </c>
      <c r="H16" s="23" t="s">
        <v>296</v>
      </c>
      <c r="I16" s="23" t="s">
        <v>3</v>
      </c>
      <c r="J16" s="23" t="s">
        <v>6</v>
      </c>
      <c r="K16" s="23" t="s">
        <v>152</v>
      </c>
      <c r="N16" s="23" t="s">
        <v>401</v>
      </c>
      <c r="O16" s="23"/>
      <c r="P16" s="23"/>
      <c r="Q16" s="23"/>
      <c r="R16" s="23"/>
      <c r="U16" s="37" t="s">
        <v>13</v>
      </c>
      <c r="V16" s="37" t="s">
        <v>34</v>
      </c>
      <c r="W16" s="37" t="s">
        <v>1</v>
      </c>
      <c r="X16" s="37" t="s">
        <v>2</v>
      </c>
      <c r="Y16" s="37" t="s">
        <v>20</v>
      </c>
      <c r="Z16" s="37" t="s">
        <v>21</v>
      </c>
      <c r="AA16" s="37" t="s">
        <v>22</v>
      </c>
      <c r="AB16" s="37" t="s">
        <v>23</v>
      </c>
      <c r="AC16" s="37" t="s">
        <v>24</v>
      </c>
    </row>
    <row r="17" spans="2:29" ht="29.25" customHeight="1" thickBot="1" x14ac:dyDescent="0.3">
      <c r="B17" s="6" t="s">
        <v>378</v>
      </c>
      <c r="C17" s="6" t="s">
        <v>26</v>
      </c>
      <c r="D17" s="6" t="s">
        <v>36</v>
      </c>
      <c r="E17" s="38" t="s">
        <v>37</v>
      </c>
      <c r="F17" s="6" t="s">
        <v>38</v>
      </c>
      <c r="G17" s="6" t="s">
        <v>328</v>
      </c>
      <c r="H17" s="6" t="s">
        <v>297</v>
      </c>
      <c r="I17" s="6" t="s">
        <v>41</v>
      </c>
      <c r="J17" s="6" t="s">
        <v>40</v>
      </c>
      <c r="K17" s="6" t="s">
        <v>154</v>
      </c>
      <c r="N17" s="23" t="s">
        <v>293</v>
      </c>
      <c r="O17" s="23" t="s">
        <v>295</v>
      </c>
      <c r="Q17" s="23" t="s">
        <v>403</v>
      </c>
      <c r="R17" s="23" t="s">
        <v>294</v>
      </c>
      <c r="U17" s="39" t="s">
        <v>44</v>
      </c>
      <c r="V17" s="39" t="s">
        <v>35</v>
      </c>
      <c r="W17" s="39" t="s">
        <v>25</v>
      </c>
      <c r="X17" s="39" t="s">
        <v>26</v>
      </c>
      <c r="Y17" s="39" t="s">
        <v>27</v>
      </c>
      <c r="Z17" s="39" t="s">
        <v>28</v>
      </c>
      <c r="AA17" s="39" t="s">
        <v>48</v>
      </c>
      <c r="AB17" s="39" t="s">
        <v>47</v>
      </c>
      <c r="AC17" s="39" t="s">
        <v>29</v>
      </c>
    </row>
    <row r="18" spans="2:29" ht="12.75" customHeight="1" x14ac:dyDescent="0.25">
      <c r="B18" s="40"/>
      <c r="C18" s="41"/>
      <c r="D18" s="41" t="s">
        <v>49</v>
      </c>
      <c r="E18" s="42"/>
      <c r="F18" s="41" t="s">
        <v>335</v>
      </c>
      <c r="G18" s="41" t="str">
        <f>General!$D$19</f>
        <v>TJ/unit</v>
      </c>
      <c r="H18" s="41" t="str">
        <f>General!$D$18</f>
        <v>000s Units</v>
      </c>
      <c r="I18" s="41" t="str">
        <f>General!$D$14</f>
        <v>$/GJ/a</v>
      </c>
      <c r="J18" s="41" t="str">
        <f>General!$D$15</f>
        <v>$/GJ</v>
      </c>
      <c r="K18" s="41" t="str">
        <f>General!$D$20</f>
        <v>Years</v>
      </c>
      <c r="N18" s="41" t="str">
        <f>General!$B$2</f>
        <v>PJ</v>
      </c>
      <c r="O18" s="41" t="str">
        <f>General!$B$2</f>
        <v>PJ</v>
      </c>
      <c r="P18" s="43"/>
      <c r="Q18" s="41" t="str">
        <f>General!$D$19</f>
        <v>TJ/unit</v>
      </c>
      <c r="R18" s="41" t="str">
        <f>General!$D$18</f>
        <v>000s Units</v>
      </c>
      <c r="U18" s="2" t="s">
        <v>281</v>
      </c>
      <c r="W18" s="2" t="str">
        <f>AGR_BAL!$C$20&amp;RIGHT(AGR_BAL!I19,6)&amp;"_"&amp;$W$14&amp;"00"</f>
        <v>AGRMACOILGSL_E00</v>
      </c>
      <c r="X18" s="2" t="str">
        <f>$C$6&amp;" "&amp;Commodities!E36&amp;"-"&amp;$W$14</f>
        <v>Agricultural Machinery Gasoline (AGR)-E</v>
      </c>
      <c r="Y18" s="2" t="str">
        <f>General!$B$2</f>
        <v>PJ</v>
      </c>
      <c r="Z18" s="2" t="s">
        <v>327</v>
      </c>
    </row>
    <row r="19" spans="2:29" x14ac:dyDescent="0.25">
      <c r="B19" s="2" t="str">
        <f>$W$18</f>
        <v>AGRMACOILGSL_E00</v>
      </c>
      <c r="C19" s="2" t="str">
        <f>$X$18</f>
        <v>Agricultural Machinery Gasoline (AGR)-E</v>
      </c>
      <c r="D19" s="2" t="str">
        <f>AGR_BAL!$I$19</f>
        <v>AGROILGSL</v>
      </c>
      <c r="E19" s="44" t="str">
        <f>AGR_BAL!$C$20</f>
        <v>AGRMAC</v>
      </c>
      <c r="F19" s="28">
        <v>0.25</v>
      </c>
      <c r="G19" s="45">
        <f>Q19</f>
        <v>3.7813414736842098E-2</v>
      </c>
      <c r="H19" s="45">
        <f>R19</f>
        <v>0</v>
      </c>
      <c r="I19" s="46"/>
      <c r="J19" s="46"/>
      <c r="K19" s="46">
        <v>25</v>
      </c>
      <c r="N19" s="28">
        <f>IF(F19=0,0,H19*G19/F19)</f>
        <v>0</v>
      </c>
      <c r="O19" s="28">
        <f>AGR_BAL!I20</f>
        <v>0</v>
      </c>
      <c r="P19" s="43"/>
      <c r="Q19" s="47">
        <f>IF(R21=0,0,SUMPRODUCT(F19:F20,O19:O20)/R21)</f>
        <v>3.7813414736842098E-2</v>
      </c>
      <c r="R19" s="48">
        <f>IF($O$21=0,0,O19*F19/SUMPRODUCT($O$19:$O$20,$F$19:$F$20)*$R$21)</f>
        <v>0</v>
      </c>
      <c r="W19" s="2" t="str">
        <f>AGR_BAL!$C$20&amp;RIGHT(AGR_BAL!J19,6)&amp;"_"&amp;$W$14&amp;"00"</f>
        <v>AGRMACOILDSL_E00</v>
      </c>
      <c r="X19" s="2" t="str">
        <f>$C$6&amp;" "&amp;Commodities!E35&amp;"-"&amp;$W$14</f>
        <v>Agricultural Machinery Diesel (AGR)-E</v>
      </c>
      <c r="Y19" s="2" t="str">
        <f>General!$B$2</f>
        <v>PJ</v>
      </c>
      <c r="Z19" s="2" t="s">
        <v>327</v>
      </c>
    </row>
    <row r="20" spans="2:29" x14ac:dyDescent="0.25">
      <c r="B20" s="2" t="str">
        <f>$W$19</f>
        <v>AGRMACOILDSL_E00</v>
      </c>
      <c r="C20" s="2" t="str">
        <f>$X$19</f>
        <v>Agricultural Machinery Diesel (AGR)-E</v>
      </c>
      <c r="D20" s="2" t="str">
        <f>AGR_BAL!$J$19</f>
        <v>AGROILDSL</v>
      </c>
      <c r="E20" s="49" t="str">
        <f>AGR_BAL!$C$20</f>
        <v>AGRMAC</v>
      </c>
      <c r="F20" s="28">
        <v>0.3</v>
      </c>
      <c r="G20" s="45">
        <f>Q20</f>
        <v>3.7813414736842098E-2</v>
      </c>
      <c r="H20" s="45">
        <f>R20</f>
        <v>95</v>
      </c>
      <c r="I20" s="46"/>
      <c r="J20" s="46"/>
      <c r="K20" s="46">
        <v>25</v>
      </c>
      <c r="N20" s="28">
        <f>IF(F20=0,0,H20*G20/F20)</f>
        <v>11.974247999999998</v>
      </c>
      <c r="O20" s="28">
        <f>AGR_BAL!J20</f>
        <v>11.974247999999999</v>
      </c>
      <c r="P20" s="43"/>
      <c r="Q20" s="47">
        <f>Q19</f>
        <v>3.7813414736842098E-2</v>
      </c>
      <c r="R20" s="48">
        <f>IF($O$21=0,0,O20*F20/SUMPRODUCT($O$19:$O$20,$F$19:$F$20)*$R$21)</f>
        <v>95</v>
      </c>
      <c r="U20" s="50"/>
      <c r="V20" s="50"/>
      <c r="W20" s="50" t="str">
        <f>Commodities!X8&amp;"_"&amp;$W$14&amp;"00"</f>
        <v>AGRSTA_E00</v>
      </c>
      <c r="X20" s="50" t="str">
        <f>$C$7&amp;" -"&amp;$W$14</f>
        <v>Agricultural Stationary Uses -E</v>
      </c>
      <c r="Y20" s="50" t="str">
        <f>General!$B$2</f>
        <v>PJ</v>
      </c>
      <c r="Z20" s="50" t="str">
        <f>General!$B$2&amp;"a"</f>
        <v>PJa</v>
      </c>
      <c r="AA20" s="50"/>
      <c r="AB20" s="50"/>
      <c r="AC20" s="50"/>
    </row>
    <row r="21" spans="2:29" ht="14.4" thickBot="1" x14ac:dyDescent="0.3">
      <c r="N21" s="51">
        <f>SUM(N19:N20)</f>
        <v>11.974247999999998</v>
      </c>
      <c r="O21" s="51">
        <f>SUM(O19:O20)</f>
        <v>11.974247999999999</v>
      </c>
      <c r="P21" s="43"/>
      <c r="Q21" s="52"/>
      <c r="R21" s="53">
        <v>95</v>
      </c>
      <c r="U21" s="2" t="s">
        <v>300</v>
      </c>
      <c r="W21" s="2" t="str">
        <f>Commodities!$X$9&amp;RIGHT(Commodities!$D$31,6)&amp;"_"&amp;$W$14&amp;"00"</f>
        <v>AGRSTHTCOASUB_E00</v>
      </c>
      <c r="X21" s="2" t="str">
        <f>Commodities!$Y$9&amp;"-"&amp;Commodities!E31&amp;"-"&amp;$W$14</f>
        <v>Agricultural Stationary Uses-Heat-Sub-bituminous coal (AGR)-E</v>
      </c>
      <c r="Y21" s="2" t="str">
        <f>General!$B$2</f>
        <v>PJ</v>
      </c>
      <c r="Z21" s="2" t="str">
        <f>General!$B$2&amp;"a"</f>
        <v>PJa</v>
      </c>
    </row>
    <row r="22" spans="2:29" x14ac:dyDescent="0.25">
      <c r="W22" s="2" t="str">
        <f>Commodities!$X$9&amp;RIGHT(Commodities!$D$35,6)&amp;"_"&amp;$W$14&amp;"00"</f>
        <v>AGRSTHTOILDSL_E00</v>
      </c>
      <c r="X22" s="2" t="str">
        <f>Commodities!$Y$9&amp;"-"&amp;Commodities!E35&amp;"-"&amp;$W$14</f>
        <v>Agricultural Stationary Uses-Heat-Diesel (AGR)-E</v>
      </c>
      <c r="Y22" s="2" t="str">
        <f>General!$B$2</f>
        <v>PJ</v>
      </c>
      <c r="Z22" s="2" t="str">
        <f>General!$B$2&amp;"a"</f>
        <v>PJa</v>
      </c>
    </row>
    <row r="23" spans="2:29" x14ac:dyDescent="0.25">
      <c r="B23" s="1" t="str">
        <f>C7</f>
        <v>Agricultural Stationary Uses</v>
      </c>
      <c r="W23" s="2" t="str">
        <f>Commodities!$X$9&amp;RIGHT(Commodities!$D$39,6)&amp;"_"&amp;$W$14&amp;"00"</f>
        <v>AGRSTHTGASNAT_E00</v>
      </c>
      <c r="X23" s="2" t="str">
        <f>Commodities!$Y$9&amp;"-"&amp;Commodities!E39&amp;"-"&amp;$W$14</f>
        <v>Agricultural Stationary Uses-Heat-Natural Gas (AGR)-E</v>
      </c>
      <c r="Y23" s="2" t="str">
        <f>General!$B$2</f>
        <v>PJ</v>
      </c>
      <c r="Z23" s="2" t="str">
        <f>General!$B$2&amp;"a"</f>
        <v>PJa</v>
      </c>
    </row>
    <row r="24" spans="2:29" x14ac:dyDescent="0.25">
      <c r="W24" s="2" t="str">
        <f>Commodities!$X$9&amp;RIGHT(Commodities!$D$40,6)&amp;"_"&amp;$W$14&amp;"00"</f>
        <v>AGRSTHTBIOLOG_E00</v>
      </c>
      <c r="X24" s="2" t="str">
        <f>Commodities!$Y$9&amp;"-"&amp;Commodities!E40&amp;"-"&amp;$W$14</f>
        <v>Agricultural Stationary Uses-Heat-Wood (AGR)-E</v>
      </c>
      <c r="Y24" s="2" t="str">
        <f>General!$B$2</f>
        <v>PJ</v>
      </c>
      <c r="Z24" s="2" t="str">
        <f>General!$B$2&amp;"a"</f>
        <v>PJa</v>
      </c>
    </row>
    <row r="25" spans="2:29" x14ac:dyDescent="0.25">
      <c r="E25" s="33" t="s">
        <v>15</v>
      </c>
      <c r="H25" s="30"/>
      <c r="U25" s="50"/>
      <c r="V25" s="50"/>
      <c r="W25" s="50" t="str">
        <f>Commodities!$X$9&amp;RIGHT(Commodities!$D$50,6)&amp;"_"&amp;$W$14&amp;"00"</f>
        <v>AGRSTHTAGRLTH_E00</v>
      </c>
      <c r="X25" s="50" t="str">
        <f>Commodities!$Y$9&amp;"-"&amp;Commodities!E50&amp;"-"&amp;$W$14</f>
        <v>Agricultural Stationary Uses-Heat-Derived Heat (AGR)-E</v>
      </c>
      <c r="Y25" s="50" t="str">
        <f>General!$B$2</f>
        <v>PJ</v>
      </c>
      <c r="Z25" s="50" t="str">
        <f>General!$B$2&amp;"a"</f>
        <v>PJa</v>
      </c>
      <c r="AA25" s="50" t="s">
        <v>133</v>
      </c>
      <c r="AB25" s="50"/>
      <c r="AC25" s="50"/>
    </row>
    <row r="26" spans="2:29" x14ac:dyDescent="0.25">
      <c r="B26" s="5" t="s">
        <v>1</v>
      </c>
      <c r="C26" s="5" t="s">
        <v>42</v>
      </c>
      <c r="D26" s="5" t="s">
        <v>7</v>
      </c>
      <c r="E26" s="36" t="s">
        <v>8</v>
      </c>
      <c r="F26" s="23" t="s">
        <v>358</v>
      </c>
      <c r="G26" s="23" t="s">
        <v>368</v>
      </c>
      <c r="H26" s="23" t="s">
        <v>296</v>
      </c>
      <c r="W26" s="2" t="str">
        <f>Commodities!$X$10&amp;RIGHT(Commodities!$D$35,6)&amp;"_"&amp;$W$14&amp;"00"</f>
        <v>AGRSTMCHOILDSL_E00</v>
      </c>
      <c r="X26" s="2" t="str">
        <f>Commodities!$Y$10&amp;"-"&amp;Commodities!E35&amp;"-"&amp;$W$14</f>
        <v>Agricultural Stationary Uses-Machine Drive-Diesel (AGR)-E</v>
      </c>
      <c r="Y26" s="2" t="str">
        <f>General!$B$2</f>
        <v>PJ</v>
      </c>
      <c r="Z26" s="2" t="str">
        <f>General!$B$2&amp;"a"</f>
        <v>PJa</v>
      </c>
    </row>
    <row r="27" spans="2:29" ht="17.25" customHeight="1" thickBot="1" x14ac:dyDescent="0.3">
      <c r="B27" s="6" t="s">
        <v>378</v>
      </c>
      <c r="C27" s="6" t="s">
        <v>26</v>
      </c>
      <c r="D27" s="6" t="s">
        <v>36</v>
      </c>
      <c r="E27" s="38" t="s">
        <v>37</v>
      </c>
      <c r="F27" s="6" t="s">
        <v>359</v>
      </c>
      <c r="G27" s="6" t="s">
        <v>374</v>
      </c>
      <c r="H27" s="6" t="s">
        <v>297</v>
      </c>
      <c r="U27" s="50"/>
      <c r="V27" s="50"/>
      <c r="W27" s="50" t="str">
        <f>Commodities!$X$10&amp;RIGHT(Commodities!$D$53,6)&amp;"_"&amp;$W$14&amp;"00"</f>
        <v>AGRSTMCHAGRELC_E00</v>
      </c>
      <c r="X27" s="50" t="str">
        <f>Commodities!$Y$10&amp;"-"&amp;Commodities!E53&amp;"-"&amp;$W$14</f>
        <v>Agricultural Stationary Uses-Machine Drive-Electricity (AGR)-E</v>
      </c>
      <c r="Y27" s="50" t="str">
        <f>General!$B$2</f>
        <v>PJ</v>
      </c>
      <c r="Z27" s="50" t="str">
        <f>General!$B$2&amp;"a"</f>
        <v>PJa</v>
      </c>
      <c r="AA27" s="50" t="s">
        <v>133</v>
      </c>
      <c r="AB27" s="50"/>
      <c r="AC27" s="50"/>
    </row>
    <row r="28" spans="2:29" x14ac:dyDescent="0.25">
      <c r="B28" s="40"/>
      <c r="C28" s="41"/>
      <c r="D28" s="41" t="s">
        <v>49</v>
      </c>
      <c r="E28" s="42"/>
      <c r="F28" s="41" t="s">
        <v>335</v>
      </c>
      <c r="G28" s="41" t="s">
        <v>335</v>
      </c>
      <c r="H28" s="41"/>
      <c r="J28" s="2" t="s">
        <v>404</v>
      </c>
      <c r="U28" s="50"/>
      <c r="V28" s="50"/>
      <c r="W28" s="50" t="str">
        <f>Commodities!$X$11&amp;RIGHT(Commodities!$D$53,6)&amp;"_"&amp;$W$14&amp;"00"</f>
        <v>AGRSTOTHAGRELC_E00</v>
      </c>
      <c r="X28" s="50" t="str">
        <f>Commodities!$Y$11&amp;"-"&amp;Commodities!E53&amp;"-"&amp;$W$14</f>
        <v>Agricultural Stationary Uses-Other-Electricity (AGR)-E</v>
      </c>
      <c r="Y28" s="50" t="str">
        <f>General!$B$2</f>
        <v>PJ</v>
      </c>
      <c r="Z28" s="50" t="str">
        <f>General!$B$2&amp;"a"</f>
        <v>PJa</v>
      </c>
      <c r="AA28" s="50" t="s">
        <v>133</v>
      </c>
      <c r="AB28" s="50"/>
      <c r="AC28" s="50"/>
    </row>
    <row r="29" spans="2:29" x14ac:dyDescent="0.25">
      <c r="B29" s="2" t="str">
        <f>$W$20</f>
        <v>AGRSTA_E00</v>
      </c>
      <c r="C29" s="2" t="str">
        <f>$X$20</f>
        <v>Agricultural Stationary Uses -E</v>
      </c>
      <c r="D29" s="2" t="str">
        <f>AGR_BAL!$C$21</f>
        <v>AGRSTHT</v>
      </c>
      <c r="E29" s="49"/>
      <c r="F29" s="54">
        <f>SUM(O41:O45,O49)/O50</f>
        <v>0.36296892255532481</v>
      </c>
      <c r="G29" s="46"/>
      <c r="H29" s="45">
        <f>O50*J29</f>
        <v>9.0225410400000001</v>
      </c>
      <c r="J29" s="2">
        <v>2</v>
      </c>
      <c r="U29" s="55"/>
      <c r="V29" s="55"/>
      <c r="W29" s="50" t="str">
        <f>Commodities!$X$9&amp;RIGHT(Commodities!$D$32,6)&amp;"_"&amp;$W$14&amp;"00"</f>
        <v>AGRSTHTCOABIC_E00</v>
      </c>
      <c r="X29" s="50" t="str">
        <f>Commodities!$Y$9&amp;"-"&amp;Commodities!E32&amp;"-"&amp;$W$14</f>
        <v>Agricultural Stationary Uses-Heat-Bituminous coal (AGR)-E</v>
      </c>
      <c r="Y29" s="55" t="str">
        <f>General!$B$2</f>
        <v>PJ</v>
      </c>
      <c r="Z29" s="55" t="str">
        <f>General!$B$2&amp;"a"</f>
        <v>PJa</v>
      </c>
      <c r="AA29" s="55"/>
      <c r="AB29" s="55"/>
      <c r="AC29" s="55"/>
    </row>
    <row r="30" spans="2:29" x14ac:dyDescent="0.25">
      <c r="D30" s="2" t="str">
        <f>AGR_BAL!$C$22</f>
        <v>AGRSTMCH</v>
      </c>
      <c r="E30" s="49"/>
      <c r="F30" s="54">
        <f>SUM(O46:O47)/O50</f>
        <v>0.52269216610845159</v>
      </c>
      <c r="G30" s="46"/>
      <c r="H30" s="46"/>
    </row>
    <row r="31" spans="2:29" x14ac:dyDescent="0.25">
      <c r="D31" s="2" t="str">
        <f>AGR_BAL!$C$23</f>
        <v>AGRSTOTH</v>
      </c>
      <c r="E31" s="49"/>
      <c r="F31" s="54">
        <f>O48/O50</f>
        <v>0.1143389113362237</v>
      </c>
      <c r="G31" s="46"/>
      <c r="H31" s="46"/>
    </row>
    <row r="32" spans="2:29" x14ac:dyDescent="0.25">
      <c r="E32" s="49" t="str">
        <f>Commodities!$X$8</f>
        <v>AGRSTA</v>
      </c>
      <c r="F32" s="54"/>
      <c r="G32" s="46">
        <v>1</v>
      </c>
      <c r="H32" s="46"/>
    </row>
    <row r="35" spans="2:17" x14ac:dyDescent="0.25">
      <c r="B35" s="1" t="str">
        <f>"Technologies for "&amp;C7</f>
        <v>Technologies for Agricultural Stationary Uses</v>
      </c>
    </row>
    <row r="37" spans="2:17" x14ac:dyDescent="0.25">
      <c r="E37" s="33" t="s">
        <v>15</v>
      </c>
      <c r="G37" s="30"/>
      <c r="J37" s="34"/>
    </row>
    <row r="38" spans="2:17" x14ac:dyDescent="0.25">
      <c r="B38" s="5" t="s">
        <v>1</v>
      </c>
      <c r="C38" s="5" t="s">
        <v>42</v>
      </c>
      <c r="D38" s="5" t="s">
        <v>7</v>
      </c>
      <c r="E38" s="36" t="s">
        <v>8</v>
      </c>
      <c r="F38" s="23" t="s">
        <v>17</v>
      </c>
      <c r="G38" s="23" t="s">
        <v>296</v>
      </c>
      <c r="H38" s="23" t="s">
        <v>152</v>
      </c>
      <c r="I38" s="23" t="s">
        <v>396</v>
      </c>
      <c r="J38" s="23" t="s">
        <v>308</v>
      </c>
      <c r="K38" s="23" t="s">
        <v>405</v>
      </c>
      <c r="P38" s="23" t="s">
        <v>401</v>
      </c>
      <c r="Q38" s="23"/>
    </row>
    <row r="39" spans="2:17" ht="28.2" thickBot="1" x14ac:dyDescent="0.3">
      <c r="B39" s="6" t="s">
        <v>378</v>
      </c>
      <c r="C39" s="6" t="s">
        <v>26</v>
      </c>
      <c r="D39" s="6" t="s">
        <v>36</v>
      </c>
      <c r="E39" s="38" t="s">
        <v>37</v>
      </c>
      <c r="F39" s="6" t="s">
        <v>38</v>
      </c>
      <c r="G39" s="6" t="s">
        <v>297</v>
      </c>
      <c r="H39" s="6" t="s">
        <v>154</v>
      </c>
      <c r="I39" s="6" t="s">
        <v>397</v>
      </c>
      <c r="J39" s="6" t="s">
        <v>328</v>
      </c>
      <c r="K39" s="6" t="s">
        <v>397</v>
      </c>
      <c r="P39" s="23" t="s">
        <v>293</v>
      </c>
      <c r="Q39" s="23" t="s">
        <v>295</v>
      </c>
    </row>
    <row r="40" spans="2:17" x14ac:dyDescent="0.25">
      <c r="B40" s="40"/>
      <c r="C40" s="41"/>
      <c r="D40" s="41" t="s">
        <v>49</v>
      </c>
      <c r="E40" s="42"/>
      <c r="F40" s="41" t="s">
        <v>335</v>
      </c>
      <c r="G40" s="41" t="str">
        <f>General!D21</f>
        <v>PJ/year</v>
      </c>
      <c r="H40" s="41" t="str">
        <f>General!$D$20</f>
        <v>Years</v>
      </c>
      <c r="I40" s="41"/>
      <c r="J40" s="41"/>
      <c r="K40" s="41"/>
      <c r="P40" s="41" t="str">
        <f>General!$B$2</f>
        <v>PJ</v>
      </c>
      <c r="Q40" s="41" t="str">
        <f>General!$B$2</f>
        <v>PJ</v>
      </c>
    </row>
    <row r="41" spans="2:17" x14ac:dyDescent="0.25">
      <c r="B41" s="2" t="str">
        <f>W21</f>
        <v>AGRSTHTCOASUB_E00</v>
      </c>
      <c r="C41" s="2" t="str">
        <f>X21</f>
        <v>Agricultural Stationary Uses-Heat-Sub-bituminous coal (AGR)-E</v>
      </c>
      <c r="D41" s="2" t="str">
        <f>Commodities!$D$31</f>
        <v>AGRCOASUB</v>
      </c>
      <c r="E41" s="44" t="str">
        <f>$D$29</f>
        <v>AGRSTHT</v>
      </c>
      <c r="F41" s="28">
        <v>0.6</v>
      </c>
      <c r="G41" s="45">
        <f>F41*Q41/I41</f>
        <v>0</v>
      </c>
      <c r="H41" s="46">
        <v>15</v>
      </c>
      <c r="I41" s="46">
        <v>0.6</v>
      </c>
      <c r="J41" s="46"/>
      <c r="K41" s="28">
        <f>I41*0.8</f>
        <v>0.48</v>
      </c>
      <c r="O41" s="54">
        <f t="shared" ref="O41:O49" si="0">P41*F41</f>
        <v>0</v>
      </c>
      <c r="P41" s="54">
        <f>G41/F41*I41</f>
        <v>0</v>
      </c>
      <c r="Q41" s="54">
        <f>AGR_BAL!D21</f>
        <v>0</v>
      </c>
    </row>
    <row r="42" spans="2:17" x14ac:dyDescent="0.25">
      <c r="B42" s="2" t="str">
        <f t="shared" ref="B42:C42" si="1">W22</f>
        <v>AGRSTHTOILDSL_E00</v>
      </c>
      <c r="C42" s="2" t="str">
        <f t="shared" si="1"/>
        <v>Agricultural Stationary Uses-Heat-Diesel (AGR)-E</v>
      </c>
      <c r="D42" s="2" t="str">
        <f>Commodities!D35</f>
        <v>AGROILDSL</v>
      </c>
      <c r="E42" s="49" t="str">
        <f t="shared" ref="E42:E44" si="2">$D$29</f>
        <v>AGRSTHT</v>
      </c>
      <c r="F42" s="46">
        <v>0.7</v>
      </c>
      <c r="G42" s="45">
        <f>F42*Q42/I42</f>
        <v>0</v>
      </c>
      <c r="H42" s="46">
        <v>15</v>
      </c>
      <c r="I42" s="46">
        <v>0.6</v>
      </c>
      <c r="J42" s="46"/>
      <c r="K42" s="28">
        <f t="shared" ref="K42:K49" si="3">I42*0.8</f>
        <v>0.48</v>
      </c>
      <c r="O42" s="54">
        <f t="shared" si="0"/>
        <v>0</v>
      </c>
      <c r="P42" s="54">
        <f>G42/F42*I42</f>
        <v>0</v>
      </c>
      <c r="Q42" s="54">
        <f>AGR_BAL!J21</f>
        <v>0</v>
      </c>
    </row>
    <row r="43" spans="2:17" x14ac:dyDescent="0.25">
      <c r="B43" s="2" t="str">
        <f t="shared" ref="B43:C43" si="4">W23</f>
        <v>AGRSTHTGASNAT_E00</v>
      </c>
      <c r="C43" s="2" t="str">
        <f t="shared" si="4"/>
        <v>Agricultural Stationary Uses-Heat-Natural Gas (AGR)-E</v>
      </c>
      <c r="D43" s="2" t="str">
        <f>Commodities!D39</f>
        <v>AGRGASNAT</v>
      </c>
      <c r="E43" s="49" t="str">
        <f t="shared" si="2"/>
        <v>AGRSTHT</v>
      </c>
      <c r="F43" s="46">
        <v>0.75</v>
      </c>
      <c r="G43" s="45">
        <f>F43*Q43/I43</f>
        <v>2.6690849999999999</v>
      </c>
      <c r="H43" s="46">
        <v>20</v>
      </c>
      <c r="I43" s="46">
        <v>0.6</v>
      </c>
      <c r="J43" s="46"/>
      <c r="K43" s="28">
        <f t="shared" si="3"/>
        <v>0.48</v>
      </c>
      <c r="O43" s="54">
        <f t="shared" si="0"/>
        <v>1.601451</v>
      </c>
      <c r="P43" s="54">
        <f>G43/F43*I43</f>
        <v>2.1352679999999999</v>
      </c>
      <c r="Q43" s="54">
        <f>AGR_BAL!L21</f>
        <v>2.1352679999999999</v>
      </c>
    </row>
    <row r="44" spans="2:17" x14ac:dyDescent="0.25">
      <c r="B44" s="2" t="str">
        <f t="shared" ref="B44:C44" si="5">W24</f>
        <v>AGRSTHTBIOLOG_E00</v>
      </c>
      <c r="C44" s="2" t="str">
        <f t="shared" si="5"/>
        <v>Agricultural Stationary Uses-Heat-Wood (AGR)-E</v>
      </c>
      <c r="D44" s="2" t="str">
        <f>Commodities!D40</f>
        <v>AGRBIOLOG</v>
      </c>
      <c r="E44" s="49" t="str">
        <f t="shared" si="2"/>
        <v>AGRSTHT</v>
      </c>
      <c r="F44" s="46">
        <v>0.5</v>
      </c>
      <c r="G44" s="45">
        <f>F44*Q44/I44</f>
        <v>0.06</v>
      </c>
      <c r="H44" s="46">
        <v>15</v>
      </c>
      <c r="I44" s="46">
        <v>0.6</v>
      </c>
      <c r="J44" s="46"/>
      <c r="K44" s="28">
        <f t="shared" si="3"/>
        <v>0.48</v>
      </c>
      <c r="O44" s="54">
        <f t="shared" si="0"/>
        <v>3.5999999999999997E-2</v>
      </c>
      <c r="P44" s="54">
        <f>G44/F44*I44</f>
        <v>7.1999999999999995E-2</v>
      </c>
      <c r="Q44" s="54">
        <f>AGR_BAL!M21</f>
        <v>7.1999999999999995E-2</v>
      </c>
    </row>
    <row r="45" spans="2:17" ht="14.4" x14ac:dyDescent="0.3">
      <c r="B45" s="2" t="str">
        <f>W25</f>
        <v>AGRSTHTAGRLTH_E00</v>
      </c>
      <c r="C45" s="2" t="str">
        <f>X25</f>
        <v>Agricultural Stationary Uses-Heat-Derived Heat (AGR)-E</v>
      </c>
      <c r="D45" s="2" t="str">
        <f>Commodities!D50</f>
        <v>AGRLTH</v>
      </c>
      <c r="E45" s="49" t="str">
        <f>$D$29</f>
        <v>AGRSTHT</v>
      </c>
      <c r="F45" s="46">
        <v>0.8</v>
      </c>
      <c r="G45" s="45">
        <f>F45*Q45/I45/J45</f>
        <v>0</v>
      </c>
      <c r="H45" s="46">
        <v>25</v>
      </c>
      <c r="I45" s="46">
        <f>0.8/J45</f>
        <v>0.4705882352941177</v>
      </c>
      <c r="J45" s="46">
        <v>1.7</v>
      </c>
      <c r="K45" s="28">
        <f t="shared" si="3"/>
        <v>0.37647058823529417</v>
      </c>
      <c r="O45" s="56">
        <f t="shared" si="0"/>
        <v>0</v>
      </c>
      <c r="P45" s="56">
        <f>G45/F45*I45*J45</f>
        <v>0</v>
      </c>
      <c r="Q45" s="54">
        <f>AGR_BAL!Q21</f>
        <v>0</v>
      </c>
    </row>
    <row r="46" spans="2:17" x14ac:dyDescent="0.25">
      <c r="B46" s="2" t="str">
        <f>W26</f>
        <v>AGRSTMCHOILDSL_E00</v>
      </c>
      <c r="C46" s="2" t="str">
        <f>X26</f>
        <v>Agricultural Stationary Uses-Machine Drive-Diesel (AGR)-E</v>
      </c>
      <c r="D46" s="2" t="str">
        <f>Commodities!D35</f>
        <v>AGROILDSL</v>
      </c>
      <c r="E46" s="49" t="str">
        <f>D30</f>
        <v>AGRSTMCH</v>
      </c>
      <c r="F46" s="46">
        <v>0.4</v>
      </c>
      <c r="G46" s="45">
        <f>F46*Q46/I46</f>
        <v>0</v>
      </c>
      <c r="H46" s="46">
        <v>15</v>
      </c>
      <c r="I46" s="46">
        <v>0.7</v>
      </c>
      <c r="J46" s="46"/>
      <c r="K46" s="28">
        <f t="shared" si="3"/>
        <v>0.55999999999999994</v>
      </c>
      <c r="O46" s="54">
        <f t="shared" si="0"/>
        <v>0</v>
      </c>
      <c r="P46" s="54">
        <f>G46/F46*I46</f>
        <v>0</v>
      </c>
      <c r="Q46" s="54">
        <f>AGR_BAL!J22</f>
        <v>0</v>
      </c>
    </row>
    <row r="47" spans="2:17" ht="14.4" x14ac:dyDescent="0.3">
      <c r="B47" s="2" t="str">
        <f t="shared" ref="B47:C47" si="6">W27</f>
        <v>AGRSTMCHAGRELC_E00</v>
      </c>
      <c r="C47" s="2" t="str">
        <f t="shared" si="6"/>
        <v>Agricultural Stationary Uses-Machine Drive-Electricity (AGR)-E</v>
      </c>
      <c r="D47" s="2" t="str">
        <f>Commodities!D53</f>
        <v>AGRELC</v>
      </c>
      <c r="E47" s="49" t="str">
        <f>D30</f>
        <v>AGRSTMCH</v>
      </c>
      <c r="F47" s="46">
        <v>0.8</v>
      </c>
      <c r="G47" s="45">
        <f>F47*Q47/I47/J47</f>
        <v>2.9475072000000004</v>
      </c>
      <c r="H47" s="46">
        <v>15</v>
      </c>
      <c r="I47" s="46">
        <f>0.8/J47</f>
        <v>0.4705882352941177</v>
      </c>
      <c r="J47" s="46">
        <v>1.7</v>
      </c>
      <c r="K47" s="28">
        <f t="shared" si="3"/>
        <v>0.37647058823529417</v>
      </c>
      <c r="O47" s="56">
        <f t="shared" si="0"/>
        <v>2.3580057600000006</v>
      </c>
      <c r="P47" s="56">
        <f>G47/F47*I47*J47</f>
        <v>2.9475072000000009</v>
      </c>
      <c r="Q47" s="54">
        <f>AGR_BAL!R22</f>
        <v>2.9475072000000004</v>
      </c>
    </row>
    <row r="48" spans="2:17" ht="14.4" x14ac:dyDescent="0.3">
      <c r="B48" s="2" t="str">
        <f t="shared" ref="B48:C48" si="7">W28</f>
        <v>AGRSTOTHAGRELC_E00</v>
      </c>
      <c r="C48" s="2" t="str">
        <f t="shared" si="7"/>
        <v>Agricultural Stationary Uses-Other-Electricity (AGR)-E</v>
      </c>
      <c r="D48" s="2" t="str">
        <f>Commodities!D53</f>
        <v>AGRELC</v>
      </c>
      <c r="E48" s="49" t="str">
        <f>D31</f>
        <v>AGRSTOTH</v>
      </c>
      <c r="F48" s="46">
        <v>0.7</v>
      </c>
      <c r="G48" s="45">
        <f>F48*Q48/I48/J48</f>
        <v>0.64476719999999976</v>
      </c>
      <c r="H48" s="46">
        <v>15</v>
      </c>
      <c r="I48" s="46">
        <f>0.8/J48</f>
        <v>0.4705882352941177</v>
      </c>
      <c r="J48" s="46">
        <v>1.7</v>
      </c>
      <c r="K48" s="28">
        <f t="shared" si="3"/>
        <v>0.37647058823529417</v>
      </c>
      <c r="O48" s="56">
        <f t="shared" si="0"/>
        <v>0.51581375999999979</v>
      </c>
      <c r="P48" s="56">
        <f>G48/F48*I48*J48</f>
        <v>0.73687679999999978</v>
      </c>
      <c r="Q48" s="54">
        <f>AGR_BAL!R23</f>
        <v>0.73687679999999989</v>
      </c>
    </row>
    <row r="49" spans="2:17" x14ac:dyDescent="0.25">
      <c r="B49" s="2" t="str">
        <f t="shared" ref="B49" si="8">W29</f>
        <v>AGRSTHTCOABIC_E00</v>
      </c>
      <c r="C49" s="2" t="str">
        <f t="shared" ref="C49" si="9">X29</f>
        <v>Agricultural Stationary Uses-Heat-Bituminous coal (AGR)-E</v>
      </c>
      <c r="D49" s="2" t="str">
        <f>Commodities!D32</f>
        <v>AGRCOABIC</v>
      </c>
      <c r="E49" s="49" t="str">
        <f>E44</f>
        <v>AGRSTHT</v>
      </c>
      <c r="F49" s="28">
        <f>F41</f>
        <v>0.6</v>
      </c>
      <c r="G49" s="45">
        <f>F49*Q49/I49</f>
        <v>0</v>
      </c>
      <c r="H49" s="46">
        <v>15</v>
      </c>
      <c r="I49" s="46">
        <v>0.6</v>
      </c>
      <c r="J49" s="46"/>
      <c r="K49" s="28">
        <f t="shared" si="3"/>
        <v>0.48</v>
      </c>
      <c r="O49" s="54">
        <f t="shared" si="0"/>
        <v>0</v>
      </c>
      <c r="P49" s="54">
        <f>G49/F49*I49</f>
        <v>0</v>
      </c>
      <c r="Q49" s="54">
        <f>AGR_BAL!E21</f>
        <v>0</v>
      </c>
    </row>
    <row r="50" spans="2:17" x14ac:dyDescent="0.25">
      <c r="B50" s="2" t="s">
        <v>373</v>
      </c>
      <c r="G50" s="45">
        <f>SUM(G41:G49)</f>
        <v>6.3213593999999995</v>
      </c>
      <c r="O50" s="45">
        <f>SUM(O41:O49)</f>
        <v>4.5112705200000001</v>
      </c>
      <c r="P50" s="45">
        <f>SUM(P41:P49)</f>
        <v>5.8916520000000014</v>
      </c>
      <c r="Q50" s="45">
        <f>SUM(Q41:Q49)</f>
        <v>5.8916520000000006</v>
      </c>
    </row>
    <row r="53" spans="2:17" x14ac:dyDescent="0.25">
      <c r="J53" s="2" t="s">
        <v>402</v>
      </c>
    </row>
  </sheetData>
  <pageMargins left="0.7" right="0.7" top="0.75" bottom="0.75" header="0.3" footer="0.3"/>
  <pageSetup orientation="portrait" horizontalDpi="4294967292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3:V40"/>
  <sheetViews>
    <sheetView zoomScale="55" zoomScaleNormal="55" workbookViewId="0">
      <selection activeCell="K30" sqref="K30"/>
    </sheetView>
  </sheetViews>
  <sheetFormatPr defaultColWidth="9.109375" defaultRowHeight="13.8" x14ac:dyDescent="0.25"/>
  <cols>
    <col min="1" max="1" width="9.109375" style="2"/>
    <col min="2" max="2" width="25.6640625" style="2" customWidth="1"/>
    <col min="3" max="3" width="63" style="2" customWidth="1"/>
    <col min="4" max="4" width="24.109375" style="2" customWidth="1"/>
    <col min="5" max="5" width="21.88671875" style="2" customWidth="1"/>
    <col min="6" max="6" width="15.6640625" style="2" customWidth="1"/>
    <col min="7" max="7" width="25.33203125" style="2" customWidth="1"/>
    <col min="8" max="8" width="25.33203125" style="2" bestFit="1" customWidth="1"/>
    <col min="9" max="9" width="25.6640625" style="2" bestFit="1" customWidth="1"/>
    <col min="10" max="10" width="13.5546875" style="2" customWidth="1"/>
    <col min="11" max="11" width="19" style="2" customWidth="1"/>
    <col min="12" max="13" width="9.109375" style="2"/>
    <col min="14" max="14" width="22.5546875" style="2" customWidth="1"/>
    <col min="15" max="15" width="14.33203125" style="2" bestFit="1" customWidth="1"/>
    <col min="16" max="16" width="23.109375" style="2" customWidth="1"/>
    <col min="17" max="17" width="98.109375" style="2" bestFit="1" customWidth="1"/>
    <col min="18" max="22" width="16.88671875" style="2" customWidth="1"/>
    <col min="23" max="23" width="5.109375" style="2" customWidth="1"/>
    <col min="24" max="24" width="51.5546875" style="2" bestFit="1" customWidth="1"/>
    <col min="25" max="16384" width="9.109375" style="2"/>
  </cols>
  <sheetData>
    <row r="3" spans="2:22" x14ac:dyDescent="0.25">
      <c r="N3" s="2" t="s">
        <v>153</v>
      </c>
    </row>
    <row r="5" spans="2:22" x14ac:dyDescent="0.25">
      <c r="B5" s="57"/>
      <c r="D5" s="29"/>
      <c r="E5" s="29"/>
      <c r="F5" s="29"/>
      <c r="H5" s="31"/>
      <c r="I5" s="34"/>
      <c r="N5" s="32" t="s">
        <v>39</v>
      </c>
      <c r="O5" s="32"/>
      <c r="P5" s="32"/>
      <c r="Q5" s="32"/>
      <c r="R5" s="32"/>
      <c r="S5" s="32"/>
      <c r="T5" s="32"/>
      <c r="U5" s="32"/>
      <c r="V5" s="32"/>
    </row>
    <row r="6" spans="2:22" x14ac:dyDescent="0.25">
      <c r="E6" s="33" t="s">
        <v>15</v>
      </c>
      <c r="F6" s="33"/>
      <c r="H6" s="25"/>
      <c r="I6" s="34"/>
      <c r="N6" s="35" t="s">
        <v>19</v>
      </c>
      <c r="O6" s="35"/>
      <c r="P6" s="32"/>
      <c r="Q6" s="32"/>
      <c r="R6" s="32"/>
      <c r="S6" s="32"/>
      <c r="T6" s="32"/>
      <c r="U6" s="32"/>
      <c r="V6" s="32"/>
    </row>
    <row r="7" spans="2:22" ht="20.25" customHeight="1" x14ac:dyDescent="0.25">
      <c r="B7" s="5" t="s">
        <v>1</v>
      </c>
      <c r="C7" s="5" t="s">
        <v>42</v>
      </c>
      <c r="D7" s="5" t="s">
        <v>7</v>
      </c>
      <c r="E7" s="36" t="s">
        <v>8</v>
      </c>
      <c r="F7" s="23" t="s">
        <v>17</v>
      </c>
      <c r="G7" s="23" t="str">
        <f>"FLO_SHAR~UP~"&amp;BASE_YEAR</f>
        <v>FLO_SHAR~UP~2017</v>
      </c>
      <c r="H7" s="23" t="s">
        <v>380</v>
      </c>
      <c r="I7" s="23" t="s">
        <v>381</v>
      </c>
      <c r="N7" s="37" t="s">
        <v>13</v>
      </c>
      <c r="O7" s="37" t="s">
        <v>34</v>
      </c>
      <c r="P7" s="37" t="s">
        <v>1</v>
      </c>
      <c r="Q7" s="37" t="s">
        <v>2</v>
      </c>
      <c r="R7" s="37" t="s">
        <v>20</v>
      </c>
      <c r="S7" s="37" t="s">
        <v>21</v>
      </c>
      <c r="T7" s="37" t="s">
        <v>22</v>
      </c>
      <c r="U7" s="37" t="s">
        <v>23</v>
      </c>
      <c r="V7" s="37" t="s">
        <v>24</v>
      </c>
    </row>
    <row r="8" spans="2:22" ht="26.25" customHeight="1" thickBot="1" x14ac:dyDescent="0.3">
      <c r="B8" s="6" t="s">
        <v>378</v>
      </c>
      <c r="C8" s="6" t="s">
        <v>26</v>
      </c>
      <c r="D8" s="6" t="s">
        <v>36</v>
      </c>
      <c r="E8" s="38" t="s">
        <v>37</v>
      </c>
      <c r="F8" s="6" t="s">
        <v>38</v>
      </c>
      <c r="G8" s="6" t="s">
        <v>382</v>
      </c>
      <c r="H8" s="6" t="s">
        <v>382</v>
      </c>
      <c r="I8" s="6" t="s">
        <v>382</v>
      </c>
      <c r="N8" s="39" t="s">
        <v>44</v>
      </c>
      <c r="O8" s="39" t="s">
        <v>35</v>
      </c>
      <c r="P8" s="39" t="s">
        <v>25</v>
      </c>
      <c r="Q8" s="39" t="s">
        <v>26</v>
      </c>
      <c r="R8" s="39" t="s">
        <v>27</v>
      </c>
      <c r="S8" s="39" t="s">
        <v>28</v>
      </c>
      <c r="T8" s="39" t="s">
        <v>48</v>
      </c>
      <c r="U8" s="39" t="s">
        <v>47</v>
      </c>
      <c r="V8" s="39" t="s">
        <v>29</v>
      </c>
    </row>
    <row r="9" spans="2:22" x14ac:dyDescent="0.25">
      <c r="B9" s="40"/>
      <c r="C9" s="41"/>
      <c r="D9" s="41"/>
      <c r="E9" s="58" t="s">
        <v>299</v>
      </c>
      <c r="F9" s="41" t="s">
        <v>309</v>
      </c>
      <c r="G9" s="41" t="s">
        <v>383</v>
      </c>
      <c r="H9" s="41" t="s">
        <v>383</v>
      </c>
      <c r="I9" s="41" t="s">
        <v>383</v>
      </c>
      <c r="N9" s="2" t="s">
        <v>300</v>
      </c>
      <c r="P9" s="2" t="str">
        <f>"FT-"&amp;Commodities!D31&amp;"00"</f>
        <v>FT-AGRCOASUB00</v>
      </c>
      <c r="Q9" s="2" t="str">
        <f>"Fuel Tech -"&amp;Commodities!E31</f>
        <v>Fuel Tech -Sub-bituminous coal (AGR)</v>
      </c>
      <c r="R9" s="46" t="str">
        <f>General!$B$2</f>
        <v>PJ</v>
      </c>
      <c r="S9" s="46" t="str">
        <f>General!$B$2&amp;"a"</f>
        <v>PJa</v>
      </c>
      <c r="T9" s="46"/>
    </row>
    <row r="10" spans="2:22" x14ac:dyDescent="0.25">
      <c r="B10" s="2" t="str">
        <f>P9</f>
        <v>FT-AGRCOASUB00</v>
      </c>
      <c r="C10" s="2" t="str">
        <f>Q9</f>
        <v>Fuel Tech -Sub-bituminous coal (AGR)</v>
      </c>
      <c r="D10" s="2" t="str">
        <f>Commodities!D7</f>
        <v>COASUB</v>
      </c>
      <c r="E10" s="49" t="str">
        <f>Commodities!D31</f>
        <v>AGRCOASUB</v>
      </c>
      <c r="F10" s="46">
        <v>1</v>
      </c>
      <c r="G10" s="59"/>
      <c r="I10" s="59"/>
      <c r="P10" s="2" t="str">
        <f>"FT-"&amp;Commodities!D32&amp;"00"</f>
        <v>FT-AGRCOABIC00</v>
      </c>
      <c r="Q10" s="2" t="str">
        <f>"Fuel Tech -"&amp;Commodities!E32</f>
        <v>Fuel Tech -Bituminous coal (AGR)</v>
      </c>
      <c r="R10" s="46" t="str">
        <f>General!$B$2</f>
        <v>PJ</v>
      </c>
      <c r="S10" s="46" t="str">
        <f>General!$B$2&amp;"a"</f>
        <v>PJa</v>
      </c>
      <c r="T10" s="46"/>
    </row>
    <row r="11" spans="2:22" x14ac:dyDescent="0.25">
      <c r="B11" s="2" t="str">
        <f>P10</f>
        <v>FT-AGRCOABIC00</v>
      </c>
      <c r="C11" s="2" t="str">
        <f>Q10</f>
        <v>Fuel Tech -Bituminous coal (AGR)</v>
      </c>
      <c r="D11" s="2" t="str">
        <f>Commodities!D8</f>
        <v>COABIC</v>
      </c>
      <c r="E11" s="49" t="str">
        <f>Commodities!D32</f>
        <v>AGRCOABIC</v>
      </c>
      <c r="F11" s="46">
        <v>1</v>
      </c>
      <c r="G11" s="60"/>
      <c r="I11" s="60"/>
      <c r="P11" s="2" t="str">
        <f>"FT-"&amp;Commodities!D33&amp;"00"</f>
        <v>FT-AGRCOABCO00</v>
      </c>
      <c r="Q11" s="2" t="str">
        <f>"Fuel Tech -"&amp;Commodities!E33</f>
        <v>Fuel Tech -BrownCoal/Lignite (AGR)</v>
      </c>
      <c r="R11" s="46" t="str">
        <f>General!$B$2</f>
        <v>PJ</v>
      </c>
      <c r="S11" s="46" t="str">
        <f>General!$B$2&amp;"a"</f>
        <v>PJa</v>
      </c>
      <c r="T11" s="46"/>
    </row>
    <row r="12" spans="2:22" x14ac:dyDescent="0.25">
      <c r="B12" s="2" t="str">
        <f t="shared" ref="B12:B14" si="0">P11</f>
        <v>FT-AGRCOABCO00</v>
      </c>
      <c r="C12" s="2" t="str">
        <f t="shared" ref="C12:C14" si="1">Q11</f>
        <v>Fuel Tech -BrownCoal/Lignite (AGR)</v>
      </c>
      <c r="D12" s="2" t="str">
        <f>Commodities!D9</f>
        <v>COABCO</v>
      </c>
      <c r="E12" s="49" t="str">
        <f>Commodities!D33</f>
        <v>AGRCOABCO</v>
      </c>
      <c r="F12" s="46">
        <v>1</v>
      </c>
      <c r="G12" s="60"/>
      <c r="I12" s="60"/>
      <c r="P12" s="2" t="str">
        <f>"FT-"&amp;Commodities!D34&amp;"00"</f>
        <v>FT-AGRCOABKB00</v>
      </c>
      <c r="Q12" s="2" t="str">
        <f>"Fuel Tech -"&amp;Commodities!E34</f>
        <v>Fuel Tech -BKB (brown coal briquettes) (AGR)</v>
      </c>
      <c r="R12" s="46" t="str">
        <f>General!$B$2</f>
        <v>PJ</v>
      </c>
      <c r="S12" s="46" t="str">
        <f>General!$B$2&amp;"a"</f>
        <v>PJa</v>
      </c>
      <c r="T12" s="46"/>
    </row>
    <row r="13" spans="2:22" x14ac:dyDescent="0.25">
      <c r="B13" s="2" t="str">
        <f t="shared" si="0"/>
        <v>FT-AGRCOABKB00</v>
      </c>
      <c r="C13" s="2" t="str">
        <f t="shared" si="1"/>
        <v>Fuel Tech -BKB (brown coal briquettes) (AGR)</v>
      </c>
      <c r="D13" s="2" t="str">
        <f>Commodities!D10</f>
        <v>COABKB</v>
      </c>
      <c r="E13" s="49" t="str">
        <f>Commodities!D34</f>
        <v>AGRCOABKB</v>
      </c>
      <c r="F13" s="46">
        <v>1</v>
      </c>
      <c r="G13" s="60"/>
      <c r="I13" s="60"/>
      <c r="P13" s="2" t="str">
        <f>"FT-"&amp;Commodities!D35&amp;"00"</f>
        <v>FT-AGROILDSL00</v>
      </c>
      <c r="Q13" s="2" t="str">
        <f>"Fuel Tech -"&amp;Commodities!E35</f>
        <v>Fuel Tech -Diesel (AGR)</v>
      </c>
      <c r="R13" s="46" t="str">
        <f>General!$B$2</f>
        <v>PJ</v>
      </c>
      <c r="S13" s="46" t="str">
        <f>General!$B$2&amp;"a"</f>
        <v>PJa</v>
      </c>
      <c r="T13" s="46"/>
    </row>
    <row r="14" spans="2:22" x14ac:dyDescent="0.25">
      <c r="B14" s="2" t="str">
        <f t="shared" si="0"/>
        <v>FT-AGROILDSL00</v>
      </c>
      <c r="C14" s="2" t="str">
        <f t="shared" si="1"/>
        <v>Fuel Tech -Diesel (AGR)</v>
      </c>
      <c r="D14" s="2" t="str">
        <f>Commodities!D11</f>
        <v>OILDSL</v>
      </c>
      <c r="E14" s="49"/>
      <c r="F14" s="46">
        <v>1</v>
      </c>
      <c r="G14" s="46">
        <v>1</v>
      </c>
      <c r="H14" s="46">
        <v>1</v>
      </c>
      <c r="I14" s="46"/>
      <c r="P14" s="2" t="str">
        <f>"FT-"&amp;Commodities!D36&amp;"00"</f>
        <v>FT-AGROILGSL00</v>
      </c>
      <c r="Q14" s="2" t="str">
        <f>"Fuel Tech -"&amp;Commodities!E36</f>
        <v>Fuel Tech -Gasoline (AGR)</v>
      </c>
      <c r="R14" s="46" t="str">
        <f>General!$B$2</f>
        <v>PJ</v>
      </c>
      <c r="S14" s="46" t="str">
        <f>General!$B$2&amp;"a"</f>
        <v>PJa</v>
      </c>
      <c r="T14" s="46"/>
    </row>
    <row r="15" spans="2:22" x14ac:dyDescent="0.25">
      <c r="D15" s="2" t="str">
        <f>Commodities!D21</f>
        <v>BIODSL</v>
      </c>
      <c r="E15" s="49"/>
      <c r="F15" s="46"/>
      <c r="G15" s="46">
        <v>0</v>
      </c>
      <c r="H15" s="46">
        <v>0</v>
      </c>
      <c r="I15" s="46"/>
      <c r="P15" s="2" t="str">
        <f>"FT-"&amp;Commodities!D37&amp;"00"</f>
        <v>FT-AGROILLPG00</v>
      </c>
      <c r="Q15" s="2" t="str">
        <f>"Fuel Tech -"&amp;Commodities!E37</f>
        <v>Fuel Tech -Liquified petroleum gas (AGR)</v>
      </c>
      <c r="R15" s="46" t="str">
        <f>General!$B$2</f>
        <v>PJ</v>
      </c>
      <c r="S15" s="46" t="str">
        <f>General!$B$2&amp;"a"</f>
        <v>PJa</v>
      </c>
      <c r="T15" s="46"/>
    </row>
    <row r="16" spans="2:22" x14ac:dyDescent="0.25">
      <c r="E16" s="49" t="str">
        <f>Commodities!D35</f>
        <v>AGROILDSL</v>
      </c>
      <c r="F16" s="46"/>
      <c r="G16" s="60"/>
      <c r="I16" s="60"/>
      <c r="P16" s="2" t="str">
        <f>"FT-"&amp;Commodities!D38&amp;"00"</f>
        <v>FT-AGROILHFO00</v>
      </c>
      <c r="Q16" s="2" t="str">
        <f>"Fuel Tech -"&amp;Commodities!E38</f>
        <v>Fuel Tech -Fuel Oil (AGR)</v>
      </c>
      <c r="R16" s="46" t="str">
        <f>General!$B$2</f>
        <v>PJ</v>
      </c>
      <c r="S16" s="46" t="str">
        <f>General!$B$2&amp;"a"</f>
        <v>PJa</v>
      </c>
      <c r="T16" s="46"/>
    </row>
    <row r="17" spans="2:20" x14ac:dyDescent="0.25">
      <c r="B17" s="2" t="str">
        <f t="shared" ref="B17:C17" si="2">P14</f>
        <v>FT-AGROILGSL00</v>
      </c>
      <c r="C17" s="2" t="str">
        <f t="shared" si="2"/>
        <v>Fuel Tech -Gasoline (AGR)</v>
      </c>
      <c r="D17" s="2" t="str">
        <f>Commodities!D12</f>
        <v>OILGSL</v>
      </c>
      <c r="E17" s="49"/>
      <c r="F17" s="46">
        <v>1</v>
      </c>
      <c r="G17" s="46">
        <v>1</v>
      </c>
      <c r="H17" s="46">
        <v>1</v>
      </c>
      <c r="I17" s="46"/>
      <c r="P17" s="2" t="str">
        <f>"FT-"&amp;Commodities!D39&amp;"00"</f>
        <v>FT-AGRGASNAT00</v>
      </c>
      <c r="Q17" s="2" t="str">
        <f>"Fuel Tech -"&amp;Commodities!E39</f>
        <v>Fuel Tech -Natural Gas (AGR)</v>
      </c>
      <c r="R17" s="46" t="str">
        <f>General!$B$2</f>
        <v>PJ</v>
      </c>
      <c r="S17" s="46" t="str">
        <f>General!$B$2&amp;"a"</f>
        <v>PJa</v>
      </c>
      <c r="T17" s="46" t="s">
        <v>340</v>
      </c>
    </row>
    <row r="18" spans="2:20" x14ac:dyDescent="0.25">
      <c r="D18" s="2" t="str">
        <f>Commodities!D22</f>
        <v>BIOETH</v>
      </c>
      <c r="E18" s="49"/>
      <c r="F18" s="46"/>
      <c r="G18" s="46">
        <v>0</v>
      </c>
      <c r="H18" s="46">
        <v>0</v>
      </c>
      <c r="I18" s="46"/>
      <c r="P18" s="2" t="str">
        <f>"FT-"&amp;Commodities!D40&amp;"00"</f>
        <v>FT-AGRBIOLOG00</v>
      </c>
      <c r="Q18" s="2" t="str">
        <f>"Fuel Tech -"&amp;Commodities!E40</f>
        <v>Fuel Tech -Wood (AGR)</v>
      </c>
      <c r="R18" s="46" t="str">
        <f>General!$B$2</f>
        <v>PJ</v>
      </c>
      <c r="S18" s="46" t="str">
        <f>General!$B$2&amp;"a"</f>
        <v>PJa</v>
      </c>
      <c r="T18" s="46"/>
    </row>
    <row r="19" spans="2:20" x14ac:dyDescent="0.25">
      <c r="E19" s="49" t="str">
        <f>Commodities!D36</f>
        <v>AGROILGSL</v>
      </c>
      <c r="F19" s="46"/>
      <c r="G19" s="60"/>
      <c r="I19" s="60"/>
      <c r="P19" s="2" t="str">
        <f>"FT-"&amp;Commodities!D41&amp;"00"</f>
        <v>FT-AGRBIOWAN00</v>
      </c>
      <c r="Q19" s="2" t="str">
        <f>"Fuel Tech -"&amp;Commodities!E41</f>
        <v>Fuel Tech -Animal waste (AGR)</v>
      </c>
      <c r="R19" s="46" t="str">
        <f>General!$B$2</f>
        <v>PJ</v>
      </c>
      <c r="S19" s="46" t="str">
        <f>General!$B$2&amp;"a"</f>
        <v>PJa</v>
      </c>
      <c r="T19" s="46"/>
    </row>
    <row r="20" spans="2:20" x14ac:dyDescent="0.25">
      <c r="B20" s="2" t="str">
        <f t="shared" ref="B20:C23" si="3">P15</f>
        <v>FT-AGROILLPG00</v>
      </c>
      <c r="C20" s="2" t="str">
        <f t="shared" si="3"/>
        <v>Fuel Tech -Liquified petroleum gas (AGR)</v>
      </c>
      <c r="D20" s="2" t="str">
        <f>Commodities!D13</f>
        <v>OILLPG</v>
      </c>
      <c r="E20" s="49" t="str">
        <f>Commodities!D37</f>
        <v>AGROILLPG</v>
      </c>
      <c r="F20" s="46">
        <v>1</v>
      </c>
      <c r="G20" s="60"/>
      <c r="I20" s="60"/>
      <c r="P20" s="2" t="str">
        <f>"FT-"&amp;Commodities!D43&amp;"00"</f>
        <v>FT-AGRBIODSL00</v>
      </c>
      <c r="Q20" s="2" t="str">
        <f>"Fuel Tech -"&amp;Commodities!E43</f>
        <v>Fuel Tech -Biodiesel (AGR)</v>
      </c>
      <c r="R20" s="46" t="str">
        <f>General!$B$2</f>
        <v>PJ</v>
      </c>
      <c r="S20" s="46" t="str">
        <f>General!$B$2&amp;"a"</f>
        <v>PJa</v>
      </c>
      <c r="T20" s="46"/>
    </row>
    <row r="21" spans="2:20" x14ac:dyDescent="0.25">
      <c r="B21" s="2" t="str">
        <f t="shared" si="3"/>
        <v>FT-AGROILHFO00</v>
      </c>
      <c r="C21" s="2" t="str">
        <f t="shared" si="3"/>
        <v>Fuel Tech -Fuel Oil (AGR)</v>
      </c>
      <c r="D21" s="2" t="str">
        <f>Commodities!D14</f>
        <v>OILHFO</v>
      </c>
      <c r="E21" s="49" t="str">
        <f>Commodities!D38</f>
        <v>AGROILHFO</v>
      </c>
      <c r="F21" s="46">
        <v>1</v>
      </c>
      <c r="G21" s="60"/>
      <c r="I21" s="60"/>
      <c r="P21" s="2" t="str">
        <f>"FT-"&amp;Commodities!D44&amp;"00"</f>
        <v>FT-AGRBIOETH00</v>
      </c>
      <c r="Q21" s="2" t="str">
        <f>"Fuel Tech -"&amp;Commodities!E44</f>
        <v>Fuel Tech -Bioethanol (AGR)</v>
      </c>
      <c r="R21" s="46" t="str">
        <f>General!$B$2</f>
        <v>PJ</v>
      </c>
      <c r="S21" s="46" t="str">
        <f>General!$B$2&amp;"a"</f>
        <v>PJa</v>
      </c>
      <c r="T21" s="46"/>
    </row>
    <row r="22" spans="2:20" x14ac:dyDescent="0.25">
      <c r="B22" s="2" t="str">
        <f t="shared" si="3"/>
        <v>FT-AGRGASNAT00</v>
      </c>
      <c r="C22" s="2" t="str">
        <f t="shared" si="3"/>
        <v>Fuel Tech -Natural Gas (AGR)</v>
      </c>
      <c r="D22" s="2" t="str">
        <f>Commodities!D55</f>
        <v>GASNAT_LP</v>
      </c>
      <c r="E22" s="49" t="str">
        <f>Commodities!D39</f>
        <v>AGRGASNAT</v>
      </c>
      <c r="F22" s="46">
        <v>1</v>
      </c>
      <c r="G22" s="60"/>
      <c r="I22" s="60"/>
      <c r="P22" s="2" t="str">
        <f>"FT-"&amp;Commodities!D45&amp;"00"</f>
        <v>FT-AGRBIOBGS00</v>
      </c>
      <c r="Q22" s="2" t="str">
        <f>"Fuel Tech -"&amp;Commodities!E45</f>
        <v>Fuel Tech -Biogas (AGR)</v>
      </c>
      <c r="R22" s="46" t="str">
        <f>General!$B$2</f>
        <v>PJ</v>
      </c>
      <c r="S22" s="46" t="str">
        <f>General!$B$2&amp;"a"</f>
        <v>PJa</v>
      </c>
      <c r="T22" s="46"/>
    </row>
    <row r="23" spans="2:20" x14ac:dyDescent="0.25">
      <c r="B23" s="2" t="str">
        <f t="shared" si="3"/>
        <v>FT-AGRBIOLOG00</v>
      </c>
      <c r="C23" s="2" t="str">
        <f t="shared" si="3"/>
        <v>Fuel Tech -Wood (AGR)</v>
      </c>
      <c r="D23" s="2" t="str">
        <f>Commodities!D17</f>
        <v>BIOLOG</v>
      </c>
      <c r="E23" s="49" t="str">
        <f>Commodities!D40</f>
        <v>AGRBIOLOG</v>
      </c>
      <c r="F23" s="46">
        <v>1</v>
      </c>
      <c r="G23" s="60"/>
      <c r="I23" s="60"/>
      <c r="P23" s="2" t="str">
        <f>"FT-"&amp;Commodities!D46&amp;"00"</f>
        <v>FT-AGRBIOPLT00</v>
      </c>
      <c r="Q23" s="2" t="str">
        <f>"Fuel Tech -"&amp;Commodities!E46</f>
        <v>Fuel Tech -Pellet (AGR)</v>
      </c>
      <c r="R23" s="46" t="str">
        <f>General!$B$2</f>
        <v>PJ</v>
      </c>
      <c r="S23" s="46" t="str">
        <f>General!$B$2&amp;"a"</f>
        <v>PJa</v>
      </c>
      <c r="T23" s="46"/>
    </row>
    <row r="24" spans="2:20" x14ac:dyDescent="0.25">
      <c r="B24" s="2" t="str">
        <f t="shared" ref="B24:C31" si="4">P19</f>
        <v>FT-AGRBIOWAN00</v>
      </c>
      <c r="C24" s="2" t="str">
        <f t="shared" si="4"/>
        <v>Fuel Tech -Animal waste (AGR)</v>
      </c>
      <c r="D24" s="2" t="str">
        <f>Commodities!D20</f>
        <v>BIOWAN</v>
      </c>
      <c r="E24" s="49" t="str">
        <f>Commodities!D41</f>
        <v>AGRBIOWAN</v>
      </c>
      <c r="F24" s="46">
        <v>1</v>
      </c>
      <c r="G24" s="60"/>
      <c r="I24" s="60"/>
      <c r="P24" s="2" t="str">
        <f>"FT-"&amp;Commodities!D47&amp;"00"</f>
        <v>FT-AGRBIOCHR00</v>
      </c>
      <c r="Q24" s="2" t="str">
        <f>"Fuel Tech -"&amp;Commodities!E47</f>
        <v>Fuel Tech -Charcoal (AGR)</v>
      </c>
      <c r="R24" s="46" t="str">
        <f>General!$B$2</f>
        <v>PJ</v>
      </c>
      <c r="S24" s="46" t="str">
        <f>General!$B$2&amp;"a"</f>
        <v>PJa</v>
      </c>
      <c r="T24" s="46"/>
    </row>
    <row r="25" spans="2:20" x14ac:dyDescent="0.25">
      <c r="B25" s="2" t="str">
        <f t="shared" si="4"/>
        <v>FT-AGRBIODSL00</v>
      </c>
      <c r="C25" s="2" t="str">
        <f t="shared" si="4"/>
        <v>Fuel Tech -Biodiesel (AGR)</v>
      </c>
      <c r="D25" s="2" t="str">
        <f>Commodities!D21</f>
        <v>BIODSL</v>
      </c>
      <c r="E25" s="49" t="str">
        <f>Commodities!D43</f>
        <v>AGRBIODSL</v>
      </c>
      <c r="F25" s="46">
        <v>1</v>
      </c>
      <c r="G25" s="60"/>
      <c r="I25" s="60"/>
      <c r="P25" s="2" t="str">
        <f>"FT-"&amp;Commodities!D48&amp;"00"</f>
        <v>FT-AGRRESSOL00</v>
      </c>
      <c r="Q25" s="2" t="str">
        <f>"Fuel Tech -"&amp;Commodities!E48</f>
        <v>Fuel Tech -Solar Energy (AGR)</v>
      </c>
      <c r="R25" s="46" t="str">
        <f>General!$B$2</f>
        <v>PJ</v>
      </c>
      <c r="S25" s="46" t="str">
        <f>General!$B$2&amp;"a"</f>
        <v>PJa</v>
      </c>
      <c r="T25" s="46"/>
    </row>
    <row r="26" spans="2:20" x14ac:dyDescent="0.25">
      <c r="B26" s="2" t="str">
        <f t="shared" si="4"/>
        <v>FT-AGRBIOETH00</v>
      </c>
      <c r="C26" s="2" t="str">
        <f t="shared" si="4"/>
        <v>Fuel Tech -Bioethanol (AGR)</v>
      </c>
      <c r="D26" s="2" t="str">
        <f>Commodities!D22</f>
        <v>BIOETH</v>
      </c>
      <c r="E26" s="49" t="str">
        <f>Commodities!D42</f>
        <v>AGRBIOETH</v>
      </c>
      <c r="F26" s="46">
        <v>1</v>
      </c>
      <c r="G26" s="60"/>
      <c r="I26" s="60"/>
      <c r="P26" s="2" t="str">
        <f>"FT-"&amp;Commodities!D49&amp;"00"</f>
        <v>FT-AGRRESGEO00</v>
      </c>
      <c r="Q26" s="2" t="str">
        <f>"Fuel Tech -"&amp;Commodities!E49</f>
        <v>Fuel Tech -Geothermal Energy (AGR)</v>
      </c>
      <c r="R26" s="46" t="str">
        <f>General!$B$2</f>
        <v>PJ</v>
      </c>
      <c r="S26" s="46" t="str">
        <f>General!$B$2&amp;"a"</f>
        <v>PJa</v>
      </c>
      <c r="T26" s="46"/>
    </row>
    <row r="27" spans="2:20" x14ac:dyDescent="0.25">
      <c r="B27" s="2" t="str">
        <f t="shared" si="4"/>
        <v>FT-AGRBIOBGS00</v>
      </c>
      <c r="C27" s="2" t="str">
        <f t="shared" si="4"/>
        <v>Fuel Tech -Biogas (AGR)</v>
      </c>
      <c r="D27" s="2" t="str">
        <f>Commodities!D23</f>
        <v>BIOBGS</v>
      </c>
      <c r="E27" s="49" t="str">
        <f>Commodities!D45</f>
        <v>AGRBIOBGS</v>
      </c>
      <c r="F27" s="46">
        <v>1</v>
      </c>
      <c r="G27" s="60"/>
      <c r="I27" s="60"/>
      <c r="N27" s="2" t="s">
        <v>302</v>
      </c>
      <c r="P27" s="2" t="str">
        <f>"FT-"&amp;Commodities!D53&amp;"00"</f>
        <v>FT-AGRELC00</v>
      </c>
      <c r="Q27" s="2" t="str">
        <f>"Fuel Tech -"&amp;Commodities!E53</f>
        <v>Fuel Tech -Electricity (AGR)</v>
      </c>
      <c r="R27" s="46" t="str">
        <f>General!$B$2</f>
        <v>PJ</v>
      </c>
      <c r="S27" s="46" t="str">
        <f>General!$B$5</f>
        <v>GW</v>
      </c>
      <c r="T27" s="46" t="s">
        <v>133</v>
      </c>
    </row>
    <row r="28" spans="2:20" x14ac:dyDescent="0.25">
      <c r="B28" s="2" t="str">
        <f t="shared" si="4"/>
        <v>FT-AGRBIOPLT00</v>
      </c>
      <c r="C28" s="2" t="str">
        <f t="shared" si="4"/>
        <v>Fuel Tech -Pellet (AGR)</v>
      </c>
      <c r="D28" s="2" t="str">
        <f>Commodities!D24</f>
        <v>BIOPLT</v>
      </c>
      <c r="E28" s="49" t="str">
        <f>Commodities!D46</f>
        <v>AGRBIOPLT</v>
      </c>
      <c r="F28" s="46">
        <v>1</v>
      </c>
      <c r="G28" s="60"/>
      <c r="I28" s="60"/>
    </row>
    <row r="29" spans="2:20" x14ac:dyDescent="0.25">
      <c r="B29" s="2" t="str">
        <f t="shared" si="4"/>
        <v>FT-AGRBIOCHR00</v>
      </c>
      <c r="C29" s="2" t="str">
        <f t="shared" si="4"/>
        <v>Fuel Tech -Charcoal (AGR)</v>
      </c>
      <c r="D29" s="2" t="str">
        <f>Commodities!D25</f>
        <v>BIOCHR</v>
      </c>
      <c r="E29" s="49" t="str">
        <f>Commodities!D47</f>
        <v>AGRBIOCHR</v>
      </c>
      <c r="F29" s="46">
        <v>1</v>
      </c>
      <c r="G29" s="60"/>
      <c r="H29" s="60"/>
      <c r="I29" s="60"/>
    </row>
    <row r="30" spans="2:20" x14ac:dyDescent="0.25">
      <c r="B30" s="2" t="str">
        <f t="shared" si="4"/>
        <v>FT-AGRRESSOL00</v>
      </c>
      <c r="C30" s="2" t="str">
        <f t="shared" si="4"/>
        <v>Fuel Tech -Solar Energy (AGR)</v>
      </c>
      <c r="D30" s="2" t="str">
        <f>Commodities!D27</f>
        <v>RESSOL</v>
      </c>
      <c r="E30" s="49" t="str">
        <f>Commodities!D48</f>
        <v>AGRRESSOL</v>
      </c>
      <c r="F30" s="46">
        <v>1</v>
      </c>
      <c r="G30" s="60"/>
      <c r="H30" s="60"/>
      <c r="I30" s="60"/>
    </row>
    <row r="31" spans="2:20" ht="26.25" customHeight="1" x14ac:dyDescent="0.25">
      <c r="B31" s="2" t="str">
        <f t="shared" si="4"/>
        <v>FT-AGRRESGEO00</v>
      </c>
      <c r="C31" s="2" t="str">
        <f t="shared" si="4"/>
        <v>Fuel Tech -Geothermal Energy (AGR)</v>
      </c>
      <c r="D31" s="2" t="str">
        <f>Commodities!D29</f>
        <v>RESGEO</v>
      </c>
      <c r="E31" s="49" t="str">
        <f>Commodities!D49</f>
        <v>AGRRESGEO</v>
      </c>
      <c r="F31" s="46">
        <v>1</v>
      </c>
      <c r="G31" s="60"/>
      <c r="H31" s="60"/>
      <c r="I31" s="60"/>
    </row>
    <row r="32" spans="2:20" ht="36" customHeight="1" x14ac:dyDescent="0.25">
      <c r="E32" s="49"/>
      <c r="F32" s="46"/>
    </row>
    <row r="33" spans="2:9" x14ac:dyDescent="0.25">
      <c r="E33" s="25"/>
      <c r="F33" s="46"/>
    </row>
    <row r="35" spans="2:9" x14ac:dyDescent="0.25">
      <c r="E35" s="33" t="s">
        <v>15</v>
      </c>
      <c r="F35" s="33"/>
      <c r="I35" s="34"/>
    </row>
    <row r="36" spans="2:9" x14ac:dyDescent="0.25">
      <c r="B36" s="5" t="s">
        <v>1</v>
      </c>
      <c r="C36" s="5" t="s">
        <v>42</v>
      </c>
      <c r="D36" s="5" t="s">
        <v>7</v>
      </c>
      <c r="E36" s="36" t="s">
        <v>8</v>
      </c>
      <c r="F36" s="23" t="s">
        <v>17</v>
      </c>
      <c r="G36" s="23" t="s">
        <v>3</v>
      </c>
      <c r="H36" s="23" t="s">
        <v>6</v>
      </c>
      <c r="I36" s="23" t="s">
        <v>308</v>
      </c>
    </row>
    <row r="37" spans="2:9" ht="14.4" thickBot="1" x14ac:dyDescent="0.3">
      <c r="B37" s="6" t="s">
        <v>378</v>
      </c>
      <c r="C37" s="6" t="s">
        <v>26</v>
      </c>
      <c r="D37" s="6" t="s">
        <v>36</v>
      </c>
      <c r="E37" s="38" t="s">
        <v>37</v>
      </c>
      <c r="F37" s="6" t="s">
        <v>38</v>
      </c>
      <c r="G37" s="6" t="s">
        <v>41</v>
      </c>
      <c r="H37" s="6" t="s">
        <v>40</v>
      </c>
      <c r="I37" s="6" t="s">
        <v>301</v>
      </c>
    </row>
    <row r="38" spans="2:9" x14ac:dyDescent="0.25">
      <c r="B38" s="40"/>
      <c r="C38" s="41"/>
      <c r="D38" s="41"/>
      <c r="E38" s="58" t="s">
        <v>299</v>
      </c>
      <c r="F38" s="41" t="s">
        <v>309</v>
      </c>
      <c r="G38" s="41" t="str">
        <f>General!$D$14</f>
        <v>$/GJ/a</v>
      </c>
      <c r="H38" s="41" t="str">
        <f>General!$D$15</f>
        <v>$/GJ</v>
      </c>
      <c r="I38" s="41" t="str">
        <f>General!$D$16</f>
        <v>GJ/kW</v>
      </c>
    </row>
    <row r="39" spans="2:9" x14ac:dyDescent="0.25">
      <c r="B39" s="2" t="str">
        <f>P27</f>
        <v>FT-AGRELC00</v>
      </c>
      <c r="C39" s="2" t="str">
        <f>Q27</f>
        <v>Fuel Tech -Electricity (AGR)</v>
      </c>
      <c r="D39" s="2" t="str">
        <f>Commodities!D54</f>
        <v>ELCMLO</v>
      </c>
      <c r="E39" s="49"/>
      <c r="F39" s="46">
        <v>1</v>
      </c>
      <c r="G39" s="46"/>
      <c r="H39" s="46"/>
      <c r="I39" s="46">
        <v>31.536000000000001</v>
      </c>
    </row>
    <row r="40" spans="2:9" x14ac:dyDescent="0.25">
      <c r="B40" s="50"/>
      <c r="C40" s="50"/>
      <c r="D40" s="50"/>
      <c r="E40" s="61" t="str">
        <f>Commodities!D53</f>
        <v>AGRELC</v>
      </c>
      <c r="F40" s="50"/>
      <c r="G40" s="50"/>
      <c r="H40" s="50"/>
      <c r="I40" s="50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2:S14"/>
  <sheetViews>
    <sheetView zoomScale="70" zoomScaleNormal="70" workbookViewId="0">
      <selection sqref="A1:XFD1048576"/>
    </sheetView>
  </sheetViews>
  <sheetFormatPr defaultColWidth="9.109375" defaultRowHeight="17.25" customHeight="1" x14ac:dyDescent="0.25"/>
  <cols>
    <col min="1" max="1" width="9.109375" style="2"/>
    <col min="2" max="2" width="13.44140625" style="2" bestFit="1" customWidth="1"/>
    <col min="3" max="3" width="14.5546875" style="2" bestFit="1" customWidth="1"/>
    <col min="4" max="4" width="13.5546875" style="2" bestFit="1" customWidth="1"/>
    <col min="5" max="5" width="13.33203125" style="2" bestFit="1" customWidth="1"/>
    <col min="6" max="6" width="14.44140625" style="2" bestFit="1" customWidth="1"/>
    <col min="7" max="8" width="13.44140625" style="2" bestFit="1" customWidth="1"/>
    <col min="9" max="9" width="12.88671875" style="2" bestFit="1" customWidth="1"/>
    <col min="10" max="10" width="14.44140625" style="2" bestFit="1" customWidth="1"/>
    <col min="11" max="11" width="14.5546875" style="2" bestFit="1" customWidth="1"/>
    <col min="12" max="12" width="13.5546875" style="2" bestFit="1" customWidth="1"/>
    <col min="13" max="13" width="13.6640625" style="2" bestFit="1" customWidth="1"/>
    <col min="14" max="14" width="13.5546875" style="2" bestFit="1" customWidth="1"/>
    <col min="15" max="16" width="9.109375" style="2"/>
    <col min="17" max="17" width="106.6640625" style="2" bestFit="1" customWidth="1"/>
    <col min="18" max="16384" width="9.109375" style="2"/>
  </cols>
  <sheetData>
    <row r="2" spans="1:19" ht="17.25" customHeight="1" x14ac:dyDescent="0.25">
      <c r="B2" s="33" t="s">
        <v>18</v>
      </c>
    </row>
    <row r="3" spans="1:19" ht="17.25" customHeight="1" x14ac:dyDescent="0.25">
      <c r="B3" s="62" t="s">
        <v>0</v>
      </c>
      <c r="C3" s="62" t="str">
        <f>AGR_BAL!D6</f>
        <v>AGRCOASUB</v>
      </c>
      <c r="D3" s="62" t="str">
        <f>AGR_BAL!E6</f>
        <v>AGRCOABIC</v>
      </c>
      <c r="E3" s="62" t="str">
        <f>AGR_BAL!F6</f>
        <v>AGRCOABCO</v>
      </c>
      <c r="F3" s="62" t="str">
        <f>AGR_BAL!G6</f>
        <v>AGRCOABKB</v>
      </c>
      <c r="G3" s="62" t="str">
        <f>AGR_BAL!H6</f>
        <v>AGROILLPG</v>
      </c>
      <c r="H3" s="62" t="str">
        <f>AGR_BAL!I6</f>
        <v>AGROILGSL</v>
      </c>
      <c r="I3" s="62" t="str">
        <f>AGR_BAL!J6</f>
        <v>AGROILDSL</v>
      </c>
      <c r="J3" s="62" t="str">
        <f>AGR_BAL!K6</f>
        <v>AGROILHFO</v>
      </c>
      <c r="K3" s="62" t="str">
        <f>AGR_BAL!L6</f>
        <v>AGRGASNAT</v>
      </c>
      <c r="L3" s="62" t="str">
        <f>AGR_BAL!M6</f>
        <v>AGRBIOLOG</v>
      </c>
      <c r="M3" s="62" t="str">
        <f>AGR_BAL!N6</f>
        <v>AGRBIOCHR</v>
      </c>
      <c r="N3" s="62" t="str">
        <f>AGR_BAL!O6</f>
        <v>AGRBIOBGS</v>
      </c>
      <c r="Q3" s="62" t="s">
        <v>336</v>
      </c>
    </row>
    <row r="4" spans="1:19" ht="17.25" customHeight="1" thickBot="1" x14ac:dyDescent="0.3">
      <c r="B4" s="15" t="s">
        <v>49</v>
      </c>
      <c r="C4" s="15" t="str">
        <f>General!$D$17</f>
        <v>kg/GJ</v>
      </c>
      <c r="D4" s="15" t="str">
        <f>General!$D$17</f>
        <v>kg/GJ</v>
      </c>
      <c r="E4" s="15" t="str">
        <f>General!$D$17</f>
        <v>kg/GJ</v>
      </c>
      <c r="F4" s="15" t="str">
        <f>General!$D$17</f>
        <v>kg/GJ</v>
      </c>
      <c r="G4" s="15" t="str">
        <f>General!$D$17</f>
        <v>kg/GJ</v>
      </c>
      <c r="H4" s="15" t="str">
        <f>General!$D$17</f>
        <v>kg/GJ</v>
      </c>
      <c r="I4" s="15" t="str">
        <f>General!$D$17</f>
        <v>kg/GJ</v>
      </c>
      <c r="J4" s="15" t="str">
        <f>General!$D$17</f>
        <v>kg/GJ</v>
      </c>
      <c r="K4" s="15" t="str">
        <f>General!$D$17</f>
        <v>kg/GJ</v>
      </c>
      <c r="L4" s="15" t="str">
        <f>General!$D$17</f>
        <v>kg/GJ</v>
      </c>
      <c r="M4" s="15" t="str">
        <f>General!$D$17</f>
        <v>kg/GJ</v>
      </c>
      <c r="N4" s="15" t="str">
        <f>General!$D$17</f>
        <v>kg/GJ</v>
      </c>
      <c r="Q4" s="63"/>
    </row>
    <row r="5" spans="1:19" ht="17.25" customHeight="1" x14ac:dyDescent="0.25">
      <c r="B5" s="2" t="str">
        <f>Commodities!N7</f>
        <v>AGRCO2</v>
      </c>
      <c r="C5" s="2">
        <v>95</v>
      </c>
      <c r="D5" s="2">
        <v>97</v>
      </c>
      <c r="E5" s="2">
        <v>101</v>
      </c>
      <c r="F5" s="2">
        <v>97.5</v>
      </c>
      <c r="G5" s="2">
        <v>63.1</v>
      </c>
      <c r="H5" s="2">
        <v>69.3</v>
      </c>
      <c r="I5" s="2">
        <v>74.099999999999994</v>
      </c>
      <c r="J5" s="2">
        <v>77.400000000000006</v>
      </c>
      <c r="K5" s="2">
        <v>56.1</v>
      </c>
      <c r="L5" s="2">
        <v>0</v>
      </c>
      <c r="M5" s="2">
        <v>0</v>
      </c>
      <c r="N5" s="2">
        <v>54.6</v>
      </c>
      <c r="Q5" s="2" t="s">
        <v>337</v>
      </c>
      <c r="S5" s="2" t="s">
        <v>393</v>
      </c>
    </row>
    <row r="6" spans="1:19" ht="17.25" customHeight="1" x14ac:dyDescent="0.25">
      <c r="B6" s="2" t="str">
        <f>Commodities!N8</f>
        <v>AGRCH4</v>
      </c>
      <c r="C6" s="2">
        <f>(1/1000)*28</f>
        <v>2.8000000000000001E-2</v>
      </c>
      <c r="D6" s="2">
        <f>(300/1000)*28</f>
        <v>8.4</v>
      </c>
      <c r="E6" s="2">
        <f>(300/1000)*28</f>
        <v>8.4</v>
      </c>
      <c r="F6" s="2">
        <f>(300/1000)*28</f>
        <v>8.4</v>
      </c>
      <c r="G6" s="2">
        <f>(5/1000)*28</f>
        <v>0.14000000000000001</v>
      </c>
      <c r="H6" s="2">
        <f>(10/1000)*28</f>
        <v>0.28000000000000003</v>
      </c>
      <c r="I6" s="2">
        <f>(10/1000)*28</f>
        <v>0.28000000000000003</v>
      </c>
      <c r="J6" s="2">
        <f>(10/1000)*28</f>
        <v>0.28000000000000003</v>
      </c>
      <c r="K6" s="2">
        <f>(5/1000)*28</f>
        <v>0.14000000000000001</v>
      </c>
      <c r="L6" s="2">
        <f>(300/1000)*28</f>
        <v>8.4</v>
      </c>
      <c r="M6" s="2">
        <f>(200/1000)*28</f>
        <v>5.6000000000000005</v>
      </c>
      <c r="N6" s="2">
        <f>(5/1000)*28</f>
        <v>0.14000000000000001</v>
      </c>
      <c r="Q6" s="2">
        <v>28</v>
      </c>
    </row>
    <row r="7" spans="1:19" ht="17.25" customHeight="1" x14ac:dyDescent="0.25">
      <c r="B7" s="2" t="str">
        <f>Commodities!N9</f>
        <v>AGRN2O</v>
      </c>
      <c r="C7" s="2">
        <f>(1.5/1000)*265</f>
        <v>0.39750000000000002</v>
      </c>
      <c r="D7" s="2">
        <f>(1.5/1000)*265</f>
        <v>0.39750000000000002</v>
      </c>
      <c r="E7" s="2">
        <f>(1.5/1000)*265</f>
        <v>0.39750000000000002</v>
      </c>
      <c r="F7" s="2">
        <f>(1.5/1000)*265</f>
        <v>0.39750000000000002</v>
      </c>
      <c r="G7" s="2">
        <f>(0.1/1000)*265</f>
        <v>2.6500000000000003E-2</v>
      </c>
      <c r="H7" s="2">
        <f>(0.6/1000)*265</f>
        <v>0.15899999999999997</v>
      </c>
      <c r="I7" s="2">
        <f>(0.6/1000)*265</f>
        <v>0.15899999999999997</v>
      </c>
      <c r="J7" s="2">
        <f>(0.6/1000)*265</f>
        <v>0.15899999999999997</v>
      </c>
      <c r="K7" s="2">
        <f>(0.1/1000)*265</f>
        <v>2.6500000000000003E-2</v>
      </c>
      <c r="L7" s="2">
        <f>(4/1000)*265</f>
        <v>1.06</v>
      </c>
      <c r="M7" s="2">
        <f>(1/1000)*265</f>
        <v>0.26500000000000001</v>
      </c>
      <c r="N7" s="2">
        <f>(0.1/1000)*265</f>
        <v>2.6500000000000003E-2</v>
      </c>
      <c r="Q7" s="2">
        <v>265</v>
      </c>
    </row>
    <row r="10" spans="1:19" ht="17.25" customHeight="1" x14ac:dyDescent="0.25">
      <c r="A10" s="25"/>
      <c r="C10" s="25"/>
      <c r="D10" s="25"/>
      <c r="E10" s="25"/>
    </row>
    <row r="11" spans="1:19" ht="17.25" customHeight="1" x14ac:dyDescent="0.25">
      <c r="A11" s="25"/>
      <c r="B11" s="64"/>
      <c r="C11" s="65"/>
      <c r="D11" s="65"/>
      <c r="E11" s="65"/>
    </row>
    <row r="12" spans="1:19" ht="17.25" customHeight="1" x14ac:dyDescent="0.25">
      <c r="A12" s="25"/>
      <c r="B12" s="25"/>
      <c r="C12" s="66"/>
      <c r="D12" s="66"/>
      <c r="E12" s="66"/>
    </row>
    <row r="13" spans="1:19" ht="17.25" customHeight="1" x14ac:dyDescent="0.25">
      <c r="A13" s="25"/>
      <c r="B13" s="25"/>
      <c r="C13" s="25"/>
      <c r="D13" s="25"/>
      <c r="E13" s="25"/>
    </row>
    <row r="14" spans="1:19" ht="17.25" customHeight="1" x14ac:dyDescent="0.25">
      <c r="A14" s="25"/>
      <c r="B14" s="25"/>
      <c r="C14" s="25"/>
      <c r="D14" s="25"/>
      <c r="E14" s="25"/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1:AD55"/>
  <sheetViews>
    <sheetView tabSelected="1" zoomScale="70" zoomScaleNormal="70" workbookViewId="0">
      <selection sqref="A1:XFD1048576"/>
    </sheetView>
  </sheetViews>
  <sheetFormatPr defaultColWidth="9.109375" defaultRowHeight="13.8" x14ac:dyDescent="0.25"/>
  <cols>
    <col min="1" max="1" width="3.44140625" style="2" customWidth="1"/>
    <col min="2" max="2" width="35" style="2" customWidth="1"/>
    <col min="3" max="3" width="15.109375" style="2" customWidth="1"/>
    <col min="4" max="4" width="22" style="2" customWidth="1"/>
    <col min="5" max="5" width="46" style="2" customWidth="1"/>
    <col min="6" max="6" width="8.88671875" style="2" customWidth="1"/>
    <col min="7" max="7" width="24.33203125" style="2" bestFit="1" customWidth="1"/>
    <col min="8" max="8" width="13.6640625" style="2" bestFit="1" customWidth="1"/>
    <col min="9" max="9" width="14.5546875" style="2" bestFit="1" customWidth="1"/>
    <col min="10" max="10" width="14.88671875" style="2" customWidth="1"/>
    <col min="11" max="11" width="9.109375" style="2"/>
    <col min="12" max="12" width="16.44140625" style="2" bestFit="1" customWidth="1"/>
    <col min="13" max="13" width="13.44140625" style="2" bestFit="1" customWidth="1"/>
    <col min="14" max="14" width="17.33203125" style="2" bestFit="1" customWidth="1"/>
    <col min="15" max="15" width="39.88671875" style="2" customWidth="1"/>
    <col min="16" max="16" width="7.6640625" style="2" bestFit="1" customWidth="1"/>
    <col min="17" max="20" width="12.33203125" style="2" customWidth="1"/>
    <col min="21" max="21" width="9.109375" style="2"/>
    <col min="22" max="22" width="16.109375" style="2" customWidth="1"/>
    <col min="23" max="23" width="13.44140625" style="2" bestFit="1" customWidth="1"/>
    <col min="24" max="24" width="17.33203125" style="2" bestFit="1" customWidth="1"/>
    <col min="25" max="25" width="45" style="2" bestFit="1" customWidth="1"/>
    <col min="26" max="26" width="7.6640625" style="2" bestFit="1" customWidth="1"/>
    <col min="27" max="27" width="15.5546875" style="2" customWidth="1"/>
    <col min="28" max="29" width="12.5546875" style="2" customWidth="1"/>
    <col min="30" max="30" width="9" style="2" customWidth="1"/>
    <col min="31" max="16384" width="9.109375" style="2"/>
  </cols>
  <sheetData>
    <row r="1" spans="2:30" x14ac:dyDescent="0.25">
      <c r="B1" s="1" t="s">
        <v>51</v>
      </c>
    </row>
    <row r="4" spans="2:30" x14ac:dyDescent="0.25">
      <c r="B4" s="35" t="s">
        <v>16</v>
      </c>
      <c r="C4" s="35"/>
      <c r="D4" s="32"/>
      <c r="E4" s="32"/>
      <c r="F4" s="32"/>
      <c r="G4" s="32"/>
      <c r="H4" s="32"/>
      <c r="I4" s="32"/>
      <c r="J4" s="32"/>
      <c r="L4" s="35" t="s">
        <v>16</v>
      </c>
      <c r="M4" s="35"/>
      <c r="N4" s="32"/>
      <c r="O4" s="32"/>
      <c r="P4" s="32"/>
      <c r="Q4" s="32"/>
      <c r="R4" s="32"/>
      <c r="S4" s="32"/>
      <c r="T4" s="32"/>
      <c r="V4" s="35" t="s">
        <v>16</v>
      </c>
      <c r="W4" s="35"/>
      <c r="X4" s="32"/>
      <c r="Y4" s="32"/>
      <c r="Z4" s="32"/>
      <c r="AA4" s="32"/>
      <c r="AB4" s="32"/>
      <c r="AC4" s="32"/>
      <c r="AD4" s="32"/>
    </row>
    <row r="5" spans="2:30" x14ac:dyDescent="0.25">
      <c r="B5" s="67" t="s">
        <v>9</v>
      </c>
      <c r="C5" s="37" t="s">
        <v>34</v>
      </c>
      <c r="D5" s="67" t="s">
        <v>0</v>
      </c>
      <c r="E5" s="67" t="s">
        <v>4</v>
      </c>
      <c r="F5" s="68" t="s">
        <v>5</v>
      </c>
      <c r="G5" s="68" t="s">
        <v>10</v>
      </c>
      <c r="H5" s="68" t="s">
        <v>11</v>
      </c>
      <c r="I5" s="68" t="s">
        <v>12</v>
      </c>
      <c r="J5" s="68" t="s">
        <v>14</v>
      </c>
      <c r="L5" s="67" t="s">
        <v>9</v>
      </c>
      <c r="M5" s="37" t="s">
        <v>34</v>
      </c>
      <c r="N5" s="67" t="s">
        <v>0</v>
      </c>
      <c r="O5" s="67" t="s">
        <v>4</v>
      </c>
      <c r="P5" s="68" t="s">
        <v>5</v>
      </c>
      <c r="Q5" s="68" t="s">
        <v>10</v>
      </c>
      <c r="R5" s="68" t="s">
        <v>11</v>
      </c>
      <c r="S5" s="68" t="s">
        <v>12</v>
      </c>
      <c r="T5" s="68" t="s">
        <v>14</v>
      </c>
      <c r="V5" s="67" t="s">
        <v>9</v>
      </c>
      <c r="W5" s="37" t="s">
        <v>34</v>
      </c>
      <c r="X5" s="67" t="s">
        <v>0</v>
      </c>
      <c r="Y5" s="67" t="s">
        <v>4</v>
      </c>
      <c r="Z5" s="68" t="s">
        <v>5</v>
      </c>
      <c r="AA5" s="68" t="s">
        <v>10</v>
      </c>
      <c r="AB5" s="68" t="s">
        <v>11</v>
      </c>
      <c r="AC5" s="68" t="s">
        <v>12</v>
      </c>
      <c r="AD5" s="68" t="s">
        <v>14</v>
      </c>
    </row>
    <row r="6" spans="2:30" s="71" customFormat="1" ht="28.5" customHeight="1" thickBot="1" x14ac:dyDescent="0.3">
      <c r="B6" s="69" t="s">
        <v>43</v>
      </c>
      <c r="C6" s="70" t="s">
        <v>35</v>
      </c>
      <c r="D6" s="69" t="s">
        <v>30</v>
      </c>
      <c r="E6" s="69" t="s">
        <v>31</v>
      </c>
      <c r="F6" s="69" t="s">
        <v>5</v>
      </c>
      <c r="G6" s="69" t="s">
        <v>45</v>
      </c>
      <c r="H6" s="69" t="s">
        <v>46</v>
      </c>
      <c r="I6" s="69" t="s">
        <v>32</v>
      </c>
      <c r="J6" s="69" t="s">
        <v>33</v>
      </c>
      <c r="L6" s="69" t="s">
        <v>43</v>
      </c>
      <c r="M6" s="70" t="s">
        <v>35</v>
      </c>
      <c r="N6" s="69" t="s">
        <v>30</v>
      </c>
      <c r="O6" s="69" t="s">
        <v>31</v>
      </c>
      <c r="P6" s="69" t="s">
        <v>5</v>
      </c>
      <c r="Q6" s="69" t="s">
        <v>45</v>
      </c>
      <c r="R6" s="69" t="s">
        <v>46</v>
      </c>
      <c r="S6" s="69" t="s">
        <v>32</v>
      </c>
      <c r="T6" s="69" t="s">
        <v>33</v>
      </c>
      <c r="V6" s="69" t="s">
        <v>43</v>
      </c>
      <c r="W6" s="70" t="s">
        <v>35</v>
      </c>
      <c r="X6" s="69" t="s">
        <v>30</v>
      </c>
      <c r="Y6" s="69" t="s">
        <v>31</v>
      </c>
      <c r="Z6" s="69" t="s">
        <v>5</v>
      </c>
      <c r="AA6" s="69" t="s">
        <v>45</v>
      </c>
      <c r="AB6" s="69" t="s">
        <v>46</v>
      </c>
      <c r="AC6" s="69" t="s">
        <v>32</v>
      </c>
      <c r="AD6" s="69" t="s">
        <v>33</v>
      </c>
    </row>
    <row r="7" spans="2:30" x14ac:dyDescent="0.25">
      <c r="B7" s="2" t="s">
        <v>52</v>
      </c>
      <c r="D7" s="2" t="s">
        <v>385</v>
      </c>
      <c r="E7" s="2" t="s">
        <v>342</v>
      </c>
      <c r="F7" s="46" t="s">
        <v>332</v>
      </c>
      <c r="L7" s="2" t="s">
        <v>140</v>
      </c>
      <c r="N7" s="2" t="s">
        <v>142</v>
      </c>
      <c r="O7" s="2" t="s">
        <v>143</v>
      </c>
      <c r="P7" s="46" t="str">
        <f>General!$B$4</f>
        <v>Gg</v>
      </c>
      <c r="V7" s="2" t="s">
        <v>303</v>
      </c>
      <c r="X7" s="2" t="s">
        <v>282</v>
      </c>
      <c r="Y7" s="2" t="s">
        <v>279</v>
      </c>
      <c r="Z7" s="46" t="str">
        <f>General!$B$2</f>
        <v>PJ</v>
      </c>
    </row>
    <row r="8" spans="2:30" x14ac:dyDescent="0.25">
      <c r="D8" s="2" t="s">
        <v>54</v>
      </c>
      <c r="E8" s="2" t="s">
        <v>386</v>
      </c>
      <c r="F8" s="46" t="s">
        <v>332</v>
      </c>
      <c r="N8" s="2" t="s">
        <v>144</v>
      </c>
      <c r="O8" s="2" t="s">
        <v>145</v>
      </c>
      <c r="P8" s="46" t="str">
        <f>General!$B$4</f>
        <v>Gg</v>
      </c>
      <c r="X8" s="2" t="s">
        <v>357</v>
      </c>
      <c r="Y8" s="72" t="s">
        <v>369</v>
      </c>
      <c r="Z8" s="46" t="str">
        <f>General!$B$2</f>
        <v>PJ</v>
      </c>
    </row>
    <row r="9" spans="2:30" x14ac:dyDescent="0.25">
      <c r="D9" s="2" t="s">
        <v>384</v>
      </c>
      <c r="E9" s="2" t="s">
        <v>387</v>
      </c>
      <c r="F9" s="46" t="s">
        <v>332</v>
      </c>
      <c r="N9" s="2" t="s">
        <v>146</v>
      </c>
      <c r="O9" s="2" t="s">
        <v>147</v>
      </c>
      <c r="P9" s="46" t="str">
        <f>General!$B$4</f>
        <v>Gg</v>
      </c>
      <c r="V9" s="2" t="s">
        <v>52</v>
      </c>
      <c r="X9" s="2" t="s">
        <v>365</v>
      </c>
      <c r="Y9" s="72" t="s">
        <v>370</v>
      </c>
      <c r="Z9" s="46" t="str">
        <f>General!$B$2</f>
        <v>PJ</v>
      </c>
    </row>
    <row r="10" spans="2:30" x14ac:dyDescent="0.25">
      <c r="D10" s="2" t="s">
        <v>58</v>
      </c>
      <c r="E10" s="2" t="s">
        <v>59</v>
      </c>
      <c r="F10" s="46" t="s">
        <v>332</v>
      </c>
      <c r="X10" s="2" t="s">
        <v>366</v>
      </c>
      <c r="Y10" s="72" t="s">
        <v>371</v>
      </c>
      <c r="Z10" s="46" t="str">
        <f>General!$B$2</f>
        <v>PJ</v>
      </c>
    </row>
    <row r="11" spans="2:30" x14ac:dyDescent="0.25">
      <c r="D11" s="2" t="s">
        <v>61</v>
      </c>
      <c r="E11" s="2" t="s">
        <v>62</v>
      </c>
      <c r="F11" s="46" t="s">
        <v>332</v>
      </c>
      <c r="X11" s="2" t="s">
        <v>367</v>
      </c>
      <c r="Y11" s="72" t="s">
        <v>372</v>
      </c>
      <c r="Z11" s="46" t="str">
        <f>General!$B$2</f>
        <v>PJ</v>
      </c>
    </row>
    <row r="12" spans="2:30" x14ac:dyDescent="0.25">
      <c r="D12" s="2" t="s">
        <v>63</v>
      </c>
      <c r="E12" s="2" t="s">
        <v>64</v>
      </c>
      <c r="F12" s="46" t="s">
        <v>332</v>
      </c>
    </row>
    <row r="13" spans="2:30" x14ac:dyDescent="0.25">
      <c r="D13" s="2" t="s">
        <v>66</v>
      </c>
      <c r="E13" s="2" t="s">
        <v>67</v>
      </c>
      <c r="F13" s="46" t="s">
        <v>332</v>
      </c>
    </row>
    <row r="14" spans="2:30" x14ac:dyDescent="0.25">
      <c r="D14" s="2" t="s">
        <v>375</v>
      </c>
      <c r="E14" s="2" t="s">
        <v>174</v>
      </c>
      <c r="F14" s="46" t="s">
        <v>332</v>
      </c>
    </row>
    <row r="15" spans="2:30" x14ac:dyDescent="0.25">
      <c r="D15" s="2" t="s">
        <v>68</v>
      </c>
      <c r="E15" s="2" t="s">
        <v>69</v>
      </c>
      <c r="F15" s="46" t="s">
        <v>332</v>
      </c>
    </row>
    <row r="16" spans="2:30" x14ac:dyDescent="0.25">
      <c r="D16" s="2" t="s">
        <v>74</v>
      </c>
      <c r="E16" s="2" t="s">
        <v>75</v>
      </c>
      <c r="F16" s="46" t="s">
        <v>332</v>
      </c>
    </row>
    <row r="17" spans="4:6" x14ac:dyDescent="0.25">
      <c r="D17" s="2" t="s">
        <v>76</v>
      </c>
      <c r="E17" s="2" t="s">
        <v>77</v>
      </c>
      <c r="F17" s="46" t="s">
        <v>332</v>
      </c>
    </row>
    <row r="18" spans="4:6" x14ac:dyDescent="0.25">
      <c r="D18" s="2" t="s">
        <v>78</v>
      </c>
      <c r="E18" s="2" t="s">
        <v>79</v>
      </c>
      <c r="F18" s="46" t="s">
        <v>332</v>
      </c>
    </row>
    <row r="19" spans="4:6" x14ac:dyDescent="0.25">
      <c r="D19" s="2" t="s">
        <v>80</v>
      </c>
      <c r="E19" s="2" t="s">
        <v>81</v>
      </c>
      <c r="F19" s="46" t="s">
        <v>332</v>
      </c>
    </row>
    <row r="20" spans="4:6" x14ac:dyDescent="0.25">
      <c r="D20" s="2" t="s">
        <v>82</v>
      </c>
      <c r="E20" s="2" t="s">
        <v>83</v>
      </c>
      <c r="F20" s="46" t="s">
        <v>332</v>
      </c>
    </row>
    <row r="21" spans="4:6" x14ac:dyDescent="0.25">
      <c r="D21" s="2" t="s">
        <v>85</v>
      </c>
      <c r="E21" s="2" t="s">
        <v>86</v>
      </c>
      <c r="F21" s="46" t="s">
        <v>332</v>
      </c>
    </row>
    <row r="22" spans="4:6" x14ac:dyDescent="0.25">
      <c r="D22" s="2" t="s">
        <v>84</v>
      </c>
      <c r="E22" s="2" t="s">
        <v>87</v>
      </c>
      <c r="F22" s="46" t="s">
        <v>332</v>
      </c>
    </row>
    <row r="23" spans="4:6" x14ac:dyDescent="0.25">
      <c r="D23" s="2" t="s">
        <v>88</v>
      </c>
      <c r="E23" s="2" t="s">
        <v>89</v>
      </c>
      <c r="F23" s="46" t="s">
        <v>332</v>
      </c>
    </row>
    <row r="24" spans="4:6" x14ac:dyDescent="0.25">
      <c r="D24" s="2" t="s">
        <v>90</v>
      </c>
      <c r="E24" s="2" t="s">
        <v>91</v>
      </c>
      <c r="F24" s="46" t="s">
        <v>332</v>
      </c>
    </row>
    <row r="25" spans="4:6" x14ac:dyDescent="0.25">
      <c r="D25" s="2" t="s">
        <v>92</v>
      </c>
      <c r="E25" s="2" t="s">
        <v>93</v>
      </c>
      <c r="F25" s="46" t="s">
        <v>332</v>
      </c>
    </row>
    <row r="26" spans="4:6" x14ac:dyDescent="0.25">
      <c r="D26" s="2" t="s">
        <v>94</v>
      </c>
      <c r="E26" s="2" t="s">
        <v>95</v>
      </c>
      <c r="F26" s="46" t="s">
        <v>332</v>
      </c>
    </row>
    <row r="27" spans="4:6" x14ac:dyDescent="0.25">
      <c r="D27" s="2" t="s">
        <v>96</v>
      </c>
      <c r="E27" s="2" t="s">
        <v>97</v>
      </c>
      <c r="F27" s="46" t="s">
        <v>332</v>
      </c>
    </row>
    <row r="28" spans="4:6" x14ac:dyDescent="0.25">
      <c r="D28" s="2" t="s">
        <v>98</v>
      </c>
      <c r="E28" s="2" t="s">
        <v>99</v>
      </c>
      <c r="F28" s="46" t="s">
        <v>332</v>
      </c>
    </row>
    <row r="29" spans="4:6" x14ac:dyDescent="0.25">
      <c r="D29" s="2" t="s">
        <v>100</v>
      </c>
      <c r="E29" s="2" t="s">
        <v>101</v>
      </c>
      <c r="F29" s="46" t="s">
        <v>332</v>
      </c>
    </row>
    <row r="30" spans="4:6" x14ac:dyDescent="0.25">
      <c r="D30" s="2" t="s">
        <v>360</v>
      </c>
      <c r="E30" s="2" t="s">
        <v>361</v>
      </c>
      <c r="F30" s="46" t="s">
        <v>332</v>
      </c>
    </row>
    <row r="31" spans="4:6" x14ac:dyDescent="0.25">
      <c r="D31" s="2" t="s">
        <v>391</v>
      </c>
      <c r="E31" s="2" t="s">
        <v>388</v>
      </c>
      <c r="F31" s="46" t="s">
        <v>332</v>
      </c>
    </row>
    <row r="32" spans="4:6" x14ac:dyDescent="0.25">
      <c r="D32" s="2" t="s">
        <v>102</v>
      </c>
      <c r="E32" s="2" t="s">
        <v>389</v>
      </c>
      <c r="F32" s="46" t="s">
        <v>332</v>
      </c>
    </row>
    <row r="33" spans="4:8" x14ac:dyDescent="0.25">
      <c r="D33" s="2" t="s">
        <v>392</v>
      </c>
      <c r="E33" s="2" t="s">
        <v>390</v>
      </c>
      <c r="F33" s="46" t="s">
        <v>332</v>
      </c>
    </row>
    <row r="34" spans="4:8" x14ac:dyDescent="0.25">
      <c r="D34" s="2" t="s">
        <v>103</v>
      </c>
      <c r="E34" s="2" t="s">
        <v>104</v>
      </c>
      <c r="F34" s="46" t="s">
        <v>332</v>
      </c>
    </row>
    <row r="35" spans="4:8" x14ac:dyDescent="0.25">
      <c r="D35" s="2" t="s">
        <v>105</v>
      </c>
      <c r="E35" s="2" t="s">
        <v>106</v>
      </c>
      <c r="F35" s="46" t="s">
        <v>332</v>
      </c>
    </row>
    <row r="36" spans="4:8" x14ac:dyDescent="0.25">
      <c r="D36" s="2" t="s">
        <v>107</v>
      </c>
      <c r="E36" s="2" t="s">
        <v>108</v>
      </c>
      <c r="F36" s="46" t="s">
        <v>332</v>
      </c>
    </row>
    <row r="37" spans="4:8" x14ac:dyDescent="0.25">
      <c r="D37" s="2" t="s">
        <v>109</v>
      </c>
      <c r="E37" s="2" t="s">
        <v>110</v>
      </c>
      <c r="F37" s="46" t="s">
        <v>332</v>
      </c>
    </row>
    <row r="38" spans="4:8" x14ac:dyDescent="0.25">
      <c r="D38" s="2" t="s">
        <v>377</v>
      </c>
      <c r="E38" s="2" t="s">
        <v>376</v>
      </c>
      <c r="F38" s="46" t="s">
        <v>332</v>
      </c>
    </row>
    <row r="39" spans="4:8" x14ac:dyDescent="0.25">
      <c r="D39" s="2" t="s">
        <v>111</v>
      </c>
      <c r="E39" s="2" t="s">
        <v>112</v>
      </c>
      <c r="F39" s="46" t="s">
        <v>332</v>
      </c>
      <c r="H39" s="2" t="s">
        <v>340</v>
      </c>
    </row>
    <row r="40" spans="4:8" x14ac:dyDescent="0.25">
      <c r="D40" s="2" t="s">
        <v>113</v>
      </c>
      <c r="E40" s="2" t="s">
        <v>114</v>
      </c>
      <c r="F40" s="46" t="s">
        <v>332</v>
      </c>
    </row>
    <row r="41" spans="4:8" x14ac:dyDescent="0.25">
      <c r="D41" s="2" t="s">
        <v>115</v>
      </c>
      <c r="E41" s="2" t="s">
        <v>116</v>
      </c>
      <c r="F41" s="46" t="s">
        <v>332</v>
      </c>
    </row>
    <row r="42" spans="4:8" x14ac:dyDescent="0.25">
      <c r="D42" s="2" t="s">
        <v>117</v>
      </c>
      <c r="E42" s="2" t="s">
        <v>118</v>
      </c>
      <c r="F42" s="46" t="s">
        <v>332</v>
      </c>
    </row>
    <row r="43" spans="4:8" x14ac:dyDescent="0.25">
      <c r="D43" s="2" t="s">
        <v>119</v>
      </c>
      <c r="E43" s="2" t="s">
        <v>120</v>
      </c>
      <c r="F43" s="46" t="s">
        <v>332</v>
      </c>
    </row>
    <row r="44" spans="4:8" x14ac:dyDescent="0.25">
      <c r="D44" s="2" t="s">
        <v>117</v>
      </c>
      <c r="E44" s="2" t="s">
        <v>121</v>
      </c>
      <c r="F44" s="46" t="s">
        <v>332</v>
      </c>
    </row>
    <row r="45" spans="4:8" x14ac:dyDescent="0.25">
      <c r="D45" s="2" t="s">
        <v>122</v>
      </c>
      <c r="E45" s="2" t="s">
        <v>123</v>
      </c>
      <c r="F45" s="46" t="s">
        <v>332</v>
      </c>
    </row>
    <row r="46" spans="4:8" x14ac:dyDescent="0.25">
      <c r="D46" s="2" t="s">
        <v>124</v>
      </c>
      <c r="E46" s="2" t="s">
        <v>125</v>
      </c>
      <c r="F46" s="46" t="s">
        <v>332</v>
      </c>
    </row>
    <row r="47" spans="4:8" x14ac:dyDescent="0.25">
      <c r="D47" s="2" t="s">
        <v>126</v>
      </c>
      <c r="E47" s="2" t="s">
        <v>127</v>
      </c>
      <c r="F47" s="46" t="s">
        <v>332</v>
      </c>
    </row>
    <row r="48" spans="4:8" x14ac:dyDescent="0.25">
      <c r="D48" s="2" t="s">
        <v>128</v>
      </c>
      <c r="E48" s="2" t="s">
        <v>129</v>
      </c>
      <c r="F48" s="46" t="s">
        <v>332</v>
      </c>
    </row>
    <row r="49" spans="4:10" x14ac:dyDescent="0.25">
      <c r="D49" s="2" t="s">
        <v>130</v>
      </c>
      <c r="E49" s="2" t="s">
        <v>131</v>
      </c>
      <c r="F49" s="46" t="s">
        <v>332</v>
      </c>
    </row>
    <row r="50" spans="4:10" x14ac:dyDescent="0.25">
      <c r="D50" s="2" t="s">
        <v>379</v>
      </c>
      <c r="E50" s="2" t="s">
        <v>356</v>
      </c>
      <c r="F50" s="46" t="s">
        <v>332</v>
      </c>
      <c r="H50" s="2" t="s">
        <v>133</v>
      </c>
    </row>
    <row r="51" spans="4:10" x14ac:dyDescent="0.25">
      <c r="D51" s="2" t="s">
        <v>132</v>
      </c>
      <c r="E51" s="2" t="s">
        <v>135</v>
      </c>
      <c r="F51" s="46" t="s">
        <v>332</v>
      </c>
      <c r="H51" s="2" t="s">
        <v>133</v>
      </c>
      <c r="J51" s="2" t="s">
        <v>134</v>
      </c>
    </row>
    <row r="52" spans="4:10" x14ac:dyDescent="0.25">
      <c r="D52" s="2" t="s">
        <v>136</v>
      </c>
      <c r="E52" s="2" t="s">
        <v>137</v>
      </c>
      <c r="F52" s="46" t="s">
        <v>332</v>
      </c>
      <c r="H52" s="2" t="s">
        <v>133</v>
      </c>
      <c r="J52" s="2" t="s">
        <v>134</v>
      </c>
    </row>
    <row r="53" spans="4:10" x14ac:dyDescent="0.25">
      <c r="D53" s="2" t="s">
        <v>138</v>
      </c>
      <c r="E53" s="2" t="s">
        <v>139</v>
      </c>
      <c r="F53" s="46" t="s">
        <v>332</v>
      </c>
      <c r="H53" s="2" t="s">
        <v>133</v>
      </c>
      <c r="J53" s="2" t="s">
        <v>134</v>
      </c>
    </row>
    <row r="54" spans="4:10" x14ac:dyDescent="0.25">
      <c r="D54" s="2" t="s">
        <v>310</v>
      </c>
      <c r="E54" s="2" t="s">
        <v>311</v>
      </c>
      <c r="F54" s="46" t="s">
        <v>332</v>
      </c>
      <c r="H54" s="2" t="s">
        <v>133</v>
      </c>
      <c r="J54" s="2" t="s">
        <v>134</v>
      </c>
    </row>
    <row r="55" spans="4:10" x14ac:dyDescent="0.25">
      <c r="D55" s="2" t="s">
        <v>338</v>
      </c>
      <c r="E55" s="2" t="s">
        <v>339</v>
      </c>
      <c r="F55" s="46" t="s">
        <v>332</v>
      </c>
      <c r="H55" s="2" t="s">
        <v>340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F21"/>
  <sheetViews>
    <sheetView zoomScale="85" zoomScaleNormal="85" workbookViewId="0">
      <selection sqref="A1:XFD1048576"/>
    </sheetView>
  </sheetViews>
  <sheetFormatPr defaultRowHeight="16.5" customHeight="1" x14ac:dyDescent="0.25"/>
  <cols>
    <col min="1" max="1" width="28.44140625" style="75" customWidth="1"/>
    <col min="2" max="2" width="28.109375" style="75" customWidth="1"/>
    <col min="3" max="3" width="18.44140625" style="75" customWidth="1"/>
    <col min="4" max="4" width="10.5546875" style="75" bestFit="1" customWidth="1"/>
    <col min="5" max="5" width="12.88671875" style="75" customWidth="1"/>
    <col min="6" max="16384" width="8.88671875" style="75"/>
  </cols>
  <sheetData>
    <row r="1" spans="1:6" ht="16.5" customHeight="1" x14ac:dyDescent="0.3">
      <c r="A1" s="73" t="s">
        <v>148</v>
      </c>
      <c r="B1" s="74"/>
      <c r="E1" s="76" t="s">
        <v>324</v>
      </c>
      <c r="F1" s="77">
        <f>'En.Bal-Final_Energy'!F2</f>
        <v>2017</v>
      </c>
    </row>
    <row r="2" spans="1:6" ht="16.5" customHeight="1" x14ac:dyDescent="0.3">
      <c r="A2" s="74" t="s">
        <v>149</v>
      </c>
      <c r="B2" s="78" t="s">
        <v>332</v>
      </c>
      <c r="E2" s="76" t="s">
        <v>325</v>
      </c>
      <c r="F2" s="74">
        <v>2050</v>
      </c>
    </row>
    <row r="3" spans="1:6" ht="16.5" customHeight="1" x14ac:dyDescent="0.3">
      <c r="A3" s="74" t="s">
        <v>150</v>
      </c>
      <c r="B3" s="78" t="s">
        <v>398</v>
      </c>
    </row>
    <row r="4" spans="1:6" ht="16.5" customHeight="1" x14ac:dyDescent="0.3">
      <c r="A4" s="74" t="s">
        <v>151</v>
      </c>
      <c r="B4" s="78" t="s">
        <v>141</v>
      </c>
    </row>
    <row r="5" spans="1:6" ht="16.5" customHeight="1" x14ac:dyDescent="0.3">
      <c r="A5" s="74" t="s">
        <v>329</v>
      </c>
      <c r="B5" s="78" t="s">
        <v>333</v>
      </c>
      <c r="C5" s="79"/>
    </row>
    <row r="8" spans="1:6" ht="16.5" customHeight="1" x14ac:dyDescent="0.3">
      <c r="A8" s="80" t="s">
        <v>312</v>
      </c>
      <c r="B8" s="80"/>
    </row>
    <row r="10" spans="1:6" ht="16.5" customHeight="1" x14ac:dyDescent="0.3">
      <c r="A10" s="73" t="s">
        <v>285</v>
      </c>
      <c r="B10" s="73" t="s">
        <v>313</v>
      </c>
      <c r="C10" s="73" t="s">
        <v>314</v>
      </c>
      <c r="D10" s="73" t="s">
        <v>315</v>
      </c>
      <c r="E10" s="73" t="s">
        <v>316</v>
      </c>
    </row>
    <row r="11" spans="1:6" ht="16.5" customHeight="1" x14ac:dyDescent="0.3">
      <c r="A11" s="73" t="s">
        <v>317</v>
      </c>
      <c r="B11" s="74" t="s">
        <v>318</v>
      </c>
      <c r="C11" s="74" t="s">
        <v>319</v>
      </c>
      <c r="D11" s="81" t="s">
        <v>50</v>
      </c>
      <c r="E11" s="82"/>
    </row>
    <row r="12" spans="1:6" ht="16.5" customHeight="1" x14ac:dyDescent="0.3">
      <c r="A12" s="73" t="s">
        <v>307</v>
      </c>
      <c r="B12" s="74" t="s">
        <v>320</v>
      </c>
      <c r="C12" s="74" t="s">
        <v>321</v>
      </c>
      <c r="D12" s="82" t="s">
        <v>399</v>
      </c>
      <c r="E12" s="82" t="str">
        <f>B3&amp;"/"&amp;B2</f>
        <v>M$/PJ</v>
      </c>
    </row>
    <row r="13" spans="1:6" ht="16.5" customHeight="1" x14ac:dyDescent="0.3">
      <c r="A13" s="73" t="s">
        <v>306</v>
      </c>
      <c r="B13" s="74" t="s">
        <v>322</v>
      </c>
      <c r="C13" s="74" t="s">
        <v>319</v>
      </c>
      <c r="D13" s="81" t="str">
        <f>B2&amp;"/year"</f>
        <v>PJ/year</v>
      </c>
      <c r="E13" s="82"/>
    </row>
    <row r="14" spans="1:6" ht="16.5" customHeight="1" x14ac:dyDescent="0.3">
      <c r="A14" s="73" t="s">
        <v>3</v>
      </c>
      <c r="B14" s="74" t="s">
        <v>41</v>
      </c>
      <c r="C14" s="74" t="s">
        <v>319</v>
      </c>
      <c r="D14" s="82" t="s">
        <v>400</v>
      </c>
      <c r="E14" s="82" t="str">
        <f>B3&amp;"/"&amp;B2&amp;"/a"</f>
        <v>M$/PJ/a</v>
      </c>
    </row>
    <row r="15" spans="1:6" ht="16.5" customHeight="1" x14ac:dyDescent="0.3">
      <c r="A15" s="73" t="s">
        <v>6</v>
      </c>
      <c r="B15" s="74" t="s">
        <v>40</v>
      </c>
      <c r="C15" s="74" t="s">
        <v>319</v>
      </c>
      <c r="D15" s="82" t="s">
        <v>399</v>
      </c>
      <c r="E15" s="82" t="str">
        <f>B3&amp;"/"&amp;B2</f>
        <v>M$/PJ</v>
      </c>
    </row>
    <row r="16" spans="1:6" ht="16.5" customHeight="1" x14ac:dyDescent="0.3">
      <c r="A16" s="73" t="s">
        <v>308</v>
      </c>
      <c r="B16" s="74" t="s">
        <v>323</v>
      </c>
      <c r="C16" s="74" t="s">
        <v>319</v>
      </c>
      <c r="D16" s="82" t="s">
        <v>330</v>
      </c>
      <c r="E16" s="82" t="str">
        <f>B2&amp;"/"&amp;B5</f>
        <v>PJ/GW</v>
      </c>
    </row>
    <row r="17" spans="1:5" ht="16.5" customHeight="1" x14ac:dyDescent="0.3">
      <c r="A17" s="73" t="s">
        <v>317</v>
      </c>
      <c r="B17" s="74" t="s">
        <v>318</v>
      </c>
      <c r="C17" s="74" t="s">
        <v>319</v>
      </c>
      <c r="D17" s="81" t="s">
        <v>50</v>
      </c>
      <c r="E17" s="82"/>
    </row>
    <row r="18" spans="1:5" ht="16.5" customHeight="1" x14ac:dyDescent="0.3">
      <c r="A18" s="73" t="s">
        <v>296</v>
      </c>
      <c r="B18" s="74" t="s">
        <v>326</v>
      </c>
      <c r="C18" s="74" t="s">
        <v>245</v>
      </c>
      <c r="D18" s="81" t="s">
        <v>327</v>
      </c>
      <c r="E18" s="82"/>
    </row>
    <row r="19" spans="1:5" ht="16.5" customHeight="1" x14ac:dyDescent="0.3">
      <c r="A19" s="73" t="s">
        <v>308</v>
      </c>
      <c r="B19" s="74" t="s">
        <v>328</v>
      </c>
      <c r="C19" s="74"/>
      <c r="D19" s="81" t="str">
        <f>IF(B2="PJ","TJ/unit","GJ/unit")</f>
        <v>TJ/unit</v>
      </c>
      <c r="E19" s="82"/>
    </row>
    <row r="20" spans="1:5" ht="16.5" customHeight="1" x14ac:dyDescent="0.3">
      <c r="A20" s="73" t="s">
        <v>152</v>
      </c>
      <c r="B20" s="74" t="s">
        <v>331</v>
      </c>
      <c r="C20" s="74" t="s">
        <v>319</v>
      </c>
      <c r="D20" s="82" t="s">
        <v>305</v>
      </c>
      <c r="E20" s="82"/>
    </row>
    <row r="21" spans="1:5" ht="16.5" customHeight="1" x14ac:dyDescent="0.3">
      <c r="A21" s="73" t="s">
        <v>296</v>
      </c>
      <c r="B21" s="74" t="s">
        <v>326</v>
      </c>
      <c r="C21" s="74" t="s">
        <v>334</v>
      </c>
      <c r="D21" s="81" t="str">
        <f>B2&amp;"/year"</f>
        <v>PJ/year</v>
      </c>
      <c r="E21" s="82"/>
    </row>
  </sheetData>
  <mergeCells count="1">
    <mergeCell ref="A8:B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BV43"/>
  <sheetViews>
    <sheetView zoomScaleNormal="100" workbookViewId="0">
      <pane xSplit="7" ySplit="2" topLeftCell="BB3" activePane="bottomRight" state="frozen"/>
      <selection activeCell="D45" sqref="D45"/>
      <selection pane="topRight" activeCell="D45" sqref="D45"/>
      <selection pane="bottomLeft" activeCell="D45" sqref="D45"/>
      <selection pane="bottomRight" sqref="A1:XFD1048576"/>
    </sheetView>
  </sheetViews>
  <sheetFormatPr defaultRowHeight="13.2" x14ac:dyDescent="0.25"/>
  <cols>
    <col min="1" max="4" width="8.88671875" style="75"/>
    <col min="5" max="5" width="10" style="75" customWidth="1"/>
    <col min="6" max="16384" width="8.88671875" style="75"/>
  </cols>
  <sheetData>
    <row r="1" spans="1:72" ht="13.5" customHeight="1" thickBot="1" x14ac:dyDescent="0.3">
      <c r="A1" s="83"/>
      <c r="B1" s="83"/>
      <c r="C1" s="84"/>
      <c r="D1" s="84"/>
      <c r="E1" s="84"/>
      <c r="F1" s="85"/>
      <c r="G1" s="85"/>
      <c r="H1" s="86" t="s">
        <v>156</v>
      </c>
      <c r="I1" s="86">
        <v>2000</v>
      </c>
      <c r="J1" s="86">
        <v>2115</v>
      </c>
      <c r="K1" s="86">
        <v>2116</v>
      </c>
      <c r="L1" s="86">
        <v>2117</v>
      </c>
      <c r="M1" s="86">
        <v>2118</v>
      </c>
      <c r="N1" s="86">
        <v>2210</v>
      </c>
      <c r="O1" s="86">
        <v>2112</v>
      </c>
      <c r="P1" s="86">
        <v>2121</v>
      </c>
      <c r="Q1" s="86">
        <v>2122</v>
      </c>
      <c r="R1" s="86">
        <v>2130</v>
      </c>
      <c r="S1" s="86">
        <v>2230</v>
      </c>
      <c r="T1" s="86">
        <v>2310</v>
      </c>
      <c r="U1" s="86">
        <v>2330</v>
      </c>
      <c r="V1" s="86">
        <v>2410</v>
      </c>
      <c r="W1" s="86">
        <v>3000</v>
      </c>
      <c r="X1" s="86">
        <v>3105</v>
      </c>
      <c r="Y1" s="86">
        <v>3106</v>
      </c>
      <c r="Z1" s="86">
        <v>3191</v>
      </c>
      <c r="AA1" s="86">
        <v>3192</v>
      </c>
      <c r="AB1" s="86">
        <v>3193</v>
      </c>
      <c r="AC1" s="86">
        <v>3214</v>
      </c>
      <c r="AD1" s="86">
        <v>3215</v>
      </c>
      <c r="AE1" s="86">
        <v>3220</v>
      </c>
      <c r="AF1" s="86">
        <v>3234</v>
      </c>
      <c r="AG1" s="86">
        <v>3235</v>
      </c>
      <c r="AH1" s="86">
        <v>3246</v>
      </c>
      <c r="AI1" s="86">
        <v>3247</v>
      </c>
      <c r="AJ1" s="86">
        <v>3244</v>
      </c>
      <c r="AK1" s="86">
        <v>3250</v>
      </c>
      <c r="AL1" s="86">
        <v>3260</v>
      </c>
      <c r="AM1" s="86" t="s">
        <v>157</v>
      </c>
      <c r="AN1" s="86">
        <v>3281</v>
      </c>
      <c r="AO1" s="86">
        <v>3282</v>
      </c>
      <c r="AP1" s="86">
        <v>3283</v>
      </c>
      <c r="AQ1" s="86">
        <v>3285</v>
      </c>
      <c r="AR1" s="86">
        <v>3286</v>
      </c>
      <c r="AS1" s="86">
        <v>3295</v>
      </c>
      <c r="AT1" s="86">
        <v>4000</v>
      </c>
      <c r="AU1" s="86">
        <v>4100</v>
      </c>
      <c r="AV1" s="86">
        <v>4210</v>
      </c>
      <c r="AW1" s="86">
        <v>4220</v>
      </c>
      <c r="AX1" s="86">
        <v>4230</v>
      </c>
      <c r="AY1" s="86">
        <v>4240</v>
      </c>
      <c r="AZ1" s="86">
        <v>5500</v>
      </c>
      <c r="BA1" s="86">
        <v>5510</v>
      </c>
      <c r="BB1" s="86">
        <v>5520</v>
      </c>
      <c r="BC1" s="86">
        <v>5535</v>
      </c>
      <c r="BD1" s="86">
        <v>5532</v>
      </c>
      <c r="BE1" s="86">
        <v>5534</v>
      </c>
      <c r="BF1" s="86">
        <v>5541</v>
      </c>
      <c r="BG1" s="86">
        <v>5544</v>
      </c>
      <c r="BH1" s="86">
        <v>5542</v>
      </c>
      <c r="BI1" s="86">
        <v>55431</v>
      </c>
      <c r="BJ1" s="86">
        <v>5546</v>
      </c>
      <c r="BK1" s="86">
        <v>5547</v>
      </c>
      <c r="BL1" s="86">
        <v>5549</v>
      </c>
      <c r="BM1" s="86">
        <v>5548</v>
      </c>
      <c r="BN1" s="86">
        <v>5550</v>
      </c>
      <c r="BO1" s="86">
        <v>7200</v>
      </c>
      <c r="BP1" s="86">
        <v>7100</v>
      </c>
      <c r="BQ1" s="86">
        <v>55432</v>
      </c>
      <c r="BR1" s="86">
        <v>5100</v>
      </c>
      <c r="BS1" s="86">
        <v>5200</v>
      </c>
      <c r="BT1" s="86">
        <v>6000</v>
      </c>
    </row>
    <row r="2" spans="1:72" ht="24" customHeight="1" x14ac:dyDescent="0.25">
      <c r="A2" s="84" t="s">
        <v>394</v>
      </c>
      <c r="B2" s="87"/>
      <c r="C2" s="87"/>
      <c r="D2" s="87"/>
      <c r="E2" s="87" t="s">
        <v>406</v>
      </c>
      <c r="F2" s="87">
        <v>2017</v>
      </c>
      <c r="G2" s="88"/>
      <c r="H2" s="87" t="s">
        <v>158</v>
      </c>
      <c r="I2" s="89" t="s">
        <v>159</v>
      </c>
      <c r="J2" s="88" t="s">
        <v>53</v>
      </c>
      <c r="K2" s="88" t="s">
        <v>341</v>
      </c>
      <c r="L2" s="87" t="s">
        <v>55</v>
      </c>
      <c r="M2" s="87" t="s">
        <v>342</v>
      </c>
      <c r="N2" s="87" t="s">
        <v>160</v>
      </c>
      <c r="O2" s="87" t="s">
        <v>343</v>
      </c>
      <c r="P2" s="87" t="s">
        <v>56</v>
      </c>
      <c r="Q2" s="88" t="s">
        <v>344</v>
      </c>
      <c r="R2" s="88" t="s">
        <v>57</v>
      </c>
      <c r="S2" s="88" t="s">
        <v>161</v>
      </c>
      <c r="T2" s="88" t="s">
        <v>345</v>
      </c>
      <c r="U2" s="87" t="s">
        <v>346</v>
      </c>
      <c r="V2" s="87" t="s">
        <v>347</v>
      </c>
      <c r="W2" s="89" t="s">
        <v>162</v>
      </c>
      <c r="X2" s="87" t="s">
        <v>163</v>
      </c>
      <c r="Y2" s="87" t="s">
        <v>164</v>
      </c>
      <c r="Z2" s="87" t="s">
        <v>165</v>
      </c>
      <c r="AA2" s="87" t="s">
        <v>166</v>
      </c>
      <c r="AB2" s="87" t="s">
        <v>167</v>
      </c>
      <c r="AC2" s="87" t="s">
        <v>60</v>
      </c>
      <c r="AD2" s="87" t="s">
        <v>348</v>
      </c>
      <c r="AE2" s="87" t="s">
        <v>168</v>
      </c>
      <c r="AF2" s="87" t="s">
        <v>169</v>
      </c>
      <c r="AG2" s="87" t="s">
        <v>65</v>
      </c>
      <c r="AH2" s="87" t="s">
        <v>170</v>
      </c>
      <c r="AI2" s="87" t="s">
        <v>171</v>
      </c>
      <c r="AJ2" s="87" t="s">
        <v>172</v>
      </c>
      <c r="AK2" s="87" t="s">
        <v>70</v>
      </c>
      <c r="AL2" s="87" t="s">
        <v>173</v>
      </c>
      <c r="AM2" s="87" t="s">
        <v>174</v>
      </c>
      <c r="AN2" s="87" t="s">
        <v>175</v>
      </c>
      <c r="AO2" s="87" t="s">
        <v>73</v>
      </c>
      <c r="AP2" s="87" t="s">
        <v>72</v>
      </c>
      <c r="AQ2" s="87" t="s">
        <v>71</v>
      </c>
      <c r="AR2" s="87" t="s">
        <v>176</v>
      </c>
      <c r="AS2" s="87" t="s">
        <v>177</v>
      </c>
      <c r="AT2" s="89" t="s">
        <v>178</v>
      </c>
      <c r="AU2" s="87" t="s">
        <v>179</v>
      </c>
      <c r="AV2" s="87" t="s">
        <v>180</v>
      </c>
      <c r="AW2" s="87" t="s">
        <v>181</v>
      </c>
      <c r="AX2" s="87" t="s">
        <v>349</v>
      </c>
      <c r="AY2" s="87" t="s">
        <v>350</v>
      </c>
      <c r="AZ2" s="90" t="s">
        <v>182</v>
      </c>
      <c r="BA2" s="87" t="s">
        <v>183</v>
      </c>
      <c r="BB2" s="87" t="s">
        <v>184</v>
      </c>
      <c r="BC2" s="87" t="s">
        <v>351</v>
      </c>
      <c r="BD2" s="87" t="s">
        <v>185</v>
      </c>
      <c r="BE2" s="87" t="s">
        <v>186</v>
      </c>
      <c r="BF2" s="87" t="s">
        <v>187</v>
      </c>
      <c r="BG2" s="87" t="s">
        <v>93</v>
      </c>
      <c r="BH2" s="87" t="s">
        <v>188</v>
      </c>
      <c r="BI2" s="87" t="s">
        <v>189</v>
      </c>
      <c r="BJ2" s="87" t="s">
        <v>352</v>
      </c>
      <c r="BK2" s="87" t="s">
        <v>86</v>
      </c>
      <c r="BL2" s="87" t="s">
        <v>353</v>
      </c>
      <c r="BM2" s="87" t="s">
        <v>354</v>
      </c>
      <c r="BN2" s="87" t="s">
        <v>190</v>
      </c>
      <c r="BO2" s="90" t="s">
        <v>191</v>
      </c>
      <c r="BP2" s="87" t="s">
        <v>192</v>
      </c>
      <c r="BQ2" s="87" t="s">
        <v>193</v>
      </c>
      <c r="BR2" s="90" t="s">
        <v>355</v>
      </c>
      <c r="BS2" s="90" t="s">
        <v>194</v>
      </c>
      <c r="BT2" s="89" t="s">
        <v>195</v>
      </c>
    </row>
    <row r="3" spans="1:72" ht="13.5" customHeight="1" x14ac:dyDescent="0.25">
      <c r="A3" s="91" t="s">
        <v>196</v>
      </c>
      <c r="B3" s="91"/>
      <c r="C3" s="91"/>
      <c r="D3" s="91"/>
      <c r="E3" s="91"/>
      <c r="F3" s="92" t="s">
        <v>197</v>
      </c>
      <c r="G3" s="92"/>
      <c r="H3" s="93"/>
      <c r="I3" s="94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4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4"/>
      <c r="AU3" s="93"/>
      <c r="AV3" s="93"/>
      <c r="AW3" s="93"/>
      <c r="AX3" s="93"/>
      <c r="AY3" s="93"/>
      <c r="AZ3" s="94"/>
      <c r="BA3" s="93"/>
      <c r="BB3" s="93"/>
      <c r="BC3" s="93"/>
      <c r="BD3" s="93"/>
      <c r="BE3" s="93"/>
      <c r="BF3" s="93"/>
      <c r="BG3" s="93"/>
      <c r="BH3" s="93"/>
      <c r="BI3" s="93"/>
      <c r="BJ3" s="93"/>
      <c r="BK3" s="93"/>
      <c r="BL3" s="93"/>
      <c r="BM3" s="93"/>
      <c r="BN3" s="93"/>
      <c r="BO3" s="94"/>
      <c r="BP3" s="93"/>
      <c r="BQ3" s="93"/>
      <c r="BR3" s="94"/>
      <c r="BS3" s="94"/>
      <c r="BT3" s="94"/>
    </row>
    <row r="4" spans="1:72" ht="13.5" hidden="1" customHeight="1" x14ac:dyDescent="0.25">
      <c r="A4" s="95" t="s">
        <v>198</v>
      </c>
      <c r="B4" s="95"/>
      <c r="C4" s="95"/>
      <c r="D4" s="95"/>
      <c r="E4" s="95"/>
      <c r="F4" s="96" t="s">
        <v>199</v>
      </c>
      <c r="G4" s="96"/>
      <c r="H4" s="97"/>
      <c r="I4" s="98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8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8"/>
      <c r="AU4" s="97"/>
      <c r="AV4" s="97"/>
      <c r="AW4" s="97"/>
      <c r="AX4" s="97"/>
      <c r="AY4" s="97"/>
      <c r="AZ4" s="98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8"/>
      <c r="BP4" s="97"/>
      <c r="BQ4" s="97"/>
      <c r="BR4" s="98"/>
      <c r="BS4" s="98"/>
      <c r="BT4" s="98"/>
    </row>
    <row r="5" spans="1:72" ht="13.5" hidden="1" customHeight="1" x14ac:dyDescent="0.25">
      <c r="A5" s="99" t="s">
        <v>200</v>
      </c>
      <c r="B5" s="100" t="s">
        <v>201</v>
      </c>
      <c r="C5" s="100"/>
      <c r="D5" s="100"/>
      <c r="E5" s="100"/>
      <c r="F5" s="101" t="s">
        <v>202</v>
      </c>
      <c r="G5" s="101"/>
      <c r="H5" s="102"/>
      <c r="I5" s="103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3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3"/>
      <c r="AU5" s="102"/>
      <c r="AV5" s="102"/>
      <c r="AW5" s="102"/>
      <c r="AX5" s="102"/>
      <c r="AY5" s="102"/>
      <c r="AZ5" s="103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3"/>
      <c r="BP5" s="102"/>
      <c r="BQ5" s="102"/>
      <c r="BR5" s="103"/>
      <c r="BS5" s="103"/>
      <c r="BT5" s="103"/>
    </row>
    <row r="6" spans="1:72" ht="13.5" hidden="1" customHeight="1" x14ac:dyDescent="0.25">
      <c r="A6" s="104" t="s">
        <v>200</v>
      </c>
      <c r="B6" s="105" t="s">
        <v>203</v>
      </c>
      <c r="C6" s="105"/>
      <c r="D6" s="105"/>
      <c r="E6" s="105"/>
      <c r="F6" s="106" t="s">
        <v>204</v>
      </c>
      <c r="G6" s="106"/>
      <c r="H6" s="107"/>
      <c r="I6" s="108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8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8"/>
      <c r="AU6" s="107"/>
      <c r="AV6" s="107"/>
      <c r="AW6" s="107"/>
      <c r="AX6" s="107"/>
      <c r="AY6" s="107"/>
      <c r="AZ6" s="108"/>
      <c r="BA6" s="107"/>
      <c r="BB6" s="107"/>
      <c r="BC6" s="107"/>
      <c r="BD6" s="107"/>
      <c r="BE6" s="107"/>
      <c r="BF6" s="107"/>
      <c r="BG6" s="107"/>
      <c r="BH6" s="107"/>
      <c r="BI6" s="107"/>
      <c r="BJ6" s="107"/>
      <c r="BK6" s="107"/>
      <c r="BL6" s="107"/>
      <c r="BM6" s="107"/>
      <c r="BN6" s="107"/>
      <c r="BO6" s="108"/>
      <c r="BP6" s="107"/>
      <c r="BQ6" s="107"/>
      <c r="BR6" s="108"/>
      <c r="BS6" s="108"/>
      <c r="BT6" s="108"/>
    </row>
    <row r="7" spans="1:72" ht="13.5" hidden="1" customHeight="1" x14ac:dyDescent="0.25">
      <c r="A7" s="104" t="s">
        <v>200</v>
      </c>
      <c r="B7" s="105" t="s">
        <v>205</v>
      </c>
      <c r="C7" s="105"/>
      <c r="D7" s="105"/>
      <c r="E7" s="105"/>
      <c r="F7" s="106" t="s">
        <v>206</v>
      </c>
      <c r="G7" s="106"/>
      <c r="H7" s="107"/>
      <c r="I7" s="108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8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8"/>
      <c r="AU7" s="107"/>
      <c r="AV7" s="107"/>
      <c r="AW7" s="107"/>
      <c r="AX7" s="107"/>
      <c r="AY7" s="107"/>
      <c r="AZ7" s="108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8"/>
      <c r="BP7" s="107"/>
      <c r="BQ7" s="107"/>
      <c r="BR7" s="108"/>
      <c r="BS7" s="108"/>
      <c r="BT7" s="108"/>
    </row>
    <row r="8" spans="1:72" ht="13.5" hidden="1" customHeight="1" x14ac:dyDescent="0.25">
      <c r="A8" s="109"/>
      <c r="B8" s="110"/>
      <c r="C8" s="110" t="s">
        <v>207</v>
      </c>
      <c r="D8" s="110"/>
      <c r="E8" s="110"/>
      <c r="F8" s="111" t="s">
        <v>208</v>
      </c>
      <c r="G8" s="111"/>
      <c r="H8" s="112"/>
      <c r="I8" s="113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3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3"/>
      <c r="AU8" s="112"/>
      <c r="AV8" s="112"/>
      <c r="AW8" s="112"/>
      <c r="AX8" s="112"/>
      <c r="AY8" s="112"/>
      <c r="AZ8" s="113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/>
      <c r="BN8" s="112"/>
      <c r="BO8" s="113"/>
      <c r="BP8" s="112"/>
      <c r="BQ8" s="112"/>
      <c r="BR8" s="113"/>
      <c r="BS8" s="113"/>
      <c r="BT8" s="113"/>
    </row>
    <row r="9" spans="1:72" ht="13.5" hidden="1" customHeight="1" x14ac:dyDescent="0.25">
      <c r="A9" s="104" t="s">
        <v>200</v>
      </c>
      <c r="B9" s="105" t="s">
        <v>209</v>
      </c>
      <c r="C9" s="105"/>
      <c r="D9" s="105"/>
      <c r="E9" s="105"/>
      <c r="F9" s="106" t="s">
        <v>210</v>
      </c>
      <c r="G9" s="106"/>
      <c r="H9" s="107"/>
      <c r="I9" s="108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8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8"/>
      <c r="AU9" s="107"/>
      <c r="AV9" s="107"/>
      <c r="AW9" s="107"/>
      <c r="AX9" s="107"/>
      <c r="AY9" s="107"/>
      <c r="AZ9" s="108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07"/>
      <c r="BL9" s="107"/>
      <c r="BM9" s="107"/>
      <c r="BN9" s="107"/>
      <c r="BO9" s="108"/>
      <c r="BP9" s="107"/>
      <c r="BQ9" s="107"/>
      <c r="BR9" s="108"/>
      <c r="BS9" s="108"/>
      <c r="BT9" s="108"/>
    </row>
    <row r="10" spans="1:72" ht="13.5" hidden="1" customHeight="1" x14ac:dyDescent="0.25">
      <c r="A10" s="104" t="s">
        <v>200</v>
      </c>
      <c r="B10" s="105" t="s">
        <v>211</v>
      </c>
      <c r="C10" s="105"/>
      <c r="D10" s="105"/>
      <c r="E10" s="105"/>
      <c r="F10" s="106" t="s">
        <v>212</v>
      </c>
      <c r="G10" s="106"/>
      <c r="H10" s="107"/>
      <c r="I10" s="108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8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8"/>
      <c r="AU10" s="107"/>
      <c r="AV10" s="107"/>
      <c r="AW10" s="107"/>
      <c r="AX10" s="107"/>
      <c r="AY10" s="107"/>
      <c r="AZ10" s="108"/>
      <c r="BA10" s="107"/>
      <c r="BB10" s="107"/>
      <c r="BC10" s="107"/>
      <c r="BD10" s="107"/>
      <c r="BE10" s="107"/>
      <c r="BF10" s="107"/>
      <c r="BG10" s="107"/>
      <c r="BH10" s="107"/>
      <c r="BI10" s="107"/>
      <c r="BJ10" s="107"/>
      <c r="BK10" s="107"/>
      <c r="BL10" s="107"/>
      <c r="BM10" s="107"/>
      <c r="BN10" s="107"/>
      <c r="BO10" s="108"/>
      <c r="BP10" s="107"/>
      <c r="BQ10" s="107"/>
      <c r="BR10" s="108"/>
      <c r="BS10" s="108"/>
      <c r="BT10" s="108"/>
    </row>
    <row r="11" spans="1:72" ht="13.5" hidden="1" customHeight="1" x14ac:dyDescent="0.25">
      <c r="A11" s="114" t="s">
        <v>200</v>
      </c>
      <c r="B11" s="115" t="s">
        <v>213</v>
      </c>
      <c r="C11" s="115"/>
      <c r="D11" s="115"/>
      <c r="E11" s="115"/>
      <c r="F11" s="116" t="s">
        <v>214</v>
      </c>
      <c r="G11" s="116"/>
      <c r="H11" s="117"/>
      <c r="I11" s="118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8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8"/>
      <c r="AU11" s="117"/>
      <c r="AV11" s="117"/>
      <c r="AW11" s="117"/>
      <c r="AX11" s="117"/>
      <c r="AY11" s="117"/>
      <c r="AZ11" s="118"/>
      <c r="BA11" s="117"/>
      <c r="BB11" s="117"/>
      <c r="BC11" s="117"/>
      <c r="BD11" s="117"/>
      <c r="BE11" s="117"/>
      <c r="BF11" s="117"/>
      <c r="BG11" s="117"/>
      <c r="BH11" s="117"/>
      <c r="BI11" s="117"/>
      <c r="BJ11" s="117"/>
      <c r="BK11" s="117"/>
      <c r="BL11" s="117"/>
      <c r="BM11" s="117"/>
      <c r="BN11" s="117"/>
      <c r="BO11" s="118"/>
      <c r="BP11" s="117"/>
      <c r="BQ11" s="117"/>
      <c r="BR11" s="118"/>
      <c r="BS11" s="118"/>
      <c r="BT11" s="118"/>
    </row>
    <row r="12" spans="1:72" ht="13.5" customHeight="1" x14ac:dyDescent="0.25">
      <c r="A12" s="95" t="s">
        <v>215</v>
      </c>
      <c r="B12" s="95"/>
      <c r="C12" s="95"/>
      <c r="D12" s="95"/>
      <c r="E12" s="95"/>
      <c r="F12" s="96" t="s">
        <v>216</v>
      </c>
      <c r="G12" s="96"/>
      <c r="H12" s="97"/>
      <c r="I12" s="98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8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8"/>
      <c r="AU12" s="97"/>
      <c r="AV12" s="97"/>
      <c r="AW12" s="97"/>
      <c r="AX12" s="97"/>
      <c r="AY12" s="97"/>
      <c r="AZ12" s="98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8"/>
      <c r="BP12" s="97"/>
      <c r="BQ12" s="97"/>
      <c r="BR12" s="98"/>
      <c r="BS12" s="98"/>
      <c r="BT12" s="98"/>
    </row>
    <row r="13" spans="1:72" ht="13.5" hidden="1" customHeight="1" x14ac:dyDescent="0.25">
      <c r="A13" s="99" t="s">
        <v>200</v>
      </c>
      <c r="B13" s="100" t="s">
        <v>217</v>
      </c>
      <c r="C13" s="100"/>
      <c r="D13" s="100"/>
      <c r="E13" s="100"/>
      <c r="F13" s="101" t="s">
        <v>218</v>
      </c>
      <c r="G13" s="101"/>
      <c r="H13" s="102"/>
      <c r="I13" s="103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3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3"/>
      <c r="AU13" s="102"/>
      <c r="AV13" s="102"/>
      <c r="AW13" s="102"/>
      <c r="AX13" s="102"/>
      <c r="AY13" s="102"/>
      <c r="AZ13" s="103"/>
      <c r="BA13" s="102"/>
      <c r="BB13" s="102"/>
      <c r="BC13" s="102"/>
      <c r="BD13" s="102"/>
      <c r="BE13" s="102"/>
      <c r="BF13" s="102"/>
      <c r="BG13" s="102"/>
      <c r="BH13" s="102"/>
      <c r="BI13" s="102"/>
      <c r="BJ13" s="102"/>
      <c r="BK13" s="102"/>
      <c r="BL13" s="102"/>
      <c r="BM13" s="102"/>
      <c r="BN13" s="102"/>
      <c r="BO13" s="103"/>
      <c r="BP13" s="102"/>
      <c r="BQ13" s="102"/>
      <c r="BR13" s="103"/>
      <c r="BS13" s="103"/>
      <c r="BT13" s="103"/>
    </row>
    <row r="14" spans="1:72" ht="13.5" hidden="1" customHeight="1" x14ac:dyDescent="0.25">
      <c r="A14" s="119"/>
      <c r="B14" s="104" t="s">
        <v>200</v>
      </c>
      <c r="C14" s="105" t="s">
        <v>219</v>
      </c>
      <c r="D14" s="105"/>
      <c r="E14" s="105"/>
      <c r="F14" s="106" t="s">
        <v>220</v>
      </c>
      <c r="G14" s="106"/>
      <c r="H14" s="107"/>
      <c r="I14" s="108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8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8"/>
      <c r="AU14" s="107"/>
      <c r="AV14" s="107"/>
      <c r="AW14" s="107"/>
      <c r="AX14" s="107"/>
      <c r="AY14" s="107"/>
      <c r="AZ14" s="108"/>
      <c r="BA14" s="107"/>
      <c r="BB14" s="107"/>
      <c r="BC14" s="107"/>
      <c r="BD14" s="107"/>
      <c r="BE14" s="107"/>
      <c r="BF14" s="107"/>
      <c r="BG14" s="107"/>
      <c r="BH14" s="107"/>
      <c r="BI14" s="107"/>
      <c r="BJ14" s="107"/>
      <c r="BK14" s="107"/>
      <c r="BL14" s="107"/>
      <c r="BM14" s="107"/>
      <c r="BN14" s="107"/>
      <c r="BO14" s="108"/>
      <c r="BP14" s="107"/>
      <c r="BQ14" s="107"/>
      <c r="BR14" s="108"/>
      <c r="BS14" s="108"/>
      <c r="BT14" s="108"/>
    </row>
    <row r="15" spans="1:72" ht="13.5" hidden="1" customHeight="1" x14ac:dyDescent="0.25">
      <c r="A15" s="119"/>
      <c r="B15" s="104" t="s">
        <v>200</v>
      </c>
      <c r="C15" s="105" t="s">
        <v>221</v>
      </c>
      <c r="D15" s="105"/>
      <c r="E15" s="105"/>
      <c r="F15" s="106" t="s">
        <v>222</v>
      </c>
      <c r="G15" s="106"/>
      <c r="H15" s="107"/>
      <c r="I15" s="108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8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8"/>
      <c r="AU15" s="107"/>
      <c r="AV15" s="107"/>
      <c r="AW15" s="107"/>
      <c r="AX15" s="107"/>
      <c r="AY15" s="107"/>
      <c r="AZ15" s="108"/>
      <c r="BA15" s="107"/>
      <c r="BB15" s="107"/>
      <c r="BC15" s="107"/>
      <c r="BD15" s="107"/>
      <c r="BE15" s="107"/>
      <c r="BF15" s="107"/>
      <c r="BG15" s="107"/>
      <c r="BH15" s="107"/>
      <c r="BI15" s="107"/>
      <c r="BJ15" s="107"/>
      <c r="BK15" s="107"/>
      <c r="BL15" s="107"/>
      <c r="BM15" s="107"/>
      <c r="BN15" s="107"/>
      <c r="BO15" s="108"/>
      <c r="BP15" s="107"/>
      <c r="BQ15" s="107"/>
      <c r="BR15" s="108"/>
      <c r="BS15" s="108"/>
      <c r="BT15" s="108"/>
    </row>
    <row r="16" spans="1:72" ht="13.5" hidden="1" customHeight="1" x14ac:dyDescent="0.25">
      <c r="A16" s="119"/>
      <c r="B16" s="104" t="s">
        <v>200</v>
      </c>
      <c r="C16" s="105" t="s">
        <v>223</v>
      </c>
      <c r="D16" s="105"/>
      <c r="E16" s="105"/>
      <c r="F16" s="106" t="s">
        <v>224</v>
      </c>
      <c r="G16" s="106"/>
      <c r="H16" s="107"/>
      <c r="I16" s="108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8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8"/>
      <c r="AU16" s="107"/>
      <c r="AV16" s="107"/>
      <c r="AW16" s="107"/>
      <c r="AX16" s="107"/>
      <c r="AY16" s="107"/>
      <c r="AZ16" s="108"/>
      <c r="BA16" s="107"/>
      <c r="BB16" s="107"/>
      <c r="BC16" s="107"/>
      <c r="BD16" s="107"/>
      <c r="BE16" s="107"/>
      <c r="BF16" s="107"/>
      <c r="BG16" s="107"/>
      <c r="BH16" s="107"/>
      <c r="BI16" s="107"/>
      <c r="BJ16" s="107"/>
      <c r="BK16" s="107"/>
      <c r="BL16" s="107"/>
      <c r="BM16" s="107"/>
      <c r="BN16" s="107"/>
      <c r="BO16" s="108"/>
      <c r="BP16" s="107"/>
      <c r="BQ16" s="107"/>
      <c r="BR16" s="108"/>
      <c r="BS16" s="108"/>
      <c r="BT16" s="108"/>
    </row>
    <row r="17" spans="1:72" ht="13.5" hidden="1" customHeight="1" x14ac:dyDescent="0.25">
      <c r="A17" s="119"/>
      <c r="B17" s="104" t="s">
        <v>200</v>
      </c>
      <c r="C17" s="105" t="s">
        <v>225</v>
      </c>
      <c r="D17" s="105"/>
      <c r="E17" s="105"/>
      <c r="F17" s="106" t="s">
        <v>226</v>
      </c>
      <c r="G17" s="106"/>
      <c r="H17" s="107"/>
      <c r="I17" s="108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8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8"/>
      <c r="AU17" s="107"/>
      <c r="AV17" s="107"/>
      <c r="AW17" s="107"/>
      <c r="AX17" s="107"/>
      <c r="AY17" s="107"/>
      <c r="AZ17" s="108"/>
      <c r="BA17" s="107"/>
      <c r="BB17" s="107"/>
      <c r="BC17" s="107"/>
      <c r="BD17" s="107"/>
      <c r="BE17" s="107"/>
      <c r="BF17" s="107"/>
      <c r="BG17" s="107"/>
      <c r="BH17" s="107"/>
      <c r="BI17" s="107"/>
      <c r="BJ17" s="107"/>
      <c r="BK17" s="107"/>
      <c r="BL17" s="107"/>
      <c r="BM17" s="107"/>
      <c r="BN17" s="107"/>
      <c r="BO17" s="108"/>
      <c r="BP17" s="107"/>
      <c r="BQ17" s="107"/>
      <c r="BR17" s="108"/>
      <c r="BS17" s="108"/>
      <c r="BT17" s="108"/>
    </row>
    <row r="18" spans="1:72" ht="13.5" hidden="1" customHeight="1" x14ac:dyDescent="0.25">
      <c r="A18" s="119"/>
      <c r="B18" s="104" t="s">
        <v>200</v>
      </c>
      <c r="C18" s="105" t="s">
        <v>227</v>
      </c>
      <c r="D18" s="105"/>
      <c r="E18" s="105"/>
      <c r="F18" s="106" t="s">
        <v>228</v>
      </c>
      <c r="G18" s="106"/>
      <c r="H18" s="107"/>
      <c r="I18" s="108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8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8"/>
      <c r="AU18" s="107"/>
      <c r="AV18" s="107"/>
      <c r="AW18" s="107"/>
      <c r="AX18" s="107"/>
      <c r="AY18" s="107"/>
      <c r="AZ18" s="108"/>
      <c r="BA18" s="107"/>
      <c r="BB18" s="107"/>
      <c r="BC18" s="107"/>
      <c r="BD18" s="107"/>
      <c r="BE18" s="107"/>
      <c r="BF18" s="107"/>
      <c r="BG18" s="107"/>
      <c r="BH18" s="107"/>
      <c r="BI18" s="107"/>
      <c r="BJ18" s="107"/>
      <c r="BK18" s="107"/>
      <c r="BL18" s="107"/>
      <c r="BM18" s="107"/>
      <c r="BN18" s="107"/>
      <c r="BO18" s="108"/>
      <c r="BP18" s="107"/>
      <c r="BQ18" s="107"/>
      <c r="BR18" s="108"/>
      <c r="BS18" s="108"/>
      <c r="BT18" s="108"/>
    </row>
    <row r="19" spans="1:72" ht="13.5" hidden="1" customHeight="1" x14ac:dyDescent="0.25">
      <c r="A19" s="119"/>
      <c r="B19" s="104" t="s">
        <v>200</v>
      </c>
      <c r="C19" s="105" t="s">
        <v>229</v>
      </c>
      <c r="D19" s="105"/>
      <c r="E19" s="105"/>
      <c r="F19" s="106" t="s">
        <v>230</v>
      </c>
      <c r="G19" s="106"/>
      <c r="H19" s="107"/>
      <c r="I19" s="108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8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8"/>
      <c r="AU19" s="107"/>
      <c r="AV19" s="107"/>
      <c r="AW19" s="107"/>
      <c r="AX19" s="107"/>
      <c r="AY19" s="107"/>
      <c r="AZ19" s="108"/>
      <c r="BA19" s="107"/>
      <c r="BB19" s="107"/>
      <c r="BC19" s="107"/>
      <c r="BD19" s="107"/>
      <c r="BE19" s="107"/>
      <c r="BF19" s="107"/>
      <c r="BG19" s="107"/>
      <c r="BH19" s="107"/>
      <c r="BI19" s="107"/>
      <c r="BJ19" s="107"/>
      <c r="BK19" s="107"/>
      <c r="BL19" s="107"/>
      <c r="BM19" s="107"/>
      <c r="BN19" s="107"/>
      <c r="BO19" s="108"/>
      <c r="BP19" s="107"/>
      <c r="BQ19" s="107"/>
      <c r="BR19" s="108"/>
      <c r="BS19" s="108"/>
      <c r="BT19" s="108"/>
    </row>
    <row r="20" spans="1:72" ht="13.5" hidden="1" customHeight="1" x14ac:dyDescent="0.25">
      <c r="A20" s="119"/>
      <c r="B20" s="104" t="s">
        <v>200</v>
      </c>
      <c r="C20" s="105" t="s">
        <v>231</v>
      </c>
      <c r="D20" s="105"/>
      <c r="E20" s="105"/>
      <c r="F20" s="106" t="s">
        <v>232</v>
      </c>
      <c r="G20" s="106"/>
      <c r="H20" s="107"/>
      <c r="I20" s="108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8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8"/>
      <c r="AU20" s="107"/>
      <c r="AV20" s="107"/>
      <c r="AW20" s="107"/>
      <c r="AX20" s="107"/>
      <c r="AY20" s="107"/>
      <c r="AZ20" s="108"/>
      <c r="BA20" s="107"/>
      <c r="BB20" s="107"/>
      <c r="BC20" s="107"/>
      <c r="BD20" s="107"/>
      <c r="BE20" s="107"/>
      <c r="BF20" s="107"/>
      <c r="BG20" s="107"/>
      <c r="BH20" s="107"/>
      <c r="BI20" s="107"/>
      <c r="BJ20" s="107"/>
      <c r="BK20" s="107"/>
      <c r="BL20" s="107"/>
      <c r="BM20" s="107"/>
      <c r="BN20" s="107"/>
      <c r="BO20" s="108"/>
      <c r="BP20" s="107"/>
      <c r="BQ20" s="107"/>
      <c r="BR20" s="108"/>
      <c r="BS20" s="108"/>
      <c r="BT20" s="108"/>
    </row>
    <row r="21" spans="1:72" ht="13.5" hidden="1" customHeight="1" x14ac:dyDescent="0.25">
      <c r="A21" s="119"/>
      <c r="B21" s="104" t="s">
        <v>200</v>
      </c>
      <c r="C21" s="105" t="s">
        <v>233</v>
      </c>
      <c r="D21" s="105"/>
      <c r="E21" s="105"/>
      <c r="F21" s="106" t="s">
        <v>234</v>
      </c>
      <c r="G21" s="106"/>
      <c r="H21" s="107"/>
      <c r="I21" s="108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8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8"/>
      <c r="AU21" s="107"/>
      <c r="AV21" s="107"/>
      <c r="AW21" s="107"/>
      <c r="AX21" s="107"/>
      <c r="AY21" s="107"/>
      <c r="AZ21" s="108"/>
      <c r="BA21" s="107"/>
      <c r="BB21" s="107"/>
      <c r="BC21" s="107"/>
      <c r="BD21" s="107"/>
      <c r="BE21" s="107"/>
      <c r="BF21" s="107"/>
      <c r="BG21" s="107"/>
      <c r="BH21" s="107"/>
      <c r="BI21" s="107"/>
      <c r="BJ21" s="107"/>
      <c r="BK21" s="107"/>
      <c r="BL21" s="107"/>
      <c r="BM21" s="107"/>
      <c r="BN21" s="107"/>
      <c r="BO21" s="108"/>
      <c r="BP21" s="107"/>
      <c r="BQ21" s="107"/>
      <c r="BR21" s="108"/>
      <c r="BS21" s="108"/>
      <c r="BT21" s="108"/>
    </row>
    <row r="22" spans="1:72" ht="13.5" hidden="1" customHeight="1" x14ac:dyDescent="0.25">
      <c r="A22" s="119"/>
      <c r="B22" s="104" t="s">
        <v>200</v>
      </c>
      <c r="C22" s="105" t="s">
        <v>235</v>
      </c>
      <c r="D22" s="105"/>
      <c r="E22" s="105"/>
      <c r="F22" s="106" t="s">
        <v>236</v>
      </c>
      <c r="G22" s="106"/>
      <c r="H22" s="107"/>
      <c r="I22" s="108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8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8"/>
      <c r="AU22" s="107"/>
      <c r="AV22" s="107"/>
      <c r="AW22" s="107"/>
      <c r="AX22" s="107"/>
      <c r="AY22" s="107"/>
      <c r="AZ22" s="108"/>
      <c r="BA22" s="107"/>
      <c r="BB22" s="107"/>
      <c r="BC22" s="107"/>
      <c r="BD22" s="107"/>
      <c r="BE22" s="107"/>
      <c r="BF22" s="107"/>
      <c r="BG22" s="107"/>
      <c r="BH22" s="107"/>
      <c r="BI22" s="107"/>
      <c r="BJ22" s="107"/>
      <c r="BK22" s="107"/>
      <c r="BL22" s="107"/>
      <c r="BM22" s="107"/>
      <c r="BN22" s="107"/>
      <c r="BO22" s="108"/>
      <c r="BP22" s="107"/>
      <c r="BQ22" s="107"/>
      <c r="BR22" s="108"/>
      <c r="BS22" s="108"/>
      <c r="BT22" s="108"/>
    </row>
    <row r="23" spans="1:72" ht="13.5" hidden="1" customHeight="1" x14ac:dyDescent="0.25">
      <c r="A23" s="119"/>
      <c r="B23" s="104" t="s">
        <v>200</v>
      </c>
      <c r="C23" s="105" t="s">
        <v>237</v>
      </c>
      <c r="D23" s="105"/>
      <c r="E23" s="105"/>
      <c r="F23" s="106" t="s">
        <v>238</v>
      </c>
      <c r="G23" s="106"/>
      <c r="H23" s="107"/>
      <c r="I23" s="108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8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8"/>
      <c r="AU23" s="107"/>
      <c r="AV23" s="107"/>
      <c r="AW23" s="107"/>
      <c r="AX23" s="107"/>
      <c r="AY23" s="107"/>
      <c r="AZ23" s="108"/>
      <c r="BA23" s="107"/>
      <c r="BB23" s="107"/>
      <c r="BC23" s="107"/>
      <c r="BD23" s="107"/>
      <c r="BE23" s="107"/>
      <c r="BF23" s="107"/>
      <c r="BG23" s="107"/>
      <c r="BH23" s="107"/>
      <c r="BI23" s="107"/>
      <c r="BJ23" s="107"/>
      <c r="BK23" s="107"/>
      <c r="BL23" s="107"/>
      <c r="BM23" s="107"/>
      <c r="BN23" s="107"/>
      <c r="BO23" s="108"/>
      <c r="BP23" s="107"/>
      <c r="BQ23" s="107"/>
      <c r="BR23" s="108"/>
      <c r="BS23" s="108"/>
      <c r="BT23" s="108"/>
    </row>
    <row r="24" spans="1:72" ht="13.5" hidden="1" customHeight="1" x14ac:dyDescent="0.25">
      <c r="A24" s="119"/>
      <c r="B24" s="104" t="s">
        <v>200</v>
      </c>
      <c r="C24" s="105" t="s">
        <v>239</v>
      </c>
      <c r="D24" s="105"/>
      <c r="E24" s="105"/>
      <c r="F24" s="106" t="s">
        <v>240</v>
      </c>
      <c r="G24" s="106"/>
      <c r="H24" s="107"/>
      <c r="I24" s="108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8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8"/>
      <c r="AU24" s="107"/>
      <c r="AV24" s="107"/>
      <c r="AW24" s="107"/>
      <c r="AX24" s="107"/>
      <c r="AY24" s="107"/>
      <c r="AZ24" s="108"/>
      <c r="BA24" s="107"/>
      <c r="BB24" s="107"/>
      <c r="BC24" s="107"/>
      <c r="BD24" s="107"/>
      <c r="BE24" s="107"/>
      <c r="BF24" s="107"/>
      <c r="BG24" s="107"/>
      <c r="BH24" s="107"/>
      <c r="BI24" s="107"/>
      <c r="BJ24" s="107"/>
      <c r="BK24" s="107"/>
      <c r="BL24" s="107"/>
      <c r="BM24" s="107"/>
      <c r="BN24" s="107"/>
      <c r="BO24" s="108"/>
      <c r="BP24" s="107"/>
      <c r="BQ24" s="107"/>
      <c r="BR24" s="108"/>
      <c r="BS24" s="108"/>
      <c r="BT24" s="108"/>
    </row>
    <row r="25" spans="1:72" ht="13.5" hidden="1" customHeight="1" x14ac:dyDescent="0.25">
      <c r="A25" s="119"/>
      <c r="B25" s="104" t="s">
        <v>200</v>
      </c>
      <c r="C25" s="105" t="s">
        <v>241</v>
      </c>
      <c r="D25" s="105"/>
      <c r="E25" s="105"/>
      <c r="F25" s="106" t="s">
        <v>242</v>
      </c>
      <c r="G25" s="106"/>
      <c r="H25" s="107"/>
      <c r="I25" s="108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8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8"/>
      <c r="AU25" s="107"/>
      <c r="AV25" s="107"/>
      <c r="AW25" s="107"/>
      <c r="AX25" s="107"/>
      <c r="AY25" s="107"/>
      <c r="AZ25" s="108"/>
      <c r="BA25" s="107"/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8"/>
      <c r="BP25" s="107"/>
      <c r="BQ25" s="107"/>
      <c r="BR25" s="108"/>
      <c r="BS25" s="108"/>
      <c r="BT25" s="108"/>
    </row>
    <row r="26" spans="1:72" ht="13.5" hidden="1" customHeight="1" x14ac:dyDescent="0.25">
      <c r="A26" s="119"/>
      <c r="B26" s="104" t="s">
        <v>200</v>
      </c>
      <c r="C26" s="105" t="s">
        <v>243</v>
      </c>
      <c r="D26" s="105"/>
      <c r="E26" s="105"/>
      <c r="F26" s="106" t="s">
        <v>244</v>
      </c>
      <c r="G26" s="106"/>
      <c r="H26" s="107"/>
      <c r="I26" s="108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8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8"/>
      <c r="AU26" s="107"/>
      <c r="AV26" s="107"/>
      <c r="AW26" s="107"/>
      <c r="AX26" s="107"/>
      <c r="AY26" s="107"/>
      <c r="AZ26" s="108"/>
      <c r="BA26" s="107"/>
      <c r="BB26" s="107"/>
      <c r="BC26" s="107"/>
      <c r="BD26" s="107"/>
      <c r="BE26" s="107"/>
      <c r="BF26" s="107"/>
      <c r="BG26" s="107"/>
      <c r="BH26" s="107"/>
      <c r="BI26" s="107"/>
      <c r="BJ26" s="107"/>
      <c r="BK26" s="107"/>
      <c r="BL26" s="107"/>
      <c r="BM26" s="107"/>
      <c r="BN26" s="107"/>
      <c r="BO26" s="108"/>
      <c r="BP26" s="107"/>
      <c r="BQ26" s="107"/>
      <c r="BR26" s="108"/>
      <c r="BS26" s="108"/>
      <c r="BT26" s="108"/>
    </row>
    <row r="27" spans="1:72" ht="13.5" hidden="1" customHeight="1" x14ac:dyDescent="0.25">
      <c r="A27" s="104" t="s">
        <v>200</v>
      </c>
      <c r="B27" s="105" t="s">
        <v>245</v>
      </c>
      <c r="C27" s="105"/>
      <c r="D27" s="105"/>
      <c r="E27" s="105"/>
      <c r="F27" s="106" t="s">
        <v>246</v>
      </c>
      <c r="G27" s="106"/>
      <c r="H27" s="107"/>
      <c r="I27" s="108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8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108"/>
      <c r="AU27" s="107"/>
      <c r="AV27" s="107"/>
      <c r="AW27" s="107"/>
      <c r="AX27" s="107"/>
      <c r="AY27" s="107"/>
      <c r="AZ27" s="108"/>
      <c r="BA27" s="107"/>
      <c r="BB27" s="107"/>
      <c r="BC27" s="107"/>
      <c r="BD27" s="107"/>
      <c r="BE27" s="107"/>
      <c r="BF27" s="107"/>
      <c r="BG27" s="107"/>
      <c r="BH27" s="107"/>
      <c r="BI27" s="107"/>
      <c r="BJ27" s="107"/>
      <c r="BK27" s="107"/>
      <c r="BL27" s="107"/>
      <c r="BM27" s="107"/>
      <c r="BN27" s="107"/>
      <c r="BO27" s="108"/>
      <c r="BP27" s="107"/>
      <c r="BQ27" s="107"/>
      <c r="BR27" s="108"/>
      <c r="BS27" s="108"/>
      <c r="BT27" s="108"/>
    </row>
    <row r="28" spans="1:72" ht="13.5" hidden="1" customHeight="1" x14ac:dyDescent="0.25">
      <c r="A28" s="119"/>
      <c r="B28" s="104" t="s">
        <v>200</v>
      </c>
      <c r="C28" s="105" t="s">
        <v>247</v>
      </c>
      <c r="D28" s="105"/>
      <c r="E28" s="105"/>
      <c r="F28" s="106" t="s">
        <v>248</v>
      </c>
      <c r="G28" s="106"/>
      <c r="H28" s="107"/>
      <c r="I28" s="108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8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8"/>
      <c r="AU28" s="107"/>
      <c r="AV28" s="107"/>
      <c r="AW28" s="107"/>
      <c r="AX28" s="107"/>
      <c r="AY28" s="107"/>
      <c r="AZ28" s="108"/>
      <c r="BA28" s="107"/>
      <c r="BB28" s="107"/>
      <c r="BC28" s="107"/>
      <c r="BD28" s="107"/>
      <c r="BE28" s="107"/>
      <c r="BF28" s="107"/>
      <c r="BG28" s="107"/>
      <c r="BH28" s="107"/>
      <c r="BI28" s="107"/>
      <c r="BJ28" s="107"/>
      <c r="BK28" s="107"/>
      <c r="BL28" s="107"/>
      <c r="BM28" s="107"/>
      <c r="BN28" s="107"/>
      <c r="BO28" s="108"/>
      <c r="BP28" s="107"/>
      <c r="BQ28" s="107"/>
      <c r="BR28" s="108"/>
      <c r="BS28" s="108"/>
      <c r="BT28" s="108"/>
    </row>
    <row r="29" spans="1:72" ht="13.5" hidden="1" customHeight="1" x14ac:dyDescent="0.25">
      <c r="A29" s="119"/>
      <c r="B29" s="104" t="s">
        <v>200</v>
      </c>
      <c r="C29" s="105" t="s">
        <v>249</v>
      </c>
      <c r="D29" s="105"/>
      <c r="E29" s="105"/>
      <c r="F29" s="106" t="s">
        <v>250</v>
      </c>
      <c r="G29" s="106"/>
      <c r="H29" s="107"/>
      <c r="I29" s="108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8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8"/>
      <c r="AU29" s="107"/>
      <c r="AV29" s="107"/>
      <c r="AW29" s="107"/>
      <c r="AX29" s="107"/>
      <c r="AY29" s="107"/>
      <c r="AZ29" s="108"/>
      <c r="BA29" s="107"/>
      <c r="BB29" s="107"/>
      <c r="BC29" s="107"/>
      <c r="BD29" s="107"/>
      <c r="BE29" s="107"/>
      <c r="BF29" s="107"/>
      <c r="BG29" s="107"/>
      <c r="BH29" s="107"/>
      <c r="BI29" s="107"/>
      <c r="BJ29" s="107"/>
      <c r="BK29" s="107"/>
      <c r="BL29" s="107"/>
      <c r="BM29" s="107"/>
      <c r="BN29" s="107"/>
      <c r="BO29" s="108"/>
      <c r="BP29" s="107"/>
      <c r="BQ29" s="107"/>
      <c r="BR29" s="108"/>
      <c r="BS29" s="108"/>
      <c r="BT29" s="108"/>
    </row>
    <row r="30" spans="1:72" ht="13.5" hidden="1" customHeight="1" x14ac:dyDescent="0.25">
      <c r="A30" s="119"/>
      <c r="B30" s="104" t="s">
        <v>200</v>
      </c>
      <c r="C30" s="105" t="s">
        <v>251</v>
      </c>
      <c r="D30" s="105"/>
      <c r="E30" s="105"/>
      <c r="F30" s="106" t="s">
        <v>252</v>
      </c>
      <c r="G30" s="106"/>
      <c r="H30" s="107"/>
      <c r="I30" s="108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8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8"/>
      <c r="AU30" s="107"/>
      <c r="AV30" s="107"/>
      <c r="AW30" s="107"/>
      <c r="AX30" s="107"/>
      <c r="AY30" s="107"/>
      <c r="AZ30" s="108"/>
      <c r="BA30" s="107"/>
      <c r="BB30" s="107"/>
      <c r="BC30" s="107"/>
      <c r="BD30" s="107"/>
      <c r="BE30" s="107"/>
      <c r="BF30" s="107"/>
      <c r="BG30" s="107"/>
      <c r="BH30" s="107"/>
      <c r="BI30" s="107"/>
      <c r="BJ30" s="107"/>
      <c r="BK30" s="107"/>
      <c r="BL30" s="107"/>
      <c r="BM30" s="107"/>
      <c r="BN30" s="107"/>
      <c r="BO30" s="108"/>
      <c r="BP30" s="107"/>
      <c r="BQ30" s="107"/>
      <c r="BR30" s="108"/>
      <c r="BS30" s="108"/>
      <c r="BT30" s="108"/>
    </row>
    <row r="31" spans="1:72" ht="13.5" hidden="1" customHeight="1" x14ac:dyDescent="0.25">
      <c r="A31" s="119"/>
      <c r="B31" s="104" t="s">
        <v>200</v>
      </c>
      <c r="C31" s="105" t="s">
        <v>253</v>
      </c>
      <c r="D31" s="105"/>
      <c r="E31" s="105"/>
      <c r="F31" s="106" t="s">
        <v>254</v>
      </c>
      <c r="G31" s="106"/>
      <c r="H31" s="107"/>
      <c r="I31" s="108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8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8"/>
      <c r="AU31" s="107"/>
      <c r="AV31" s="107"/>
      <c r="AW31" s="107"/>
      <c r="AX31" s="107"/>
      <c r="AY31" s="107"/>
      <c r="AZ31" s="108"/>
      <c r="BA31" s="107"/>
      <c r="BB31" s="107"/>
      <c r="BC31" s="107"/>
      <c r="BD31" s="107"/>
      <c r="BE31" s="107"/>
      <c r="BF31" s="107"/>
      <c r="BG31" s="107"/>
      <c r="BH31" s="107"/>
      <c r="BI31" s="107"/>
      <c r="BJ31" s="107"/>
      <c r="BK31" s="107"/>
      <c r="BL31" s="107"/>
      <c r="BM31" s="107"/>
      <c r="BN31" s="107"/>
      <c r="BO31" s="108"/>
      <c r="BP31" s="107"/>
      <c r="BQ31" s="107"/>
      <c r="BR31" s="108"/>
      <c r="BS31" s="108"/>
      <c r="BT31" s="108"/>
    </row>
    <row r="32" spans="1:72" ht="13.5" hidden="1" customHeight="1" x14ac:dyDescent="0.25">
      <c r="A32" s="119"/>
      <c r="B32" s="104" t="s">
        <v>200</v>
      </c>
      <c r="C32" s="105" t="s">
        <v>255</v>
      </c>
      <c r="D32" s="105"/>
      <c r="E32" s="105"/>
      <c r="F32" s="106" t="s">
        <v>256</v>
      </c>
      <c r="G32" s="106"/>
      <c r="H32" s="107"/>
      <c r="I32" s="108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8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8"/>
      <c r="AU32" s="107"/>
      <c r="AV32" s="107"/>
      <c r="AW32" s="107"/>
      <c r="AX32" s="107"/>
      <c r="AY32" s="107"/>
      <c r="AZ32" s="108"/>
      <c r="BA32" s="107"/>
      <c r="BB32" s="107"/>
      <c r="BC32" s="107"/>
      <c r="BD32" s="107"/>
      <c r="BE32" s="107"/>
      <c r="BF32" s="107"/>
      <c r="BG32" s="107"/>
      <c r="BH32" s="107"/>
      <c r="BI32" s="107"/>
      <c r="BJ32" s="107"/>
      <c r="BK32" s="107"/>
      <c r="BL32" s="107"/>
      <c r="BM32" s="107"/>
      <c r="BN32" s="107"/>
      <c r="BO32" s="108"/>
      <c r="BP32" s="107"/>
      <c r="BQ32" s="107"/>
      <c r="BR32" s="108"/>
      <c r="BS32" s="108"/>
      <c r="BT32" s="108"/>
    </row>
    <row r="33" spans="1:74" ht="13.5" hidden="1" customHeight="1" x14ac:dyDescent="0.25">
      <c r="A33" s="119"/>
      <c r="B33" s="104" t="s">
        <v>200</v>
      </c>
      <c r="C33" s="105" t="s">
        <v>257</v>
      </c>
      <c r="D33" s="105"/>
      <c r="E33" s="105"/>
      <c r="F33" s="106" t="s">
        <v>258</v>
      </c>
      <c r="G33" s="106"/>
      <c r="H33" s="107"/>
      <c r="I33" s="108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8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8"/>
      <c r="AU33" s="107"/>
      <c r="AV33" s="107"/>
      <c r="AW33" s="107"/>
      <c r="AX33" s="107"/>
      <c r="AY33" s="107"/>
      <c r="AZ33" s="108"/>
      <c r="BA33" s="107"/>
      <c r="BB33" s="107"/>
      <c r="BC33" s="107"/>
      <c r="BD33" s="107"/>
      <c r="BE33" s="107"/>
      <c r="BF33" s="107"/>
      <c r="BG33" s="107"/>
      <c r="BH33" s="107"/>
      <c r="BI33" s="107"/>
      <c r="BJ33" s="107"/>
      <c r="BK33" s="107"/>
      <c r="BL33" s="107"/>
      <c r="BM33" s="107"/>
      <c r="BN33" s="107"/>
      <c r="BO33" s="108"/>
      <c r="BP33" s="107"/>
      <c r="BQ33" s="107"/>
      <c r="BR33" s="108"/>
      <c r="BS33" s="108"/>
      <c r="BT33" s="108"/>
    </row>
    <row r="34" spans="1:74" ht="13.5" hidden="1" customHeight="1" x14ac:dyDescent="0.25">
      <c r="A34" s="119"/>
      <c r="B34" s="104" t="s">
        <v>200</v>
      </c>
      <c r="C34" s="105" t="s">
        <v>259</v>
      </c>
      <c r="D34" s="105"/>
      <c r="E34" s="105"/>
      <c r="F34" s="106" t="s">
        <v>260</v>
      </c>
      <c r="G34" s="106"/>
      <c r="H34" s="107"/>
      <c r="I34" s="108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8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8"/>
      <c r="AU34" s="107"/>
      <c r="AV34" s="107"/>
      <c r="AW34" s="107"/>
      <c r="AX34" s="107"/>
      <c r="AY34" s="107"/>
      <c r="AZ34" s="108"/>
      <c r="BA34" s="107"/>
      <c r="BB34" s="107"/>
      <c r="BC34" s="107"/>
      <c r="BD34" s="107"/>
      <c r="BE34" s="107"/>
      <c r="BF34" s="107"/>
      <c r="BG34" s="107"/>
      <c r="BH34" s="107"/>
      <c r="BI34" s="107"/>
      <c r="BJ34" s="107"/>
      <c r="BK34" s="107"/>
      <c r="BL34" s="107"/>
      <c r="BM34" s="107"/>
      <c r="BN34" s="107"/>
      <c r="BO34" s="108"/>
      <c r="BP34" s="107"/>
      <c r="BQ34" s="107"/>
      <c r="BR34" s="108"/>
      <c r="BS34" s="108"/>
      <c r="BT34" s="108"/>
    </row>
    <row r="35" spans="1:74" ht="13.5" customHeight="1" x14ac:dyDescent="0.25">
      <c r="A35" s="104" t="s">
        <v>200</v>
      </c>
      <c r="B35" s="105" t="s">
        <v>261</v>
      </c>
      <c r="C35" s="105"/>
      <c r="D35" s="105"/>
      <c r="E35" s="105"/>
      <c r="F35" s="106" t="s">
        <v>262</v>
      </c>
      <c r="G35" s="106"/>
      <c r="H35" s="107"/>
      <c r="I35" s="108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8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8"/>
      <c r="AU35" s="107"/>
      <c r="AV35" s="107"/>
      <c r="AW35" s="107"/>
      <c r="AX35" s="107"/>
      <c r="AY35" s="107"/>
      <c r="AZ35" s="108"/>
      <c r="BA35" s="107"/>
      <c r="BB35" s="107"/>
      <c r="BC35" s="107"/>
      <c r="BD35" s="107"/>
      <c r="BE35" s="107"/>
      <c r="BF35" s="107"/>
      <c r="BG35" s="107"/>
      <c r="BH35" s="107"/>
      <c r="BI35" s="107"/>
      <c r="BJ35" s="107"/>
      <c r="BK35" s="107"/>
      <c r="BL35" s="107"/>
      <c r="BM35" s="107"/>
      <c r="BN35" s="107"/>
      <c r="BO35" s="108"/>
      <c r="BP35" s="107"/>
      <c r="BQ35" s="107"/>
      <c r="BR35" s="108"/>
      <c r="BS35" s="108"/>
      <c r="BT35" s="108"/>
    </row>
    <row r="36" spans="1:74" x14ac:dyDescent="0.25">
      <c r="A36" s="119"/>
      <c r="B36" s="104" t="s">
        <v>200</v>
      </c>
      <c r="C36" s="105" t="s">
        <v>263</v>
      </c>
      <c r="D36" s="105"/>
      <c r="E36" s="105"/>
      <c r="F36" s="106" t="s">
        <v>264</v>
      </c>
      <c r="G36" s="106"/>
      <c r="H36" s="107"/>
      <c r="I36" s="108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8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8"/>
      <c r="AU36" s="107"/>
      <c r="AV36" s="107"/>
      <c r="AW36" s="107"/>
      <c r="AX36" s="107"/>
      <c r="AY36" s="107"/>
      <c r="AZ36" s="108"/>
      <c r="BA36" s="107"/>
      <c r="BB36" s="107"/>
      <c r="BC36" s="107"/>
      <c r="BD36" s="107"/>
      <c r="BE36" s="107"/>
      <c r="BF36" s="107"/>
      <c r="BG36" s="107"/>
      <c r="BH36" s="107"/>
      <c r="BI36" s="107"/>
      <c r="BJ36" s="107"/>
      <c r="BK36" s="107"/>
      <c r="BL36" s="107"/>
      <c r="BM36" s="107"/>
      <c r="BN36" s="107"/>
      <c r="BO36" s="108"/>
      <c r="BP36" s="107"/>
      <c r="BQ36" s="107"/>
      <c r="BR36" s="108"/>
      <c r="BS36" s="108"/>
      <c r="BT36" s="108"/>
    </row>
    <row r="37" spans="1:74" x14ac:dyDescent="0.25">
      <c r="A37" s="119"/>
      <c r="B37" s="104" t="s">
        <v>200</v>
      </c>
      <c r="C37" s="105" t="s">
        <v>265</v>
      </c>
      <c r="D37" s="105"/>
      <c r="E37" s="105"/>
      <c r="F37" s="106" t="s">
        <v>266</v>
      </c>
      <c r="G37" s="106"/>
      <c r="H37" s="107"/>
      <c r="I37" s="108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8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8"/>
      <c r="AU37" s="107"/>
      <c r="AV37" s="107"/>
      <c r="AW37" s="107"/>
      <c r="AX37" s="107"/>
      <c r="AY37" s="107"/>
      <c r="AZ37" s="108"/>
      <c r="BA37" s="107"/>
      <c r="BB37" s="107"/>
      <c r="BC37" s="107"/>
      <c r="BD37" s="107"/>
      <c r="BE37" s="107"/>
      <c r="BF37" s="107"/>
      <c r="BG37" s="107"/>
      <c r="BH37" s="107"/>
      <c r="BI37" s="107"/>
      <c r="BJ37" s="107"/>
      <c r="BK37" s="107"/>
      <c r="BL37" s="107"/>
      <c r="BM37" s="107"/>
      <c r="BN37" s="107"/>
      <c r="BO37" s="108"/>
      <c r="BP37" s="107"/>
      <c r="BQ37" s="107"/>
      <c r="BR37" s="108"/>
      <c r="BS37" s="108"/>
      <c r="BT37" s="108"/>
    </row>
    <row r="38" spans="1:74" x14ac:dyDescent="0.25">
      <c r="A38" s="119"/>
      <c r="B38" s="104" t="s">
        <v>200</v>
      </c>
      <c r="C38" s="105" t="s">
        <v>267</v>
      </c>
      <c r="D38" s="105"/>
      <c r="E38" s="105"/>
      <c r="F38" s="106" t="s">
        <v>268</v>
      </c>
      <c r="G38" s="106"/>
      <c r="H38" s="120"/>
      <c r="I38" s="121"/>
      <c r="K38" s="122"/>
      <c r="L38" s="122"/>
      <c r="M38" s="122"/>
      <c r="N38" s="122"/>
      <c r="O38" s="120"/>
      <c r="P38" s="120"/>
      <c r="Q38" s="120"/>
      <c r="R38" s="120"/>
      <c r="S38" s="120"/>
      <c r="T38" s="120"/>
      <c r="U38" s="120"/>
      <c r="V38" s="120"/>
      <c r="W38" s="121"/>
      <c r="X38" s="120"/>
      <c r="Y38" s="120"/>
      <c r="Z38" s="120"/>
      <c r="AA38" s="120"/>
      <c r="AB38" s="120"/>
      <c r="AC38" s="120"/>
      <c r="AD38" s="120"/>
      <c r="AE38" s="123"/>
      <c r="AF38" s="123"/>
      <c r="AG38" s="123"/>
      <c r="AH38" s="123"/>
      <c r="AI38" s="123"/>
      <c r="AJ38" s="123"/>
      <c r="AK38" s="123"/>
      <c r="AL38" s="123">
        <v>286</v>
      </c>
      <c r="AM38" s="123"/>
      <c r="AN38" s="123"/>
      <c r="AO38" s="123"/>
      <c r="AP38" s="123"/>
      <c r="AQ38" s="123"/>
      <c r="AR38" s="123"/>
      <c r="AS38" s="123"/>
      <c r="AT38" s="121">
        <f>AU38</f>
        <v>51</v>
      </c>
      <c r="AU38" s="122">
        <v>51</v>
      </c>
      <c r="AV38" s="120"/>
      <c r="AW38" s="120"/>
      <c r="AX38" s="120"/>
      <c r="AY38" s="120"/>
      <c r="AZ38" s="121"/>
      <c r="BA38" s="120"/>
      <c r="BB38" s="120"/>
      <c r="BC38" s="120"/>
      <c r="BD38" s="120"/>
      <c r="BE38" s="120"/>
      <c r="BF38" s="120">
        <v>1.7196904557179706</v>
      </c>
      <c r="BG38" s="120"/>
      <c r="BH38" s="120"/>
      <c r="BI38" s="120"/>
      <c r="BJ38" s="120"/>
      <c r="BK38" s="120"/>
      <c r="BL38" s="120"/>
      <c r="BM38" s="120"/>
      <c r="BN38" s="120"/>
      <c r="BO38" s="121"/>
      <c r="BP38" s="120"/>
      <c r="BQ38" s="120"/>
      <c r="BR38" s="121"/>
      <c r="BS38" s="124"/>
      <c r="BT38" s="124">
        <v>88</v>
      </c>
      <c r="BV38" s="75" t="s">
        <v>395</v>
      </c>
    </row>
    <row r="39" spans="1:74" x14ac:dyDescent="0.25">
      <c r="A39" s="119"/>
      <c r="B39" s="104" t="s">
        <v>200</v>
      </c>
      <c r="C39" s="105" t="s">
        <v>269</v>
      </c>
      <c r="D39" s="105"/>
      <c r="E39" s="105"/>
      <c r="F39" s="106" t="s">
        <v>270</v>
      </c>
      <c r="G39" s="106"/>
      <c r="H39" s="107"/>
      <c r="I39" s="108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8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07"/>
      <c r="AT39" s="108"/>
      <c r="AU39" s="107"/>
      <c r="AV39" s="107"/>
      <c r="AW39" s="107"/>
      <c r="AX39" s="107"/>
      <c r="AY39" s="107"/>
      <c r="AZ39" s="108"/>
      <c r="BA39" s="107"/>
      <c r="BB39" s="107"/>
      <c r="BC39" s="107"/>
      <c r="BD39" s="107"/>
      <c r="BE39" s="107"/>
      <c r="BF39" s="107"/>
      <c r="BG39" s="107"/>
      <c r="BH39" s="107"/>
      <c r="BI39" s="107"/>
      <c r="BJ39" s="107"/>
      <c r="BK39" s="107"/>
      <c r="BL39" s="107"/>
      <c r="BM39" s="107"/>
      <c r="BN39" s="107"/>
      <c r="BO39" s="108"/>
      <c r="BP39" s="107"/>
      <c r="BQ39" s="107"/>
      <c r="BR39" s="108"/>
      <c r="BS39" s="108"/>
      <c r="BT39" s="108"/>
    </row>
    <row r="40" spans="1:74" x14ac:dyDescent="0.25">
      <c r="A40" s="125"/>
      <c r="B40" s="126" t="s">
        <v>200</v>
      </c>
      <c r="C40" s="127" t="s">
        <v>271</v>
      </c>
      <c r="D40" s="127"/>
      <c r="E40" s="127"/>
      <c r="F40" s="128" t="s">
        <v>272</v>
      </c>
      <c r="G40" s="128"/>
      <c r="H40" s="129"/>
      <c r="I40" s="130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29"/>
      <c r="W40" s="130"/>
      <c r="X40" s="129"/>
      <c r="Y40" s="129"/>
      <c r="Z40" s="129"/>
      <c r="AA40" s="129"/>
      <c r="AB40" s="129"/>
      <c r="AC40" s="129"/>
      <c r="AD40" s="129"/>
      <c r="AE40" s="129"/>
      <c r="AF40" s="129"/>
      <c r="AG40" s="129"/>
      <c r="AH40" s="129"/>
      <c r="AI40" s="129"/>
      <c r="AJ40" s="129"/>
      <c r="AK40" s="129"/>
      <c r="AL40" s="129"/>
      <c r="AM40" s="129"/>
      <c r="AN40" s="129"/>
      <c r="AO40" s="129"/>
      <c r="AP40" s="129"/>
      <c r="AQ40" s="129"/>
      <c r="AR40" s="129"/>
      <c r="AS40" s="129"/>
      <c r="AT40" s="130"/>
      <c r="AU40" s="129"/>
      <c r="AV40" s="129"/>
      <c r="AW40" s="129"/>
      <c r="AX40" s="129"/>
      <c r="AY40" s="129"/>
      <c r="AZ40" s="130"/>
      <c r="BA40" s="129"/>
      <c r="BB40" s="129"/>
      <c r="BC40" s="129"/>
      <c r="BD40" s="129"/>
      <c r="BE40" s="129"/>
      <c r="BF40" s="129"/>
      <c r="BG40" s="129"/>
      <c r="BH40" s="129"/>
      <c r="BI40" s="129"/>
      <c r="BJ40" s="129"/>
      <c r="BK40" s="129"/>
      <c r="BL40" s="129"/>
      <c r="BM40" s="129"/>
      <c r="BN40" s="129"/>
      <c r="BO40" s="130"/>
      <c r="BP40" s="129"/>
      <c r="BQ40" s="129"/>
      <c r="BR40" s="130"/>
      <c r="BS40" s="130"/>
      <c r="BT40" s="130"/>
    </row>
    <row r="41" spans="1:74" x14ac:dyDescent="0.25">
      <c r="A41" s="95" t="s">
        <v>273</v>
      </c>
      <c r="B41" s="95"/>
      <c r="C41" s="95"/>
      <c r="D41" s="95"/>
      <c r="E41" s="95"/>
      <c r="F41" s="96" t="s">
        <v>274</v>
      </c>
      <c r="G41" s="96"/>
      <c r="H41" s="97"/>
      <c r="I41" s="98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8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8"/>
      <c r="AU41" s="97"/>
      <c r="AV41" s="97"/>
      <c r="AW41" s="97"/>
      <c r="AX41" s="97"/>
      <c r="AY41" s="97"/>
      <c r="AZ41" s="98"/>
      <c r="BA41" s="97"/>
      <c r="BB41" s="97"/>
      <c r="BC41" s="97"/>
      <c r="BD41" s="97"/>
      <c r="BE41" s="97"/>
      <c r="BF41" s="97"/>
      <c r="BG41" s="97"/>
      <c r="BH41" s="97"/>
      <c r="BI41" s="97"/>
      <c r="BJ41" s="97"/>
      <c r="BK41" s="97"/>
      <c r="BL41" s="97"/>
      <c r="BM41" s="97"/>
      <c r="BN41" s="97"/>
      <c r="BO41" s="98"/>
      <c r="BP41" s="97"/>
      <c r="BQ41" s="97"/>
      <c r="BR41" s="98"/>
      <c r="BS41" s="98"/>
      <c r="BT41" s="98"/>
    </row>
    <row r="42" spans="1:74" x14ac:dyDescent="0.25"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  <c r="AD42" s="131"/>
      <c r="AE42" s="131"/>
      <c r="AF42" s="131"/>
      <c r="AG42" s="131"/>
      <c r="AH42" s="131"/>
      <c r="AI42" s="131"/>
      <c r="AJ42" s="131"/>
      <c r="AK42" s="131"/>
      <c r="AL42" s="131"/>
      <c r="AM42" s="131"/>
      <c r="AN42" s="131"/>
      <c r="AO42" s="131"/>
      <c r="AP42" s="131"/>
      <c r="AQ42" s="131"/>
      <c r="AR42" s="131"/>
      <c r="AS42" s="131"/>
      <c r="AT42" s="131"/>
      <c r="AU42" s="131"/>
      <c r="AV42" s="131"/>
      <c r="AW42" s="131"/>
      <c r="AX42" s="131"/>
      <c r="AY42" s="131"/>
      <c r="AZ42" s="131"/>
      <c r="BA42" s="131"/>
      <c r="BB42" s="131"/>
      <c r="BC42" s="131"/>
      <c r="BD42" s="131"/>
    </row>
    <row r="43" spans="1:74" x14ac:dyDescent="0.25">
      <c r="A43" s="95" t="s">
        <v>332</v>
      </c>
      <c r="B43" s="95"/>
      <c r="C43" s="95"/>
      <c r="D43" s="95"/>
      <c r="E43" s="95"/>
      <c r="F43" s="96"/>
      <c r="G43" s="96"/>
      <c r="H43" s="97"/>
      <c r="I43" s="98"/>
      <c r="J43" s="97"/>
      <c r="K43" s="132">
        <f>K38/1000*41.868</f>
        <v>0</v>
      </c>
      <c r="L43" s="132">
        <f>L38/1000*41.868</f>
        <v>0</v>
      </c>
      <c r="M43" s="132"/>
      <c r="N43" s="132">
        <f>N38/1000*41.868</f>
        <v>0</v>
      </c>
      <c r="O43" s="132"/>
      <c r="P43" s="132"/>
      <c r="Q43" s="132"/>
      <c r="R43" s="132"/>
      <c r="S43" s="132"/>
      <c r="T43" s="132"/>
      <c r="U43" s="132"/>
      <c r="V43" s="132"/>
      <c r="W43" s="133"/>
      <c r="X43" s="132"/>
      <c r="Y43" s="132"/>
      <c r="Z43" s="132"/>
      <c r="AA43" s="132"/>
      <c r="AB43" s="132"/>
      <c r="AC43" s="132"/>
      <c r="AD43" s="132"/>
      <c r="AE43" s="132">
        <f>AE38/1000*41.868</f>
        <v>0</v>
      </c>
      <c r="AF43" s="132">
        <f>AF38/1000*41.868</f>
        <v>0</v>
      </c>
      <c r="AG43" s="132"/>
      <c r="AH43" s="132"/>
      <c r="AI43" s="132"/>
      <c r="AJ43" s="132">
        <f>AJ38/1000*41.868</f>
        <v>0</v>
      </c>
      <c r="AK43" s="132"/>
      <c r="AL43" s="132">
        <f>AL38/1000*41.868</f>
        <v>11.974247999999999</v>
      </c>
      <c r="AM43" s="132"/>
      <c r="AN43" s="132"/>
      <c r="AO43" s="132"/>
      <c r="AP43" s="132"/>
      <c r="AQ43" s="132"/>
      <c r="AR43" s="132"/>
      <c r="AS43" s="132">
        <f>AS38/1000*41.868</f>
        <v>0</v>
      </c>
      <c r="AT43" s="133"/>
      <c r="AU43" s="132">
        <f>AU38/1000*41.868</f>
        <v>2.1352679999999999</v>
      </c>
      <c r="AV43" s="132"/>
      <c r="AW43" s="132"/>
      <c r="AX43" s="132"/>
      <c r="AY43" s="132"/>
      <c r="AZ43" s="133"/>
      <c r="BA43" s="132"/>
      <c r="BB43" s="132"/>
      <c r="BC43" s="132"/>
      <c r="BD43" s="132"/>
      <c r="BE43" s="132"/>
      <c r="BF43" s="132">
        <f>BF38/1000*41.868</f>
        <v>7.1999999999999995E-2</v>
      </c>
      <c r="BG43" s="132"/>
      <c r="BH43" s="132"/>
      <c r="BI43" s="132"/>
      <c r="BJ43" s="132"/>
      <c r="BK43" s="132"/>
      <c r="BL43" s="132"/>
      <c r="BM43" s="132"/>
      <c r="BN43" s="132"/>
      <c r="BO43" s="133"/>
      <c r="BP43" s="132"/>
      <c r="BQ43" s="132"/>
      <c r="BR43" s="133"/>
      <c r="BS43" s="133">
        <f>BS38/1000*41.868</f>
        <v>0</v>
      </c>
      <c r="BT43" s="133">
        <f>BT38/1000*41.868</f>
        <v>3.6843840000000001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AGR_BAL</vt:lpstr>
      <vt:lpstr>AGR_Techs</vt:lpstr>
      <vt:lpstr>AGR_Fuels</vt:lpstr>
      <vt:lpstr>Emissions_Table</vt:lpstr>
      <vt:lpstr>Commodities</vt:lpstr>
      <vt:lpstr>General</vt:lpstr>
      <vt:lpstr>En.Bal-Final_Energy</vt:lpstr>
      <vt:lpstr>BASE_YEAR</vt:lpstr>
      <vt:lpstr>END_YEAR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Rocco De Miglio</cp:lastModifiedBy>
  <cp:lastPrinted>2018-03-26T08:56:47Z</cp:lastPrinted>
  <dcterms:created xsi:type="dcterms:W3CDTF">2000-12-13T15:53:11Z</dcterms:created>
  <dcterms:modified xsi:type="dcterms:W3CDTF">2022-09-23T15:57:04Z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882366359233856</vt:r8>
  </property>
</Properties>
</file>