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14B5A6C3-849A-4C2F-86D6-1C6C2AD14C5D}" xr6:coauthVersionLast="47" xr6:coauthVersionMax="47" xr10:uidLastSave="{00000000-0000-0000-0000-000000000000}"/>
  <bookViews>
    <workbookView xWindow="372" yWindow="0" windowWidth="22668" windowHeight="12240" tabRatio="552" activeTab="8" xr2:uid="{00000000-000D-0000-FFFF-FFFF00000000}"/>
  </bookViews>
  <sheets>
    <sheet name="IMP_EXP" sheetId="153" r:id="rId1"/>
    <sheet name="HET_Plants" sheetId="155" r:id="rId2"/>
    <sheet name="ELE_PPs" sheetId="141" r:id="rId3"/>
    <sheet name="ELE_Data" sheetId="154" r:id="rId4"/>
    <sheet name="En.Bal-Primary-Transf." sheetId="142" state="hidden" r:id="rId5"/>
    <sheet name="Commodities" sheetId="144" r:id="rId6"/>
    <sheet name="ELE_Fuel" sheetId="146" r:id="rId7"/>
    <sheet name="HET_Fuel" sheetId="156" r:id="rId8"/>
    <sheet name="Emissions_Table" sheetId="126" r:id="rId9"/>
    <sheet name="General" sheetId="136" state="hidden" r:id="rId10"/>
  </sheets>
  <definedNames>
    <definedName name="_xlnm._FilterDatabase" localSheetId="2" hidden="1">ELE_PPs!$B$9:$V$28</definedName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141" l="1"/>
  <c r="L41" i="141"/>
  <c r="L11" i="141"/>
  <c r="F64" i="156"/>
  <c r="F62" i="156"/>
  <c r="F60" i="156"/>
  <c r="F58" i="156"/>
  <c r="F56" i="156"/>
  <c r="F54" i="156"/>
  <c r="E57" i="146"/>
  <c r="K13" i="153" l="1"/>
  <c r="C58" i="154" l="1"/>
  <c r="E45" i="141"/>
  <c r="P71" i="154"/>
  <c r="E16" i="141"/>
  <c r="O54" i="146"/>
  <c r="BX46" i="142"/>
  <c r="BW46" i="142"/>
  <c r="H70" i="154"/>
  <c r="BX49" i="142"/>
  <c r="BX48" i="142" s="1"/>
  <c r="D7" i="154"/>
  <c r="U10" i="154"/>
  <c r="J10" i="154" s="1"/>
  <c r="I10" i="154"/>
  <c r="Q10" i="154"/>
  <c r="O10" i="154" l="1"/>
  <c r="N10" i="154"/>
  <c r="M10" i="154"/>
  <c r="P10" i="154"/>
  <c r="T10" i="154"/>
  <c r="L10" i="154"/>
  <c r="S10" i="154"/>
  <c r="K10" i="154"/>
  <c r="R10" i="154"/>
  <c r="AZ49" i="142"/>
  <c r="AT33" i="142" l="1"/>
  <c r="AT22" i="142"/>
  <c r="AT21" i="142"/>
  <c r="N8" i="141" l="1"/>
  <c r="M8" i="141"/>
  <c r="L8" i="141"/>
  <c r="P70" i="154" l="1"/>
  <c r="G47" i="154" l="1"/>
  <c r="H47" i="154" s="1"/>
  <c r="I47" i="154" s="1"/>
  <c r="K47" i="154" s="1"/>
  <c r="G46" i="154"/>
  <c r="H46" i="154" s="1"/>
  <c r="G45" i="154"/>
  <c r="H45" i="154" s="1"/>
  <c r="B47" i="154"/>
  <c r="I46" i="154" l="1"/>
  <c r="K46" i="154" s="1"/>
  <c r="J47" i="154"/>
  <c r="I45" i="154"/>
  <c r="J45" i="154" s="1"/>
  <c r="J81" i="154" l="1"/>
  <c r="J46" i="154"/>
  <c r="C40" i="154"/>
  <c r="H74" i="154" l="1"/>
  <c r="E49" i="156" l="1"/>
  <c r="G64" i="156" l="1"/>
  <c r="G62" i="156"/>
  <c r="G60" i="156"/>
  <c r="G58" i="156"/>
  <c r="G56" i="156"/>
  <c r="G54" i="156"/>
  <c r="G46" i="156"/>
  <c r="G44" i="156"/>
  <c r="G42" i="156"/>
  <c r="G40" i="156"/>
  <c r="G38" i="156"/>
  <c r="G36" i="156"/>
  <c r="C48" i="156"/>
  <c r="M7" i="126" l="1"/>
  <c r="M6" i="126"/>
  <c r="M5" i="126"/>
  <c r="C3" i="126"/>
  <c r="C7" i="126"/>
  <c r="C6" i="126"/>
  <c r="AF34" i="154" l="1"/>
  <c r="AF35" i="154" s="1"/>
  <c r="AQ24" i="154"/>
  <c r="AP24" i="154"/>
  <c r="AP25" i="154" s="1"/>
  <c r="AO24" i="154"/>
  <c r="AL24" i="154"/>
  <c r="AL25" i="154" s="1"/>
  <c r="AK24" i="154"/>
  <c r="AK25" i="154" s="1"/>
  <c r="AJ24" i="154"/>
  <c r="AJ25" i="154" s="1"/>
  <c r="AI24" i="154"/>
  <c r="AI25" i="154" s="1"/>
  <c r="AH24" i="154"/>
  <c r="AH25" i="154" s="1"/>
  <c r="AG24" i="154"/>
  <c r="AI28" i="154"/>
  <c r="AH28" i="154"/>
  <c r="AG28" i="154"/>
  <c r="AF28" i="154"/>
  <c r="L28" i="154"/>
  <c r="K28" i="154"/>
  <c r="J28" i="154"/>
  <c r="I28" i="154"/>
  <c r="AG16" i="154"/>
  <c r="AG25" i="154"/>
  <c r="AQ25" i="154"/>
  <c r="AO25" i="154"/>
  <c r="AR10" i="154"/>
  <c r="AS11" i="154" l="1"/>
  <c r="AS10" i="154"/>
  <c r="AR24" i="154"/>
  <c r="AG34" i="154"/>
  <c r="AG35" i="154" s="1"/>
  <c r="AM24" i="154"/>
  <c r="AM25" i="154" s="1"/>
  <c r="AH34" i="154"/>
  <c r="AH35" i="154" s="1"/>
  <c r="AF24" i="154"/>
  <c r="AF25" i="154" s="1"/>
  <c r="AN24" i="154"/>
  <c r="AN25" i="154" s="1"/>
  <c r="AI34" i="154"/>
  <c r="AI35" i="154" s="1"/>
  <c r="AR25" i="154"/>
  <c r="N15" i="153" l="1"/>
  <c r="J13" i="153"/>
  <c r="L13" i="153" s="1"/>
  <c r="J10" i="153"/>
  <c r="L10" i="153" s="1"/>
  <c r="R7" i="126" l="1"/>
  <c r="P7" i="126"/>
  <c r="O7" i="126"/>
  <c r="N7" i="126"/>
  <c r="R6" i="126"/>
  <c r="P6" i="126"/>
  <c r="O6" i="126"/>
  <c r="N6" i="126"/>
  <c r="L7" i="126"/>
  <c r="K7" i="126"/>
  <c r="J7" i="126"/>
  <c r="I7" i="126"/>
  <c r="H7" i="126"/>
  <c r="G7" i="126"/>
  <c r="F7" i="126"/>
  <c r="E7" i="126"/>
  <c r="D7" i="126"/>
  <c r="L6" i="126"/>
  <c r="K6" i="126"/>
  <c r="J6" i="126"/>
  <c r="I6" i="126"/>
  <c r="H6" i="126"/>
  <c r="G6" i="126"/>
  <c r="F6" i="126"/>
  <c r="E6" i="126"/>
  <c r="D6" i="126"/>
  <c r="J67" i="154" l="1"/>
  <c r="I67" i="154"/>
  <c r="H67" i="154"/>
  <c r="J70" i="154" l="1"/>
  <c r="I70" i="154"/>
  <c r="C57" i="154"/>
  <c r="J74" i="154" l="1"/>
  <c r="F55" i="146"/>
  <c r="F52" i="146"/>
  <c r="F49" i="146"/>
  <c r="O55" i="146" s="1"/>
  <c r="C64" i="156" l="1"/>
  <c r="C62" i="156"/>
  <c r="C60" i="156"/>
  <c r="C58" i="156"/>
  <c r="C56" i="156"/>
  <c r="C54" i="156"/>
  <c r="O31" i="156"/>
  <c r="B64" i="156" s="1"/>
  <c r="O30" i="156"/>
  <c r="B62" i="156" s="1"/>
  <c r="O29" i="156"/>
  <c r="B60" i="156" s="1"/>
  <c r="O28" i="156"/>
  <c r="B58" i="156" s="1"/>
  <c r="O27" i="156"/>
  <c r="B56" i="156" s="1"/>
  <c r="O26" i="156"/>
  <c r="B54" i="156" s="1"/>
  <c r="C46" i="156"/>
  <c r="C44" i="156"/>
  <c r="C42" i="156"/>
  <c r="O22" i="156"/>
  <c r="B46" i="156" s="1"/>
  <c r="O21" i="156"/>
  <c r="B44" i="156" s="1"/>
  <c r="O20" i="156"/>
  <c r="F11" i="156" l="1"/>
  <c r="E10" i="156"/>
  <c r="C40" i="156"/>
  <c r="C38" i="156"/>
  <c r="O19" i="156"/>
  <c r="B40" i="156" s="1"/>
  <c r="O18" i="156"/>
  <c r="B38" i="156" s="1"/>
  <c r="O17" i="156"/>
  <c r="D10" i="156" l="1"/>
  <c r="D12" i="156"/>
  <c r="F17" i="156"/>
  <c r="E16" i="156"/>
  <c r="E12" i="156"/>
  <c r="D16" i="156"/>
  <c r="K63" i="154" l="1"/>
  <c r="G63" i="154" s="1"/>
  <c r="I63" i="154" s="1"/>
  <c r="C63" i="154" s="1"/>
  <c r="I13" i="155" s="1"/>
  <c r="K62" i="154"/>
  <c r="I45" i="141"/>
  <c r="I41" i="141"/>
  <c r="K61" i="154"/>
  <c r="E53" i="154" l="1"/>
  <c r="B53" i="154"/>
  <c r="G53" i="154" l="1"/>
  <c r="H53" i="154" s="1"/>
  <c r="J80" i="154" s="1"/>
  <c r="N12" i="153"/>
  <c r="E3" i="126" l="1"/>
  <c r="F3" i="126"/>
  <c r="D3" i="126"/>
  <c r="H15" i="153" l="1"/>
  <c r="H14" i="153"/>
  <c r="H13" i="153"/>
  <c r="D14" i="153"/>
  <c r="D15" i="153" s="1"/>
  <c r="D13" i="153"/>
  <c r="C15" i="153"/>
  <c r="C14" i="153"/>
  <c r="C13" i="153"/>
  <c r="B15" i="153"/>
  <c r="B14" i="153"/>
  <c r="B13" i="153"/>
  <c r="R15" i="153"/>
  <c r="R14" i="153"/>
  <c r="R13" i="153"/>
  <c r="J13" i="155" l="1"/>
  <c r="AD18" i="141"/>
  <c r="AC18" i="141"/>
  <c r="J7" i="155" l="1"/>
  <c r="L7" i="155" s="1"/>
  <c r="J10" i="155"/>
  <c r="G43" i="154" l="1"/>
  <c r="G44" i="154"/>
  <c r="G52" i="154"/>
  <c r="G51" i="154"/>
  <c r="H51" i="154" s="1"/>
  <c r="G42" i="154"/>
  <c r="H52" i="154" l="1"/>
  <c r="O71" i="154"/>
  <c r="H44" i="154"/>
  <c r="I44" i="154" s="1"/>
  <c r="K44" i="154" s="1"/>
  <c r="O70" i="154"/>
  <c r="G61" i="154"/>
  <c r="I61" i="154" s="1"/>
  <c r="C61" i="154" s="1"/>
  <c r="I7" i="155" s="1"/>
  <c r="G62" i="154"/>
  <c r="I62" i="154" s="1"/>
  <c r="C62" i="154" s="1"/>
  <c r="I10" i="155" s="1"/>
  <c r="H43" i="154"/>
  <c r="H42" i="154"/>
  <c r="D38" i="146"/>
  <c r="E39" i="146" s="1"/>
  <c r="D36" i="146"/>
  <c r="E37" i="146" s="1"/>
  <c r="D34" i="146"/>
  <c r="E35" i="146" s="1"/>
  <c r="F9" i="144"/>
  <c r="C38" i="146"/>
  <c r="C36" i="146"/>
  <c r="C34" i="146"/>
  <c r="R23" i="146"/>
  <c r="Q23" i="146"/>
  <c r="R22" i="146"/>
  <c r="Q22" i="146"/>
  <c r="R21" i="146"/>
  <c r="Q21" i="146"/>
  <c r="O23" i="146"/>
  <c r="B38" i="146" s="1"/>
  <c r="O22" i="146"/>
  <c r="B36" i="146" s="1"/>
  <c r="O21" i="146"/>
  <c r="B34" i="146" s="1"/>
  <c r="O11" i="156"/>
  <c r="C12" i="156" s="1"/>
  <c r="J16" i="154"/>
  <c r="H13" i="155"/>
  <c r="H10" i="155"/>
  <c r="H7" i="155"/>
  <c r="V9" i="155"/>
  <c r="W9" i="155"/>
  <c r="V8" i="155"/>
  <c r="W7" i="155"/>
  <c r="V7" i="155"/>
  <c r="B20" i="155"/>
  <c r="B19" i="155"/>
  <c r="B18" i="155"/>
  <c r="B17" i="155"/>
  <c r="B16" i="155"/>
  <c r="E13" i="155"/>
  <c r="E7" i="155"/>
  <c r="E10" i="155"/>
  <c r="I74" i="141"/>
  <c r="K45" i="141"/>
  <c r="M45" i="141" s="1"/>
  <c r="K41" i="141"/>
  <c r="M41" i="141" s="1"/>
  <c r="H45" i="141"/>
  <c r="H41" i="141"/>
  <c r="D14" i="141"/>
  <c r="D19" i="141" s="1"/>
  <c r="D24" i="141" s="1"/>
  <c r="K26" i="141"/>
  <c r="M26" i="141" s="1"/>
  <c r="K21" i="141"/>
  <c r="L21" i="141" s="1"/>
  <c r="K16" i="141"/>
  <c r="L16" i="141" s="1"/>
  <c r="K11" i="141"/>
  <c r="E26" i="141"/>
  <c r="AA15" i="141" s="1"/>
  <c r="E21" i="141"/>
  <c r="AA14" i="141" s="1"/>
  <c r="AA13" i="141"/>
  <c r="F54" i="144"/>
  <c r="F53" i="144"/>
  <c r="AS9" i="154" l="1"/>
  <c r="AS8" i="154"/>
  <c r="AS7" i="154"/>
  <c r="U24" i="154"/>
  <c r="M24" i="154"/>
  <c r="P24" i="154"/>
  <c r="I34" i="154"/>
  <c r="T24" i="154"/>
  <c r="L24" i="154"/>
  <c r="V10" i="154"/>
  <c r="S24" i="154"/>
  <c r="K24" i="154"/>
  <c r="I24" i="154"/>
  <c r="N24" i="154"/>
  <c r="R24" i="154"/>
  <c r="J24" i="154"/>
  <c r="Q24" i="154"/>
  <c r="O24" i="154"/>
  <c r="L34" i="154"/>
  <c r="K34" i="154"/>
  <c r="J34" i="154"/>
  <c r="J68" i="154"/>
  <c r="J44" i="154"/>
  <c r="I43" i="154"/>
  <c r="I42" i="154"/>
  <c r="K42" i="154" s="1"/>
  <c r="N45" i="141"/>
  <c r="N41" i="141"/>
  <c r="AA20" i="141"/>
  <c r="D42" i="141"/>
  <c r="D46" i="141" s="1"/>
  <c r="D29" i="141"/>
  <c r="L26" i="141"/>
  <c r="N26" i="141" s="1"/>
  <c r="H26" i="141"/>
  <c r="H21" i="141"/>
  <c r="H16" i="141"/>
  <c r="H11" i="141"/>
  <c r="I26" i="141"/>
  <c r="I21" i="141"/>
  <c r="I16" i="141"/>
  <c r="I11" i="141"/>
  <c r="J43" i="154" l="1"/>
  <c r="K43" i="154"/>
  <c r="J42" i="154"/>
  <c r="J77" i="154"/>
  <c r="I68" i="154"/>
  <c r="B45" i="141"/>
  <c r="AB20" i="141"/>
  <c r="C45" i="141" s="1"/>
  <c r="F48" i="141"/>
  <c r="F44" i="141"/>
  <c r="E41" i="141"/>
  <c r="AA19" i="141" s="1"/>
  <c r="F69" i="144"/>
  <c r="F72" i="144"/>
  <c r="D53" i="146"/>
  <c r="C53" i="146"/>
  <c r="B53" i="146"/>
  <c r="B50" i="146"/>
  <c r="B47" i="146"/>
  <c r="AC64" i="141"/>
  <c r="AC63" i="141"/>
  <c r="AC62" i="141"/>
  <c r="AB15" i="141"/>
  <c r="R12" i="153"/>
  <c r="R11" i="153"/>
  <c r="R10" i="153"/>
  <c r="B41" i="141" l="1"/>
  <c r="AB19" i="141"/>
  <c r="C41" i="141" s="1"/>
  <c r="B21" i="155"/>
  <c r="F92" i="141" l="1"/>
  <c r="E63" i="141" l="1"/>
  <c r="D62" i="141"/>
  <c r="AA18" i="141"/>
  <c r="B62" i="141" l="1"/>
  <c r="AB18" i="141"/>
  <c r="C62" i="141" s="1"/>
  <c r="K4" i="155" l="1"/>
  <c r="J4" i="155"/>
  <c r="P26" i="141" l="1"/>
  <c r="R26" i="141" l="1"/>
  <c r="R41" i="141" s="1"/>
  <c r="R45" i="141" s="1"/>
  <c r="R21" i="141"/>
  <c r="R16" i="141"/>
  <c r="M11" i="141" l="1"/>
  <c r="M21" i="141" l="1"/>
  <c r="M16" i="141"/>
  <c r="F28" i="141" l="1"/>
  <c r="D15" i="155" l="1"/>
  <c r="D14" i="155"/>
  <c r="F13" i="155"/>
  <c r="D12" i="155"/>
  <c r="D11" i="155"/>
  <c r="F10" i="155"/>
  <c r="D9" i="155"/>
  <c r="D8" i="155"/>
  <c r="F7" i="155" l="1"/>
  <c r="W8" i="155"/>
  <c r="C10" i="155" s="1"/>
  <c r="C13" i="155"/>
  <c r="C7" i="155"/>
  <c r="B13" i="155"/>
  <c r="B10" i="155"/>
  <c r="B7" i="155"/>
  <c r="C36" i="156"/>
  <c r="C50" i="156"/>
  <c r="C52" i="156"/>
  <c r="O25" i="156"/>
  <c r="B52" i="156" s="1"/>
  <c r="O24" i="156"/>
  <c r="B50" i="156" s="1"/>
  <c r="O23" i="156"/>
  <c r="B48" i="156" s="1"/>
  <c r="B42" i="156"/>
  <c r="B36" i="156"/>
  <c r="E53" i="156"/>
  <c r="E51" i="156"/>
  <c r="E43" i="156"/>
  <c r="E37" i="156"/>
  <c r="D52" i="156"/>
  <c r="D36" i="156"/>
  <c r="D42" i="156"/>
  <c r="D44" i="156" s="1"/>
  <c r="D46" i="156" s="1"/>
  <c r="D48" i="156" s="1"/>
  <c r="D50" i="156"/>
  <c r="D38" i="156" l="1"/>
  <c r="D40" i="156" s="1"/>
  <c r="D54" i="156"/>
  <c r="D56" i="156" s="1"/>
  <c r="D58" i="156" s="1"/>
  <c r="D60" i="156" s="1"/>
  <c r="D62" i="156" s="1"/>
  <c r="D64" i="156" s="1"/>
  <c r="E61" i="156"/>
  <c r="E45" i="156"/>
  <c r="E39" i="156"/>
  <c r="E41" i="156" s="1"/>
  <c r="E55" i="156"/>
  <c r="E57" i="156" s="1"/>
  <c r="E59" i="156" s="1"/>
  <c r="F13" i="156"/>
  <c r="E14" i="156"/>
  <c r="F15" i="156" s="1"/>
  <c r="O15" i="156"/>
  <c r="O14" i="156"/>
  <c r="O13" i="156"/>
  <c r="C10" i="156" s="1"/>
  <c r="O12" i="156"/>
  <c r="C14" i="156" s="1"/>
  <c r="O10" i="156"/>
  <c r="C16" i="156" s="1"/>
  <c r="O9" i="156"/>
  <c r="D14" i="156"/>
  <c r="X8" i="155"/>
  <c r="X9" i="155" s="1"/>
  <c r="Y8" i="155"/>
  <c r="Y9" i="155" s="1"/>
  <c r="E63" i="156" l="1"/>
  <c r="E47" i="156"/>
  <c r="E65" i="156" s="1"/>
  <c r="L71" i="141"/>
  <c r="M73" i="141"/>
  <c r="N73" i="141"/>
  <c r="B74" i="141"/>
  <c r="C74" i="141"/>
  <c r="E74" i="141"/>
  <c r="F74" i="141"/>
  <c r="K86" i="141"/>
  <c r="L88" i="141"/>
  <c r="M88" i="141"/>
  <c r="B89" i="141"/>
  <c r="C89" i="141"/>
  <c r="E89" i="141"/>
  <c r="H89" i="141"/>
  <c r="B91" i="141"/>
  <c r="C91" i="141"/>
  <c r="E91" i="141"/>
  <c r="H91" i="141"/>
  <c r="D30" i="141" l="1"/>
  <c r="D43" i="141" s="1"/>
  <c r="D47" i="141" s="1"/>
  <c r="F27" i="141"/>
  <c r="C26" i="141"/>
  <c r="O56" i="146" l="1"/>
  <c r="D25" i="141" l="1"/>
  <c r="F23" i="141"/>
  <c r="F22" i="141"/>
  <c r="D20" i="141"/>
  <c r="F18" i="141"/>
  <c r="F17" i="141"/>
  <c r="F13" i="141"/>
  <c r="E11" i="141"/>
  <c r="AB14" i="141" s="1"/>
  <c r="N21" i="141"/>
  <c r="N11" i="141"/>
  <c r="N16" i="141"/>
  <c r="P56" i="146" l="1"/>
  <c r="F52" i="156"/>
  <c r="J35" i="154" l="1"/>
  <c r="P74" i="141" s="1"/>
  <c r="I35" i="154"/>
  <c r="R74" i="141" s="1"/>
  <c r="L35" i="154"/>
  <c r="O74" i="141" s="1"/>
  <c r="K35" i="154"/>
  <c r="Q74" i="141" s="1"/>
  <c r="V11" i="154"/>
  <c r="V8" i="154"/>
  <c r="Q25" i="154" l="1"/>
  <c r="K25" i="154"/>
  <c r="V7" i="154"/>
  <c r="P25" i="154"/>
  <c r="S25" i="154"/>
  <c r="V9" i="154"/>
  <c r="L25" i="154"/>
  <c r="R25" i="154"/>
  <c r="J25" i="154"/>
  <c r="N25" i="154"/>
  <c r="M25" i="154"/>
  <c r="T25" i="154"/>
  <c r="O25" i="154"/>
  <c r="I25" i="154"/>
  <c r="U25" i="154" l="1"/>
  <c r="O57" i="146" l="1"/>
  <c r="P57" i="146" s="1"/>
  <c r="P55" i="146"/>
  <c r="L74" i="141"/>
  <c r="K74" i="141" l="1"/>
  <c r="H57" i="154"/>
  <c r="G5" i="126"/>
  <c r="H68" i="154" l="1"/>
  <c r="J78" i="154"/>
  <c r="D14" i="146"/>
  <c r="E15" i="146" s="1"/>
  <c r="D15" i="141" l="1"/>
  <c r="I46" i="146"/>
  <c r="J46" i="146"/>
  <c r="F73" i="144"/>
  <c r="F71" i="144"/>
  <c r="C50" i="146"/>
  <c r="C47" i="146"/>
  <c r="C22" i="146"/>
  <c r="C20" i="146"/>
  <c r="C18" i="146"/>
  <c r="C16" i="146"/>
  <c r="C14" i="146"/>
  <c r="C12" i="146"/>
  <c r="C10" i="146"/>
  <c r="C32" i="146"/>
  <c r="C30" i="146"/>
  <c r="C28" i="146"/>
  <c r="C26" i="146"/>
  <c r="C24" i="146"/>
  <c r="D32" i="146"/>
  <c r="E33" i="146" s="1"/>
  <c r="D30" i="146"/>
  <c r="E31" i="146" s="1"/>
  <c r="B11" i="153"/>
  <c r="B12" i="153"/>
  <c r="B10" i="153"/>
  <c r="C11" i="153"/>
  <c r="C12" i="153"/>
  <c r="O20" i="146"/>
  <c r="B32" i="146" s="1"/>
  <c r="Q20" i="146"/>
  <c r="R20" i="146"/>
  <c r="O19" i="146"/>
  <c r="B30" i="146" s="1"/>
  <c r="Q19" i="146"/>
  <c r="R19" i="146"/>
  <c r="O18" i="146"/>
  <c r="B28" i="146" s="1"/>
  <c r="C21" i="141"/>
  <c r="F70" i="144"/>
  <c r="F79" i="144"/>
  <c r="F78" i="144"/>
  <c r="F77" i="144"/>
  <c r="F76" i="144"/>
  <c r="F75" i="144"/>
  <c r="F74" i="144"/>
  <c r="F68" i="144"/>
  <c r="F67" i="144"/>
  <c r="F66" i="144"/>
  <c r="F65" i="144"/>
  <c r="F64" i="144"/>
  <c r="F63" i="144"/>
  <c r="F62" i="144"/>
  <c r="F61" i="144"/>
  <c r="F60" i="144"/>
  <c r="F59" i="144"/>
  <c r="F58" i="144"/>
  <c r="F57" i="144"/>
  <c r="F56" i="144"/>
  <c r="F55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40" i="144"/>
  <c r="F39" i="144"/>
  <c r="F38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4" i="144"/>
  <c r="F13" i="144"/>
  <c r="F12" i="144"/>
  <c r="F11" i="144"/>
  <c r="F10" i="144"/>
  <c r="F8" i="144"/>
  <c r="F12" i="141"/>
  <c r="O10" i="141"/>
  <c r="P10" i="141"/>
  <c r="L3" i="126"/>
  <c r="K3" i="126"/>
  <c r="J3" i="126"/>
  <c r="I3" i="126"/>
  <c r="H3" i="126"/>
  <c r="G3" i="126"/>
  <c r="B6" i="126"/>
  <c r="B7" i="126"/>
  <c r="B5" i="126"/>
  <c r="D26" i="146"/>
  <c r="E27" i="146" s="1"/>
  <c r="D24" i="146"/>
  <c r="E25" i="146" s="1"/>
  <c r="D22" i="146"/>
  <c r="E23" i="146" s="1"/>
  <c r="D20" i="146"/>
  <c r="E21" i="146" s="1"/>
  <c r="D18" i="146"/>
  <c r="E19" i="146" s="1"/>
  <c r="D16" i="146"/>
  <c r="E17" i="146" s="1"/>
  <c r="D12" i="146"/>
  <c r="D10" i="146"/>
  <c r="E11" i="146" s="1"/>
  <c r="D28" i="146"/>
  <c r="E29" i="146" s="1"/>
  <c r="Q17" i="146"/>
  <c r="R17" i="146"/>
  <c r="Q18" i="146"/>
  <c r="R18" i="146"/>
  <c r="O17" i="146"/>
  <c r="B26" i="146" s="1"/>
  <c r="O16" i="146"/>
  <c r="B24" i="146" s="1"/>
  <c r="O15" i="146"/>
  <c r="B22" i="146" s="1"/>
  <c r="O14" i="146"/>
  <c r="B20" i="146" s="1"/>
  <c r="O13" i="146"/>
  <c r="B18" i="146" s="1"/>
  <c r="O12" i="146"/>
  <c r="B16" i="146" s="1"/>
  <c r="O11" i="146"/>
  <c r="B14" i="146" s="1"/>
  <c r="O10" i="146"/>
  <c r="B12" i="146" s="1"/>
  <c r="O9" i="146"/>
  <c r="B10" i="146" s="1"/>
  <c r="G9" i="146"/>
  <c r="Q14" i="146"/>
  <c r="R14" i="146"/>
  <c r="Q15" i="146"/>
  <c r="R15" i="146"/>
  <c r="Q16" i="146"/>
  <c r="R16" i="146"/>
  <c r="R13" i="146"/>
  <c r="Q13" i="146"/>
  <c r="R12" i="146"/>
  <c r="Q12" i="146"/>
  <c r="R11" i="146"/>
  <c r="Q11" i="146"/>
  <c r="R10" i="146"/>
  <c r="Q10" i="146"/>
  <c r="R9" i="146"/>
  <c r="Q9" i="146"/>
  <c r="H9" i="146"/>
  <c r="F7" i="144"/>
  <c r="E13" i="146" l="1"/>
  <c r="C10" i="153"/>
  <c r="D2" i="144" l="1"/>
  <c r="AB13" i="141" l="1"/>
  <c r="C16" i="141" s="1"/>
  <c r="AA12" i="141"/>
  <c r="B11" i="141" l="1"/>
  <c r="AB12" i="141"/>
  <c r="C11" i="141" s="1"/>
  <c r="G20" i="141" l="1"/>
  <c r="G25" i="141" s="1"/>
  <c r="G30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8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Z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Filippos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10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10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10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11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9" authorId="0" shapeId="0" xr:uid="{856C40A6-D173-4E68-8CB6-71F0CF9488B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F60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0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0" authorId="0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61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B61" authorId="2" shapeId="0" xr:uid="{00000000-0006-0000-0200-00000B000000}">
      <text>
        <r>
          <rPr>
            <b/>
            <sz val="9"/>
            <color indexed="81"/>
            <rFont val="Tahoma"/>
            <family val="2"/>
            <charset val="161"/>
          </rPr>
          <t>Filippos:</t>
        </r>
        <r>
          <rPr>
            <sz val="9"/>
            <color indexed="81"/>
            <rFont val="Tahoma"/>
            <family val="2"/>
            <charset val="161"/>
          </rPr>
          <t xml:space="preserve">
LR for Large Run of River,
LL for Large with Reservoir.</t>
        </r>
      </text>
    </comment>
    <comment ref="C71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6" authorId="0" shapeId="0" xr:uid="{00000000-0006-0000-02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7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3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I5" authorId="0" shapeId="0" xr:uid="{60405A78-8EF8-4766-857D-D46AF8EADB0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  <comment ref="R5" authorId="0" shapeId="0" xr:uid="{7687CF36-7A2C-48CF-9A36-5FF11A15D43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</commentList>
</comments>
</file>

<file path=xl/sharedStrings.xml><?xml version="1.0" encoding="utf-8"?>
<sst xmlns="http://schemas.openxmlformats.org/spreadsheetml/2006/main" count="1686" uniqueCount="824">
  <si>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</si>
  <si>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</si>
  <si>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</si>
  <si>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</si>
  <si>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</si>
  <si>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</si>
  <si>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</si>
  <si>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</si>
  <si>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</si>
  <si>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</si>
  <si>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</si>
  <si>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</si>
  <si>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</si>
  <si>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</si>
  <si>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</si>
  <si>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</si>
  <si>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</si>
  <si>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</si>
  <si>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</si>
  <si>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</si>
  <si>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</si>
  <si>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</si>
  <si>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</si>
  <si>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</si>
  <si>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</si>
  <si>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</si>
  <si>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</si>
  <si>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</si>
  <si>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</si>
  <si>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</si>
  <si>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</si>
  <si>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</si>
  <si>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</si>
  <si>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</si>
  <si>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</si>
  <si>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</si>
  <si>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</si>
  <si>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</si>
  <si>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</si>
  <si>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</si>
  <si>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</si>
  <si>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</si>
  <si>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</si>
  <si>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</si>
  <si>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</si>
  <si>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COST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</si>
  <si>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</si>
  <si>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</si>
  <si>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</si>
  <si>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</si>
  <si>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</si>
  <si>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</si>
  <si>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NRG</t>
  </si>
  <si>
    <t>Anthracite</t>
  </si>
  <si>
    <t>Diesel</t>
  </si>
  <si>
    <t>Gasoline</t>
  </si>
  <si>
    <t>Kerosene</t>
  </si>
  <si>
    <t>LPG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</si>
  <si>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</si>
  <si>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</si>
  <si>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</si>
  <si>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</si>
  <si>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</si>
  <si>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</si>
  <si>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</si>
  <si>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</si>
  <si>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</si>
  <si>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</si>
  <si>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Waste cooking oils</t>
  </si>
  <si>
    <t>Nuclear Fuel</t>
  </si>
  <si>
    <t>ELC</t>
  </si>
  <si>
    <t>PJ</t>
  </si>
  <si>
    <t>Other bituminous coal</t>
  </si>
  <si>
    <t>Coke oven coke</t>
  </si>
  <si>
    <t>Coal tar</t>
  </si>
  <si>
    <t>BKB</t>
  </si>
  <si>
    <t>Refinery gas</t>
  </si>
  <si>
    <t>Aviation Gasoline</t>
  </si>
  <si>
    <t>Liquified petroleum gas</t>
  </si>
  <si>
    <t>Petroleum Coke</t>
  </si>
  <si>
    <t>Bitumen</t>
  </si>
  <si>
    <t>Lubricants</t>
  </si>
  <si>
    <t>Hydro Energy</t>
  </si>
  <si>
    <t>Solar Energy</t>
  </si>
  <si>
    <t>Wind Energy</t>
  </si>
  <si>
    <t>Geothermal Energy</t>
  </si>
  <si>
    <t>Electricity</t>
  </si>
  <si>
    <t>ENV</t>
  </si>
  <si>
    <t>Gg</t>
  </si>
  <si>
    <t>High Voltage electricity before Losses</t>
  </si>
  <si>
    <t>*Units</t>
  </si>
  <si>
    <t>Currency Unit</t>
  </si>
  <si>
    <t>Default Units</t>
  </si>
  <si>
    <t>Energy</t>
  </si>
  <si>
    <t>Emissions</t>
  </si>
  <si>
    <t>€/GJ</t>
  </si>
  <si>
    <t>Units</t>
  </si>
  <si>
    <t>Lignite / Brown Coal</t>
  </si>
  <si>
    <t>Exports</t>
  </si>
  <si>
    <t>IMP</t>
  </si>
  <si>
    <t>Import Price</t>
  </si>
  <si>
    <t>Import Upper Bound</t>
  </si>
  <si>
    <t>VDA_FLOP</t>
  </si>
  <si>
    <t>PRC_RESID</t>
  </si>
  <si>
    <t>* Definition of the Processes used in this worksheet</t>
  </si>
  <si>
    <t>kg/GJ</t>
  </si>
  <si>
    <t>Blast Furnaces</t>
  </si>
  <si>
    <t>Blast furnace gas</t>
  </si>
  <si>
    <t>NCAP_TLIFE</t>
  </si>
  <si>
    <t>Total all products</t>
  </si>
  <si>
    <t>Solid fuels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</si>
  <si>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</si>
  <si>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</si>
  <si>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</si>
  <si>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</si>
  <si>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</si>
  <si>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</si>
  <si>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</si>
  <si>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</si>
  <si>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</si>
  <si>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</si>
  <si>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</si>
  <si>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</si>
  <si>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</si>
  <si>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</si>
  <si>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</si>
  <si>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</si>
  <si>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</si>
  <si>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</si>
  <si>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</si>
  <si>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</si>
  <si>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</si>
  <si>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</si>
  <si>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</si>
  <si>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</si>
  <si>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</si>
  <si>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</si>
  <si>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</si>
  <si>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</si>
  <si>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</si>
  <si>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</si>
  <si>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</si>
  <si>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</si>
  <si>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</si>
  <si>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</si>
  <si>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</si>
  <si>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</si>
  <si>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</si>
  <si>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</si>
  <si>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</si>
  <si>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</si>
  <si>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</si>
  <si>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</si>
  <si>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</si>
  <si>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</si>
  <si>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</si>
  <si>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</si>
  <si>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</si>
  <si>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</si>
  <si>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</si>
  <si>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</si>
  <si>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</si>
  <si>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</si>
  <si>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</si>
  <si>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</si>
  <si>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</si>
  <si>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</si>
  <si>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</si>
  <si>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</si>
  <si>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Industrial Waste</t>
  </si>
  <si>
    <t>COABIC</t>
  </si>
  <si>
    <t>OILDSL</t>
  </si>
  <si>
    <t>OILGSL</t>
  </si>
  <si>
    <t>OILGSA</t>
  </si>
  <si>
    <t>OILLPG</t>
  </si>
  <si>
    <t>OILKER</t>
  </si>
  <si>
    <t>OILLUB</t>
  </si>
  <si>
    <t>OILOTH</t>
  </si>
  <si>
    <t>BIOLOG</t>
  </si>
  <si>
    <t>BIOWMU</t>
  </si>
  <si>
    <t>BIOWID</t>
  </si>
  <si>
    <t>BIOWAN</t>
  </si>
  <si>
    <t>BIOWCO</t>
  </si>
  <si>
    <t>BIOETH</t>
  </si>
  <si>
    <t>BIODSL</t>
  </si>
  <si>
    <t>BIOBGS</t>
  </si>
  <si>
    <t>BIOPLT</t>
  </si>
  <si>
    <t>BIOCHR</t>
  </si>
  <si>
    <t>RESHYD</t>
  </si>
  <si>
    <t>RESSOL</t>
  </si>
  <si>
    <t>RESWIN</t>
  </si>
  <si>
    <t>RESGEO</t>
  </si>
  <si>
    <t>NUCLFL</t>
  </si>
  <si>
    <t>SUPCOABIC</t>
  </si>
  <si>
    <t>Other bituminous coal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</si>
  <si>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</si>
  <si>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</si>
  <si>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</si>
  <si>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</si>
  <si>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</si>
  <si>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</si>
  <si>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</si>
  <si>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</si>
  <si>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</si>
  <si>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</si>
  <si>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SUPOILOTH</t>
  </si>
  <si>
    <t>Other petroleum products (SUP)</t>
  </si>
  <si>
    <t>SUPGASNAT</t>
  </si>
  <si>
    <t>Natural Gas (SUP)</t>
  </si>
  <si>
    <t>SUPBIOLOG</t>
  </si>
  <si>
    <t>Wood (SUP)</t>
  </si>
  <si>
    <t>SUPBIOETH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</si>
  <si>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</si>
  <si>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</si>
  <si>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</si>
  <si>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</si>
  <si>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</si>
  <si>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</si>
  <si>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</si>
  <si>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</si>
  <si>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</si>
  <si>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</si>
  <si>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</si>
  <si>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</si>
  <si>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</si>
  <si>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</si>
  <si>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</si>
  <si>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</si>
  <si>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</si>
  <si>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ELEOILDSL</t>
  </si>
  <si>
    <t>Diesel (ELE)</t>
  </si>
  <si>
    <t>ELEGASNAT</t>
  </si>
  <si>
    <t>Natural Gas (ELE)</t>
  </si>
  <si>
    <t>ELEBIOLOG</t>
  </si>
  <si>
    <t>Wood (ELE)</t>
  </si>
  <si>
    <t>ELEBIOWMU</t>
  </si>
  <si>
    <t>Municipal waste (ELE)</t>
  </si>
  <si>
    <t>ELEBIOWID</t>
  </si>
  <si>
    <t>Industrial Waste (ELE)</t>
  </si>
  <si>
    <t>ELEBIOBGS</t>
  </si>
  <si>
    <t>Biogas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</si>
  <si>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</si>
  <si>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</si>
  <si>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</si>
  <si>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</si>
  <si>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</si>
  <si>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</si>
  <si>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</si>
  <si>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</si>
  <si>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</si>
  <si>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</si>
  <si>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DAYNITE</t>
  </si>
  <si>
    <t>ELCHIGG</t>
  </si>
  <si>
    <t>SUPELC</t>
  </si>
  <si>
    <t>Electricity (SUP)</t>
  </si>
  <si>
    <t>INDELC</t>
  </si>
  <si>
    <t>Electricity (IND)</t>
  </si>
  <si>
    <t>RSDELC</t>
  </si>
  <si>
    <t>Electricity (RSD)</t>
  </si>
  <si>
    <t>AGRELC</t>
  </si>
  <si>
    <t>Electricity (AGR)</t>
  </si>
  <si>
    <t>TRAELC</t>
  </si>
  <si>
    <t>Electricity (TRA)</t>
  </si>
  <si>
    <t>ELECO2</t>
  </si>
  <si>
    <t>CO2 (ELE)</t>
  </si>
  <si>
    <t>ELECH4</t>
  </si>
  <si>
    <t>CH4 (ELE)</t>
  </si>
  <si>
    <t>ELEN2O</t>
  </si>
  <si>
    <t>N2O (ELE)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</si>
  <si>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</si>
  <si>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</si>
  <si>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</si>
  <si>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</si>
  <si>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</si>
  <si>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</si>
  <si>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</si>
  <si>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</si>
  <si>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</si>
  <si>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</si>
  <si>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</si>
  <si>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</si>
  <si>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</si>
  <si>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</si>
  <si>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</si>
  <si>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</si>
  <si>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</si>
  <si>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</si>
  <si>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</si>
  <si>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</si>
  <si>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</si>
  <si>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</si>
  <si>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</si>
  <si>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</si>
  <si>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</si>
  <si>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</si>
  <si>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</si>
  <si>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</si>
  <si>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</si>
  <si>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</si>
  <si>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</si>
  <si>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</si>
  <si>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</si>
  <si>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</si>
  <si>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</si>
  <si>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</si>
  <si>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</si>
  <si>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</si>
  <si>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</si>
  <si>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</si>
  <si>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</si>
  <si>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</si>
  <si>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</si>
  <si>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</si>
  <si>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</si>
  <si>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</si>
  <si>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</si>
  <si>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</si>
  <si>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</si>
  <si>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</si>
  <si>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</si>
  <si>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</si>
  <si>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</si>
  <si>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</si>
  <si>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</si>
  <si>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</si>
  <si>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</si>
  <si>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</si>
  <si>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</si>
  <si>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</si>
  <si>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</si>
  <si>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</si>
  <si>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</si>
  <si>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</si>
  <si>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</si>
  <si>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</si>
  <si>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</si>
  <si>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</si>
  <si>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</si>
  <si>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</si>
  <si>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</si>
  <si>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</si>
  <si>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</si>
  <si>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</si>
  <si>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</si>
  <si>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</si>
  <si>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</si>
  <si>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</si>
  <si>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</si>
  <si>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</si>
  <si>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</si>
  <si>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</si>
  <si>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</si>
  <si>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</si>
  <si>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</si>
  <si>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</si>
  <si>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</si>
  <si>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</si>
  <si>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</si>
  <si>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</si>
  <si>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</si>
  <si>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</si>
  <si>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</si>
  <si>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</si>
  <si>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</si>
  <si>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</si>
  <si>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</si>
  <si>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</si>
  <si>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</si>
  <si>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</si>
  <si>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</si>
  <si>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</si>
  <si>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</si>
  <si>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</si>
  <si>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</si>
  <si>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</si>
  <si>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</si>
  <si>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</si>
  <si>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</si>
  <si>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</si>
  <si>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</si>
  <si>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</si>
  <si>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</si>
  <si>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</si>
  <si>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</si>
  <si>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</si>
  <si>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</si>
  <si>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</si>
  <si>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</si>
  <si>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</si>
  <si>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</si>
  <si>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</si>
  <si>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</si>
  <si>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</si>
  <si>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</si>
  <si>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</si>
  <si>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</si>
  <si>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</si>
  <si>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</si>
  <si>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</si>
  <si>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</si>
  <si>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</si>
  <si>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</si>
  <si>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</si>
  <si>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</si>
  <si>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</si>
  <si>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</si>
  <si>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</si>
  <si>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</si>
  <si>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</si>
  <si>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</si>
  <si>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</si>
  <si>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</si>
  <si>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</si>
  <si>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</si>
  <si>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</si>
  <si>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</si>
  <si>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</si>
  <si>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</si>
  <si>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</si>
  <si>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</si>
  <si>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</si>
  <si>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</si>
  <si>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</si>
  <si>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</si>
  <si>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</si>
  <si>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</si>
  <si>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</si>
  <si>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</si>
  <si>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</si>
  <si>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</si>
  <si>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</si>
  <si>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</si>
  <si>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</si>
  <si>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</si>
  <si>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</si>
  <si>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</si>
  <si>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</si>
  <si>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</si>
  <si>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</si>
  <si>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</si>
  <si>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</si>
  <si>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</si>
  <si>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</si>
  <si>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</si>
  <si>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</si>
  <si>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</si>
  <si>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</si>
  <si>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</si>
  <si>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</si>
  <si>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</si>
  <si>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</si>
  <si>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</si>
  <si>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</si>
  <si>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</si>
  <si>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</si>
  <si>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</si>
  <si>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</si>
  <si>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</si>
  <si>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</si>
  <si>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</si>
  <si>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</si>
  <si>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</si>
  <si>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</si>
  <si>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</si>
  <si>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</si>
  <si>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</si>
  <si>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</si>
  <si>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</si>
  <si>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</si>
  <si>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</si>
  <si>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</si>
  <si>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</si>
  <si>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</si>
  <si>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</si>
  <si>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</si>
  <si>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</si>
  <si>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</si>
  <si>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</si>
  <si>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</si>
  <si>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</si>
  <si>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</si>
  <si>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</si>
  <si>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</si>
  <si>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</si>
  <si>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</si>
  <si>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</si>
  <si>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</si>
  <si>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</si>
  <si>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</si>
  <si>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</si>
  <si>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</si>
  <si>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</si>
  <si>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</si>
  <si>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</si>
  <si>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</si>
  <si>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*Units:</t>
  </si>
  <si>
    <t>Cap2Act</t>
  </si>
  <si>
    <t>FLO_SHAR</t>
  </si>
  <si>
    <t>[0 , 1]</t>
  </si>
  <si>
    <t>.ELE.CEN.</t>
  </si>
  <si>
    <t>GW</t>
  </si>
  <si>
    <t>NO</t>
  </si>
  <si>
    <t>NCAP_FOM</t>
  </si>
  <si>
    <t>ACT_COST</t>
  </si>
  <si>
    <t>Attribute</t>
  </si>
  <si>
    <t>Meaning</t>
  </si>
  <si>
    <t>Sector</t>
  </si>
  <si>
    <t>M€/GW/year</t>
  </si>
  <si>
    <t>Electricity, and capacity in GW</t>
  </si>
  <si>
    <t>Electricity, and Production in PJ</t>
  </si>
  <si>
    <t>M€/PJ</t>
  </si>
  <si>
    <t>Units by Attribute and Sector</t>
  </si>
  <si>
    <t>Equivalent</t>
  </si>
  <si>
    <t>[0-1]</t>
  </si>
  <si>
    <t>Ratio of heat produced to electricity produced</t>
  </si>
  <si>
    <t>INVCOST</t>
  </si>
  <si>
    <t>NCAP_PASTI</t>
  </si>
  <si>
    <t>NCAP_PASTY</t>
  </si>
  <si>
    <t>PRC_CAPACT</t>
  </si>
  <si>
    <t>Coef Capacity to Activity</t>
  </si>
  <si>
    <t>BASE_YEAR</t>
  </si>
  <si>
    <t>END_YEAR</t>
  </si>
  <si>
    <t>ELCMLO</t>
  </si>
  <si>
    <t>Medium-Low Voltage electricity</t>
  </si>
  <si>
    <t>Commodities and descriptive data included in this Sheet (within the range D7:J400)</t>
  </si>
  <si>
    <t>.CHP.CEN.</t>
  </si>
  <si>
    <t>PJ/year</t>
  </si>
  <si>
    <t>Imports of Electricity</t>
  </si>
  <si>
    <t>Seasonal Capacity factors</t>
  </si>
  <si>
    <t>PRC_RESID~2050</t>
  </si>
  <si>
    <t>GJ/kW</t>
  </si>
  <si>
    <t>EVTRANS_H-H</t>
  </si>
  <si>
    <t>ELCLOSST</t>
  </si>
  <si>
    <t>ELCLOSSD</t>
  </si>
  <si>
    <t>Transmission Electricity Losses</t>
  </si>
  <si>
    <t>Distribution Electricity Losses</t>
  </si>
  <si>
    <t>EUWIND00</t>
  </si>
  <si>
    <t>EUPV00</t>
  </si>
  <si>
    <t>Comm-IN-A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</si>
  <si>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</si>
  <si>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</si>
  <si>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</si>
  <si>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</si>
  <si>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</si>
  <si>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</si>
  <si>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ETSCO2</t>
  </si>
  <si>
    <t>EU ETS CO2</t>
  </si>
  <si>
    <t>EUHYDSR100</t>
  </si>
  <si>
    <t>Existing Wind and PV parks</t>
  </si>
  <si>
    <t>SEASON</t>
  </si>
  <si>
    <t>Fuel Tech -Diesel (ELE)</t>
  </si>
  <si>
    <t>Fuel Tech -Natural Gas (ELE)</t>
  </si>
  <si>
    <t>Fuel Tech -Wood (ELE)</t>
  </si>
  <si>
    <t>Fuel Tech -Municipal waste (ELE)</t>
  </si>
  <si>
    <t>Fuel Tech -Industrial Waste (ELE)</t>
  </si>
  <si>
    <t>Fuel Tech -Biogas (ELE)</t>
  </si>
  <si>
    <t>Fuel Tech -Hydro Energy (ELE)</t>
  </si>
  <si>
    <t>Fuel Tech -Solar Energy (ELE)</t>
  </si>
  <si>
    <t>Fuel Tech -Wind Energy (ELE)</t>
  </si>
  <si>
    <t>Fuel Tech -Geothermal Energy (ELE)</t>
  </si>
  <si>
    <t>Fuel Tech -Nuclear Fuel (ELE)</t>
  </si>
  <si>
    <t>OILHFO</t>
  </si>
  <si>
    <t>SUPOILHFO</t>
  </si>
  <si>
    <t>Fuel Oil (SUP)</t>
  </si>
  <si>
    <t>ELEOILHFO</t>
  </si>
  <si>
    <t>Fuel Oil (ELE)</t>
  </si>
  <si>
    <t>Distribution</t>
  </si>
  <si>
    <t>Infrastructure for fuels Consumed in the Power/Heat Sectors</t>
  </si>
  <si>
    <t>AFA</t>
  </si>
  <si>
    <t>0000</t>
  </si>
  <si>
    <t>3270A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</si>
  <si>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</si>
  <si>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</si>
  <si>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</si>
  <si>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</si>
  <si>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</si>
  <si>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</si>
  <si>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</si>
  <si>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</si>
  <si>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</si>
  <si>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</si>
  <si>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</si>
  <si>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</si>
  <si>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</si>
  <si>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</si>
  <si>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</si>
  <si>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Existing Conventional Power Plants</t>
  </si>
  <si>
    <t>Existing Hydro Plants</t>
  </si>
  <si>
    <t>Fuel Tech -Fuel Oil (ELE)</t>
  </si>
  <si>
    <t>Wind Parks</t>
  </si>
  <si>
    <t>PV plants</t>
  </si>
  <si>
    <t>MW</t>
  </si>
  <si>
    <t>Capacity</t>
  </si>
  <si>
    <t xml:space="preserve">Biomass </t>
  </si>
  <si>
    <t>CF Calculations</t>
  </si>
  <si>
    <t>Installed Capacity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</si>
  <si>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</si>
  <si>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</si>
  <si>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</si>
  <si>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</si>
  <si>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</si>
  <si>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</si>
  <si>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</si>
  <si>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</si>
  <si>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</si>
  <si>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</si>
  <si>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</si>
  <si>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</si>
  <si>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</si>
  <si>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Seasonal CF</t>
  </si>
  <si>
    <t>S</t>
  </si>
  <si>
    <t>R</t>
  </si>
  <si>
    <t>F</t>
  </si>
  <si>
    <t>W</t>
  </si>
  <si>
    <t>Season</t>
  </si>
  <si>
    <t>Periods in the year</t>
  </si>
  <si>
    <t>Average Monthly CF over the years</t>
  </si>
  <si>
    <t>Seasons:</t>
  </si>
  <si>
    <t>Days:</t>
  </si>
  <si>
    <t>Average Seasonal CF over the years</t>
  </si>
  <si>
    <t>Calculations for the Hydro Plant</t>
  </si>
  <si>
    <t>*Technology Name</t>
  </si>
  <si>
    <t>Primary fuel</t>
  </si>
  <si>
    <t>HETHTH</t>
  </si>
  <si>
    <t>Heat</t>
  </si>
  <si>
    <t>PRE</t>
  </si>
  <si>
    <t>*UNITS</t>
  </si>
  <si>
    <t>of which</t>
  </si>
  <si>
    <t>Wood briquettes and pellets, and other vegetable waste</t>
  </si>
  <si>
    <t>Firewood</t>
  </si>
  <si>
    <t>Wood waste</t>
  </si>
  <si>
    <t>Agricultural waste</t>
  </si>
  <si>
    <t>*Region</t>
  </si>
  <si>
    <t>*</t>
  </si>
  <si>
    <t>HETGASNAT</t>
  </si>
  <si>
    <t>HETBIOLOG</t>
  </si>
  <si>
    <t>.HPL.CEN.</t>
  </si>
  <si>
    <t>HETCO2</t>
  </si>
  <si>
    <t>CO2 (HET)</t>
  </si>
  <si>
    <t>HETCH4</t>
  </si>
  <si>
    <t>CH4 (HET)</t>
  </si>
  <si>
    <t>HETN2O</t>
  </si>
  <si>
    <t>N2O (HET)</t>
  </si>
  <si>
    <t>HETCOABIC</t>
  </si>
  <si>
    <t>Natural Gas (HET)</t>
  </si>
  <si>
    <t>Wood (HET)</t>
  </si>
  <si>
    <t>HETBIOWID</t>
  </si>
  <si>
    <t>Industrial Waste (HET)</t>
  </si>
  <si>
    <t>HETBIOPLT</t>
  </si>
  <si>
    <t>Pellet (HET)</t>
  </si>
  <si>
    <t>Infrastructure for fuels Consumed in the District Heating Plants</t>
  </si>
  <si>
    <t>Fuel Tech -Natural Gas (HET)</t>
  </si>
  <si>
    <t>Fuel Tech -Wood (HET)</t>
  </si>
  <si>
    <t>Fuel Tech -Pellet (HET)</t>
  </si>
  <si>
    <t>Fuel Tech -Fuel Oil (HET)</t>
  </si>
  <si>
    <t>HETOILHFO</t>
  </si>
  <si>
    <t>RSDLTH</t>
  </si>
  <si>
    <t>Heat in Residential (RSD)</t>
  </si>
  <si>
    <t>Fuel Oil (HET)</t>
  </si>
  <si>
    <t>AGRLTH</t>
  </si>
  <si>
    <t>Heat in Agriculture (AGR)</t>
  </si>
  <si>
    <t>FT-Industrial Heat (IND)</t>
  </si>
  <si>
    <t>FT-Supply Heat (SUP)</t>
  </si>
  <si>
    <t>FT-Heat in Agriculture (AGR)</t>
  </si>
  <si>
    <t>Infrastructure for the transportation of Heat for each Sector</t>
  </si>
  <si>
    <t>Existing District heating plants</t>
  </si>
  <si>
    <t>PJa</t>
  </si>
  <si>
    <t>Transmission Losses</t>
  </si>
  <si>
    <t>Total Losses</t>
  </si>
  <si>
    <t>Distribution Losses</t>
  </si>
  <si>
    <t>Total Electricity</t>
  </si>
  <si>
    <t>%</t>
  </si>
  <si>
    <t>GWh</t>
  </si>
  <si>
    <t>Source: Calculated from the Energy Balance</t>
  </si>
  <si>
    <t>Source</t>
  </si>
  <si>
    <t>NCAP_AFA~LO</t>
  </si>
  <si>
    <t>Peak</t>
  </si>
  <si>
    <t>Contribution to the peak</t>
  </si>
  <si>
    <t>NCAP_CHPR~UP</t>
  </si>
  <si>
    <t>CEH</t>
  </si>
  <si>
    <t xml:space="preserve">Share of Heat from produced from boilers </t>
  </si>
  <si>
    <t>ratio between heat season / offseason</t>
  </si>
  <si>
    <t>Annual Availability Factor - Low limit</t>
  </si>
  <si>
    <t>Annual Availability Factor - Upper limit</t>
  </si>
  <si>
    <t>Electricity loss to heat gain</t>
  </si>
  <si>
    <t>HETELC</t>
  </si>
  <si>
    <t>Electricity (HET)</t>
  </si>
  <si>
    <t>FT-HETELC</t>
  </si>
  <si>
    <t>Fuel Tech-Eletricity (HET)</t>
  </si>
  <si>
    <t>STOCK</t>
  </si>
  <si>
    <t>ELEH2G</t>
  </si>
  <si>
    <t>Hydrogen for Electricity (Gas)</t>
  </si>
  <si>
    <t>Imports of Electricity from Region1</t>
  </si>
  <si>
    <t>Imports of Electricity from Region2</t>
  </si>
  <si>
    <t>Imports of Electricity from Region3</t>
  </si>
  <si>
    <t>Electricity Imports and Exports (Exogenous)</t>
  </si>
  <si>
    <t>Renewable Energy Plants (…. Data)</t>
  </si>
  <si>
    <t>Transmission 500kV</t>
  </si>
  <si>
    <t>Transmission 220kV</t>
  </si>
  <si>
    <t>EVTRANS_H-HM</t>
  </si>
  <si>
    <t>ELCHIG5</t>
  </si>
  <si>
    <t>ELCLOSSM</t>
  </si>
  <si>
    <t>Transmission Electricity Losses (Medium)</t>
  </si>
  <si>
    <t>ELCHIG2</t>
  </si>
  <si>
    <t>High Voltage electricity after losses 500 KV</t>
  </si>
  <si>
    <t>High Voltage electricity after losses 220 kV</t>
  </si>
  <si>
    <t>EVTRANS_HM-ML</t>
  </si>
  <si>
    <t xml:space="preserve">Source: </t>
  </si>
  <si>
    <t>RDM: refurbishment options to be included</t>
  </si>
  <si>
    <t>Conventional power plants (Source:….)</t>
  </si>
  <si>
    <t>Seasonal</t>
  </si>
  <si>
    <t>COASUB</t>
  </si>
  <si>
    <t>COABCO</t>
  </si>
  <si>
    <t>CHP1</t>
  </si>
  <si>
    <t>CHP2</t>
  </si>
  <si>
    <t>CHP3</t>
  </si>
  <si>
    <t>CHP4</t>
  </si>
  <si>
    <t>CHP7</t>
  </si>
  <si>
    <t>CHP8</t>
  </si>
  <si>
    <t>ELC1</t>
  </si>
  <si>
    <t>ELC2</t>
  </si>
  <si>
    <t>ELC5</t>
  </si>
  <si>
    <t>HET1</t>
  </si>
  <si>
    <t>HET2</t>
  </si>
  <si>
    <t>HET3</t>
  </si>
  <si>
    <t>HET4</t>
  </si>
  <si>
    <t>HET5</t>
  </si>
  <si>
    <t>Bituminous coal</t>
  </si>
  <si>
    <t>Brown coal/Lignite</t>
  </si>
  <si>
    <t>Capacity (GW)</t>
  </si>
  <si>
    <t>Eff</t>
  </si>
  <si>
    <t>Bituminous coal (ELE)</t>
  </si>
  <si>
    <t>ELECOASUB</t>
  </si>
  <si>
    <t>Sub-Bituminous coal (ELE)</t>
  </si>
  <si>
    <t>BrownCoal/Lignite (ELE)</t>
  </si>
  <si>
    <t>ELECOABCO</t>
  </si>
  <si>
    <t>RDM: to balance the heat produced by CHP (peak and reserve boilers)</t>
  </si>
  <si>
    <t>ELECOABIC</t>
  </si>
  <si>
    <t>Bituminous coal (HET)</t>
  </si>
  <si>
    <t>Sub-bituminous coal (HET)</t>
  </si>
  <si>
    <t>HETCOABCO</t>
  </si>
  <si>
    <t>BrownCoal/Lignite (HET)</t>
  </si>
  <si>
    <t>HETCOASUB</t>
  </si>
  <si>
    <t>Fuel Tech -Bituminous coal (HET)</t>
  </si>
  <si>
    <t>Fuel Tech - Sub-bituminous coal (HET)</t>
  </si>
  <si>
    <t>Fuel Tech - BrownCoal/Lignite  (HET)</t>
  </si>
  <si>
    <t>Fuel Tech -Bituminous coal (ELE)</t>
  </si>
  <si>
    <t>Fuel Tech -Sub-Bituminous coal (ELE)</t>
  </si>
  <si>
    <t>Fuel Tech -BrownCoal/Lignite (ELE)</t>
  </si>
  <si>
    <t>BrownCoal/Lignite</t>
  </si>
  <si>
    <t xml:space="preserve">Hydro </t>
  </si>
  <si>
    <t>2017</t>
  </si>
  <si>
    <t>ktoe</t>
  </si>
  <si>
    <t>Consumption</t>
  </si>
  <si>
    <t>Elc-Output</t>
  </si>
  <si>
    <t>Heat-Output</t>
  </si>
  <si>
    <t>NCAP_CHPR~LO</t>
  </si>
  <si>
    <t>NCAP_AFA</t>
  </si>
  <si>
    <t>NCAP_AF~F</t>
  </si>
  <si>
    <t>NCAP_AF~R</t>
  </si>
  <si>
    <t>NCAP_AF~S</t>
  </si>
  <si>
    <t>NCAP_AF~W</t>
  </si>
  <si>
    <t>EXP</t>
  </si>
  <si>
    <t>Exports of Electricity to Region1</t>
  </si>
  <si>
    <t>Exports of Electricity to Region2</t>
  </si>
  <si>
    <t>Exports of Electricity to Region3</t>
  </si>
  <si>
    <t>Calibration</t>
  </si>
  <si>
    <t>RES</t>
  </si>
  <si>
    <t>M$</t>
  </si>
  <si>
    <t>M$/GW/year</t>
  </si>
  <si>
    <t>M$/PJ</t>
  </si>
  <si>
    <t>$/KW/year</t>
  </si>
  <si>
    <t>$/GJ</t>
  </si>
  <si>
    <t>FT-Heat in Residential (RSD) - Dense</t>
  </si>
  <si>
    <t>FT-Heat in Residential (RSD) - Medium</t>
  </si>
  <si>
    <t>FT-Heat in Residential (RSD) - Sparse</t>
  </si>
  <si>
    <t>FT-Heat in Residential (RSD) - Dense New</t>
  </si>
  <si>
    <t>FT-Heat in Residential (RSD) - Medium New</t>
  </si>
  <si>
    <t>FT-Heat in Residential (RSD) - Sparse New</t>
  </si>
  <si>
    <t>START</t>
  </si>
  <si>
    <t>USD/kW</t>
  </si>
  <si>
    <t>M$/PJ/year</t>
  </si>
  <si>
    <t>Investment</t>
  </si>
  <si>
    <t>RDM installed CAP, AFA to control production</t>
  </si>
  <si>
    <t>Calibration table</t>
  </si>
  <si>
    <t>NEB</t>
  </si>
  <si>
    <t>ACT_BND~UP~2017</t>
  </si>
  <si>
    <t>ACT_BND~UP~2050</t>
  </si>
  <si>
    <t>Calculations for the Wind Plant</t>
  </si>
  <si>
    <t>TERELC</t>
  </si>
  <si>
    <t>Electricity (TER)</t>
  </si>
  <si>
    <t>TERLTH</t>
  </si>
  <si>
    <t>Heat in Commercial (TER)</t>
  </si>
  <si>
    <t>NCAP_AFA~2017</t>
  </si>
  <si>
    <t>LIFE</t>
  </si>
  <si>
    <t>Technical lifetime</t>
  </si>
  <si>
    <t>Years</t>
  </si>
  <si>
    <t>INDHTH</t>
  </si>
  <si>
    <t xml:space="preserve">High Temperature Heat (IND) </t>
  </si>
  <si>
    <t>FT-Heat in Tertiary (TER) - Dense</t>
  </si>
  <si>
    <t>FT-Heat in Tertiary (TER) - Medium</t>
  </si>
  <si>
    <t>FT-Heat in Tertiary (TER) - Sparse</t>
  </si>
  <si>
    <t>FT-Heat in Tertiary (TER) - Dense New</t>
  </si>
  <si>
    <t>FT-Heat in Tertiary (TER) - Medium New</t>
  </si>
  <si>
    <t>FT-Heat in Tertiary (TER) - Sparse New</t>
  </si>
  <si>
    <t>ELC3 (IND)</t>
  </si>
  <si>
    <t>CHP5 (IND)</t>
  </si>
  <si>
    <t>CHP6 (IND)</t>
  </si>
  <si>
    <t xml:space="preserve">ELC4 </t>
  </si>
  <si>
    <t>Heat (public)</t>
  </si>
  <si>
    <t>Elc (public)</t>
  </si>
  <si>
    <t>Elc (autoproducers)</t>
  </si>
  <si>
    <t>Balance</t>
  </si>
  <si>
    <t>Model</t>
  </si>
  <si>
    <t>ACT_BND~LO</t>
  </si>
  <si>
    <t>SUPHTH</t>
  </si>
  <si>
    <t>Heat (SUP)</t>
  </si>
  <si>
    <t>H2P</t>
  </si>
  <si>
    <t>Azerbaijan</t>
  </si>
  <si>
    <t>Total installed CAP (around 6.2 GW)</t>
  </si>
  <si>
    <t>Data from …</t>
  </si>
  <si>
    <t>ACT_BND~LO~2017</t>
  </si>
  <si>
    <t>Lower  Bound</t>
  </si>
  <si>
    <t>ACT_BND~LO~2030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</si>
</sst>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\Te\x\t"/>
    <numFmt numFmtId="166" formatCode="0.0"/>
    <numFmt numFmtId="167" formatCode="0.0000"/>
    <numFmt numFmtId="168" formatCode="#,##0.000;\-#,##0.000;&quot;&quot;"/>
    <numFmt numFmtId="169" formatCode="0.00000"/>
    <numFmt numFmtId="170" formatCode="#,##0;\-#,##0;&quot;&quot;"/>
    <numFmt numFmtId="171" formatCode="#,##0.00;\-#,##0.00;&quot;&quot;"/>
    <numFmt numFmtId="172" formatCode="#,##0.0000;\-#,##0.0000;&quot;&quot;"/>
    <numFmt numFmtId="173" formatCode="0.0000000000"/>
    <numFmt numFmtId="174" formatCode="#,##0.0;\-#,##0.0;&quot;&quot;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  <font>
      <b/>
      <sz val="11"/>
      <name val="Calibri"/>
      <family val="2"/>
      <scheme val="minor"/>
    </font>
    <font>
      <sz val="6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6" fillId="2" borderId="0" applyNumberFormat="0" applyBorder="0" applyAlignment="0" applyProtection="0"/>
    <xf numFmtId="0" fontId="18" fillId="3" borderId="0" applyNumberFormat="0" applyBorder="0" applyAlignment="0" applyProtection="0"/>
    <xf numFmtId="9" fontId="22" fillId="0" borderId="0" applyFont="0" applyFill="0" applyBorder="0" applyAlignment="0" applyProtection="0"/>
    <xf numFmtId="0" fontId="24" fillId="6" borderId="45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</cellStyleXfs>
  <cellXfs count="333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left" wrapText="1"/>
    </xf>
    <xf numFmtId="0" fontId="16" fillId="4" borderId="0" xfId="1" applyFill="1" applyAlignment="1">
      <alignment wrapText="1"/>
    </xf>
    <xf numFmtId="0" fontId="17" fillId="4" borderId="0" xfId="1" applyFont="1" applyFill="1" applyAlignment="1">
      <alignment wrapText="1"/>
    </xf>
    <xf numFmtId="0" fontId="19" fillId="5" borderId="0" xfId="1" applyFont="1" applyFill="1" applyAlignment="1">
      <alignment wrapText="1"/>
    </xf>
    <xf numFmtId="0" fontId="20" fillId="5" borderId="0" xfId="2" applyFont="1" applyFill="1" applyAlignment="1">
      <alignment horizontal="center"/>
    </xf>
    <xf numFmtId="0" fontId="13" fillId="0" borderId="0" xfId="0" applyFont="1" applyFill="1" applyAlignment="1">
      <alignment horizontal="right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" fillId="0" borderId="0" xfId="0" applyFont="1"/>
    <xf numFmtId="0" fontId="6" fillId="0" borderId="0" xfId="0" applyFont="1" applyFill="1" applyBorder="1"/>
    <xf numFmtId="0" fontId="2" fillId="0" borderId="0" xfId="0" applyFont="1" applyFill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44" xfId="0" applyFont="1" applyFill="1" applyBorder="1" applyAlignment="1">
      <alignment horizontal="left"/>
    </xf>
    <xf numFmtId="0" fontId="19" fillId="5" borderId="0" xfId="1" applyFont="1" applyFill="1" applyAlignment="1">
      <alignment horizontal="left" wrapText="1"/>
    </xf>
    <xf numFmtId="0" fontId="9" fillId="0" borderId="0" xfId="0" applyFont="1" applyFill="1"/>
    <xf numFmtId="0" fontId="15" fillId="0" borderId="0" xfId="0" applyFont="1" applyFill="1"/>
    <xf numFmtId="165" fontId="13" fillId="0" borderId="0" xfId="0" applyNumberFormat="1" applyFont="1" applyFill="1"/>
    <xf numFmtId="0" fontId="15" fillId="0" borderId="4" xfId="0" applyFont="1" applyFill="1" applyBorder="1" applyAlignment="1">
      <alignment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wrapText="1"/>
    </xf>
    <xf numFmtId="0" fontId="13" fillId="0" borderId="5" xfId="0" applyFont="1" applyFill="1" applyBorder="1" applyAlignment="1">
      <alignment horizontal="center" wrapText="1"/>
    </xf>
    <xf numFmtId="165" fontId="15" fillId="0" borderId="3" xfId="0" applyNumberFormat="1" applyFont="1" applyFill="1" applyBorder="1"/>
    <xf numFmtId="0" fontId="13" fillId="0" borderId="7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center" wrapText="1"/>
    </xf>
    <xf numFmtId="165" fontId="13" fillId="0" borderId="6" xfId="0" applyNumberFormat="1" applyFont="1" applyFill="1" applyBorder="1" applyAlignment="1">
      <alignment horizontal="left" wrapText="1"/>
    </xf>
    <xf numFmtId="0" fontId="13" fillId="0" borderId="0" xfId="0" applyFont="1" applyFill="1" applyBorder="1"/>
    <xf numFmtId="0" fontId="13" fillId="0" borderId="11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3" fillId="0" borderId="9" xfId="0" applyFont="1" applyFill="1" applyBorder="1"/>
    <xf numFmtId="0" fontId="13" fillId="0" borderId="24" xfId="0" applyFont="1" applyFill="1" applyBorder="1" applyAlignment="1">
      <alignment horizontal="center"/>
    </xf>
    <xf numFmtId="164" fontId="13" fillId="0" borderId="30" xfId="0" applyNumberFormat="1" applyFont="1" applyFill="1" applyBorder="1" applyAlignment="1">
      <alignment horizontal="center"/>
    </xf>
    <xf numFmtId="164" fontId="13" fillId="0" borderId="9" xfId="0" applyNumberFormat="1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2" fontId="13" fillId="0" borderId="9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165" fontId="15" fillId="0" borderId="0" xfId="0" applyNumberFormat="1" applyFont="1" applyFill="1"/>
    <xf numFmtId="0" fontId="2" fillId="0" borderId="4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/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left"/>
    </xf>
    <xf numFmtId="1" fontId="1" fillId="0" borderId="0" xfId="0" applyNumberFormat="1" applyFont="1" applyFill="1" applyAlignment="1"/>
    <xf numFmtId="9" fontId="1" fillId="0" borderId="0" xfId="3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1" fillId="0" borderId="11" xfId="0" applyFont="1" applyFill="1" applyBorder="1" applyAlignment="1"/>
    <xf numFmtId="164" fontId="1" fillId="0" borderId="0" xfId="0" applyNumberFormat="1" applyFont="1" applyFill="1" applyAlignment="1">
      <alignment horizontal="center"/>
    </xf>
    <xf numFmtId="0" fontId="1" fillId="0" borderId="9" xfId="0" applyFont="1" applyFill="1" applyBorder="1" applyAlignment="1"/>
    <xf numFmtId="1" fontId="1" fillId="0" borderId="24" xfId="0" applyNumberFormat="1" applyFont="1" applyFill="1" applyBorder="1" applyAlignment="1"/>
    <xf numFmtId="164" fontId="1" fillId="0" borderId="30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5" fontId="30" fillId="0" borderId="0" xfId="0" applyNumberFormat="1" applyFont="1" applyFill="1" applyAlignment="1"/>
    <xf numFmtId="165" fontId="1" fillId="0" borderId="0" xfId="0" applyNumberFormat="1" applyFont="1" applyFill="1" applyAlignment="1"/>
    <xf numFmtId="165" fontId="2" fillId="0" borderId="0" xfId="0" applyNumberFormat="1" applyFont="1" applyFill="1" applyAlignment="1"/>
    <xf numFmtId="0" fontId="1" fillId="0" borderId="0" xfId="0" applyNumberFormat="1" applyFont="1" applyFill="1" applyAlignment="1"/>
    <xf numFmtId="0" fontId="1" fillId="0" borderId="0" xfId="0" quotePrefix="1" applyFont="1" applyFill="1" applyAlignment="1"/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wrapText="1"/>
    </xf>
    <xf numFmtId="165" fontId="2" fillId="0" borderId="3" xfId="0" applyNumberFormat="1" applyFont="1" applyFill="1" applyBorder="1"/>
    <xf numFmtId="164" fontId="14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" fillId="0" borderId="9" xfId="0" applyFont="1" applyFill="1" applyBorder="1"/>
    <xf numFmtId="169" fontId="2" fillId="0" borderId="0" xfId="0" applyNumberFormat="1" applyFont="1" applyFill="1"/>
    <xf numFmtId="0" fontId="14" fillId="0" borderId="0" xfId="0" applyFont="1" applyFill="1" applyAlignment="1">
      <alignment horizontal="center"/>
    </xf>
    <xf numFmtId="165" fontId="10" fillId="0" borderId="0" xfId="0" applyNumberFormat="1" applyFont="1" applyFill="1"/>
    <xf numFmtId="1" fontId="1" fillId="0" borderId="0" xfId="0" applyNumberFormat="1" applyFont="1" applyFill="1" applyAlignment="1">
      <alignment horizontal="center"/>
    </xf>
    <xf numFmtId="0" fontId="1" fillId="0" borderId="11" xfId="0" applyFont="1" applyFill="1" applyBorder="1"/>
    <xf numFmtId="0" fontId="1" fillId="0" borderId="0" xfId="0" quotePrefix="1" applyFont="1" applyFill="1"/>
    <xf numFmtId="0" fontId="2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8" fillId="0" borderId="0" xfId="0" applyFont="1" applyFill="1"/>
    <xf numFmtId="165" fontId="30" fillId="0" borderId="0" xfId="0" applyNumberFormat="1" applyFont="1" applyFill="1"/>
    <xf numFmtId="165" fontId="1" fillId="0" borderId="0" xfId="0" applyNumberFormat="1" applyFont="1" applyFill="1"/>
    <xf numFmtId="0" fontId="1" fillId="0" borderId="5" xfId="0" applyFont="1" applyFill="1" applyBorder="1" applyAlignment="1">
      <alignment horizontal="center" vertical="center" wrapText="1"/>
    </xf>
    <xf numFmtId="165" fontId="2" fillId="0" borderId="0" xfId="0" applyNumberFormat="1" applyFont="1" applyFill="1"/>
    <xf numFmtId="0" fontId="1" fillId="0" borderId="7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1" fontId="1" fillId="0" borderId="11" xfId="0" applyNumberFormat="1" applyFont="1" applyFill="1" applyBorder="1" applyAlignment="1">
      <alignment horizontal="center"/>
    </xf>
    <xf numFmtId="0" fontId="1" fillId="0" borderId="0" xfId="0" applyFont="1" applyFill="1" applyBorder="1"/>
    <xf numFmtId="167" fontId="1" fillId="0" borderId="0" xfId="0" applyNumberFormat="1" applyFont="1" applyFill="1" applyAlignment="1">
      <alignment horizontal="center"/>
    </xf>
    <xf numFmtId="165" fontId="1" fillId="0" borderId="6" xfId="0" applyNumberFormat="1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center"/>
    </xf>
    <xf numFmtId="164" fontId="1" fillId="0" borderId="0" xfId="0" applyNumberFormat="1" applyFont="1" applyFill="1"/>
    <xf numFmtId="1" fontId="1" fillId="0" borderId="24" xfId="0" applyNumberFormat="1" applyFont="1" applyFill="1" applyBorder="1" applyAlignment="1">
      <alignment horizontal="center"/>
    </xf>
    <xf numFmtId="167" fontId="1" fillId="0" borderId="9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1" fillId="0" borderId="9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/>
    <xf numFmtId="1" fontId="1" fillId="0" borderId="0" xfId="0" applyNumberFormat="1" applyFont="1" applyFill="1"/>
    <xf numFmtId="167" fontId="1" fillId="0" borderId="0" xfId="0" applyNumberFormat="1" applyFont="1" applyFill="1"/>
    <xf numFmtId="1" fontId="1" fillId="0" borderId="9" xfId="0" applyNumberFormat="1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/>
    <xf numFmtId="0" fontId="1" fillId="0" borderId="35" xfId="0" applyFont="1" applyFill="1" applyBorder="1" applyAlignment="1">
      <alignment horizontal="right"/>
    </xf>
    <xf numFmtId="9" fontId="31" fillId="0" borderId="49" xfId="4" applyNumberFormat="1" applyFont="1" applyFill="1" applyBorder="1"/>
    <xf numFmtId="1" fontId="31" fillId="0" borderId="49" xfId="4" applyNumberFormat="1" applyFont="1" applyFill="1" applyBorder="1" applyAlignment="1">
      <alignment horizontal="center"/>
    </xf>
    <xf numFmtId="0" fontId="19" fillId="0" borderId="0" xfId="2" applyFont="1" applyFill="1"/>
    <xf numFmtId="11" fontId="1" fillId="0" borderId="0" xfId="0" applyNumberFormat="1" applyFont="1" applyFill="1" applyAlignment="1">
      <alignment horizontal="center"/>
    </xf>
    <xf numFmtId="11" fontId="1" fillId="0" borderId="0" xfId="0" applyNumberFormat="1" applyFont="1" applyFill="1"/>
    <xf numFmtId="166" fontId="1" fillId="0" borderId="0" xfId="0" applyNumberFormat="1" applyFont="1" applyFill="1"/>
    <xf numFmtId="1" fontId="1" fillId="0" borderId="24" xfId="0" applyNumberFormat="1" applyFont="1" applyFill="1" applyBorder="1"/>
    <xf numFmtId="2" fontId="1" fillId="0" borderId="9" xfId="0" applyNumberFormat="1" applyFont="1" applyFill="1" applyBorder="1" applyAlignment="1">
      <alignment horizontal="center"/>
    </xf>
    <xf numFmtId="2" fontId="19" fillId="0" borderId="0" xfId="2" applyNumberFormat="1" applyFont="1" applyFill="1"/>
    <xf numFmtId="169" fontId="1" fillId="0" borderId="0" xfId="0" applyNumberFormat="1" applyFont="1" applyFill="1" applyAlignment="1">
      <alignment horizontal="center"/>
    </xf>
    <xf numFmtId="0" fontId="1" fillId="0" borderId="16" xfId="0" applyFont="1" applyFill="1" applyBorder="1"/>
    <xf numFmtId="0" fontId="2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" fillId="0" borderId="15" xfId="0" applyFont="1" applyFill="1" applyBorder="1"/>
    <xf numFmtId="0" fontId="14" fillId="0" borderId="15" xfId="0" applyFont="1" applyFill="1" applyBorder="1"/>
    <xf numFmtId="0" fontId="14" fillId="0" borderId="0" xfId="0" applyFont="1" applyFill="1" applyBorder="1"/>
    <xf numFmtId="0" fontId="14" fillId="0" borderId="0" xfId="0" applyFont="1" applyFill="1"/>
    <xf numFmtId="14" fontId="1" fillId="0" borderId="1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/>
    <xf numFmtId="0" fontId="28" fillId="0" borderId="14" xfId="0" applyFont="1" applyFill="1" applyBorder="1" applyAlignment="1">
      <alignment horizontal="center"/>
    </xf>
    <xf numFmtId="2" fontId="2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2" fontId="2" fillId="0" borderId="50" xfId="0" applyNumberFormat="1" applyFont="1" applyFill="1" applyBorder="1"/>
    <xf numFmtId="0" fontId="1" fillId="0" borderId="30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166" fontId="2" fillId="0" borderId="0" xfId="0" applyNumberFormat="1" applyFont="1" applyFill="1" applyBorder="1"/>
    <xf numFmtId="0" fontId="1" fillId="0" borderId="14" xfId="0" applyFont="1" applyFill="1" applyBorder="1" applyAlignment="1">
      <alignment horizontal="center"/>
    </xf>
    <xf numFmtId="1" fontId="1" fillId="0" borderId="0" xfId="0" applyNumberFormat="1" applyFont="1" applyFill="1" applyBorder="1"/>
    <xf numFmtId="2" fontId="1" fillId="0" borderId="14" xfId="0" applyNumberFormat="1" applyFont="1" applyFill="1" applyBorder="1"/>
    <xf numFmtId="2" fontId="1" fillId="0" borderId="0" xfId="0" applyNumberFormat="1" applyFont="1" applyFill="1" applyBorder="1"/>
    <xf numFmtId="0" fontId="1" fillId="0" borderId="22" xfId="0" applyFont="1" applyFill="1" applyBorder="1"/>
    <xf numFmtId="0" fontId="1" fillId="0" borderId="6" xfId="0" applyFont="1" applyFill="1" applyBorder="1"/>
    <xf numFmtId="164" fontId="1" fillId="0" borderId="14" xfId="0" applyNumberFormat="1" applyFont="1" applyFill="1" applyBorder="1"/>
    <xf numFmtId="166" fontId="1" fillId="0" borderId="0" xfId="0" applyNumberFormat="1" applyFont="1" applyFill="1" applyBorder="1"/>
    <xf numFmtId="0" fontId="1" fillId="0" borderId="32" xfId="0" applyFont="1" applyFill="1" applyBorder="1"/>
    <xf numFmtId="2" fontId="1" fillId="0" borderId="33" xfId="0" applyNumberFormat="1" applyFont="1" applyFill="1" applyBorder="1"/>
    <xf numFmtId="2" fontId="1" fillId="0" borderId="34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23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26" xfId="0" applyFont="1" applyFill="1" applyBorder="1"/>
    <xf numFmtId="0" fontId="1" fillId="0" borderId="4" xfId="0" applyFont="1" applyFill="1" applyBorder="1"/>
    <xf numFmtId="0" fontId="1" fillId="0" borderId="10" xfId="0" applyFont="1" applyFill="1" applyBorder="1"/>
    <xf numFmtId="9" fontId="1" fillId="0" borderId="0" xfId="3" applyFont="1" applyFill="1" applyBorder="1"/>
    <xf numFmtId="9" fontId="1" fillId="0" borderId="14" xfId="3" applyFont="1" applyFill="1" applyBorder="1"/>
    <xf numFmtId="166" fontId="1" fillId="0" borderId="44" xfId="0" applyNumberFormat="1" applyFont="1" applyFill="1" applyBorder="1"/>
    <xf numFmtId="166" fontId="1" fillId="0" borderId="11" xfId="0" applyNumberFormat="1" applyFont="1" applyFill="1" applyBorder="1"/>
    <xf numFmtId="0" fontId="1" fillId="0" borderId="52" xfId="0" applyFont="1" applyFill="1" applyBorder="1" applyAlignment="1">
      <alignment horizontal="left" indent="2"/>
    </xf>
    <xf numFmtId="0" fontId="1" fillId="0" borderId="3" xfId="0" applyFont="1" applyFill="1" applyBorder="1"/>
    <xf numFmtId="2" fontId="2" fillId="0" borderId="3" xfId="0" applyNumberFormat="1" applyFont="1" applyFill="1" applyBorder="1"/>
    <xf numFmtId="9" fontId="1" fillId="0" borderId="3" xfId="3" applyFont="1" applyFill="1" applyBorder="1"/>
    <xf numFmtId="9" fontId="1" fillId="0" borderId="53" xfId="3" applyFont="1" applyFill="1" applyBorder="1"/>
    <xf numFmtId="0" fontId="1" fillId="0" borderId="17" xfId="0" applyFont="1" applyFill="1" applyBorder="1" applyAlignment="1">
      <alignment horizontal="left" indent="2"/>
    </xf>
    <xf numFmtId="164" fontId="1" fillId="0" borderId="44" xfId="0" applyNumberFormat="1" applyFont="1" applyFill="1" applyBorder="1"/>
    <xf numFmtId="9" fontId="1" fillId="0" borderId="3" xfId="0" applyNumberFormat="1" applyFont="1" applyFill="1" applyBorder="1"/>
    <xf numFmtId="9" fontId="1" fillId="0" borderId="0" xfId="0" applyNumberFormat="1" applyFont="1" applyFill="1" applyBorder="1"/>
    <xf numFmtId="9" fontId="1" fillId="0" borderId="14" xfId="0" applyNumberFormat="1" applyFont="1" applyFill="1" applyBorder="1"/>
    <xf numFmtId="0" fontId="1" fillId="0" borderId="44" xfId="0" applyFont="1" applyFill="1" applyBorder="1"/>
    <xf numFmtId="0" fontId="1" fillId="0" borderId="24" xfId="0" applyFont="1" applyFill="1" applyBorder="1"/>
    <xf numFmtId="0" fontId="28" fillId="0" borderId="0" xfId="7" applyFont="1" applyFill="1"/>
    <xf numFmtId="166" fontId="1" fillId="0" borderId="26" xfId="0" applyNumberFormat="1" applyFont="1" applyFill="1" applyBorder="1"/>
    <xf numFmtId="166" fontId="1" fillId="0" borderId="4" xfId="0" applyNumberFormat="1" applyFont="1" applyFill="1" applyBorder="1"/>
    <xf numFmtId="166" fontId="1" fillId="0" borderId="10" xfId="0" applyNumberFormat="1" applyFont="1" applyFill="1" applyBorder="1"/>
    <xf numFmtId="166" fontId="1" fillId="0" borderId="9" xfId="0" applyNumberFormat="1" applyFont="1" applyFill="1" applyBorder="1"/>
    <xf numFmtId="166" fontId="1" fillId="0" borderId="24" xfId="0" applyNumberFormat="1" applyFont="1" applyFill="1" applyBorder="1"/>
    <xf numFmtId="0" fontId="4" fillId="0" borderId="9" xfId="0" applyFont="1" applyFill="1" applyBorder="1" applyAlignment="1">
      <alignment horizontal="centerContinuous" vertical="center" wrapText="1"/>
    </xf>
    <xf numFmtId="0" fontId="1" fillId="0" borderId="9" xfId="0" applyFont="1" applyFill="1" applyBorder="1" applyAlignment="1">
      <alignment horizontal="centerContinuous" vertical="center" wrapText="1"/>
    </xf>
    <xf numFmtId="0" fontId="4" fillId="0" borderId="9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Continuous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3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left"/>
    </xf>
    <xf numFmtId="0" fontId="32" fillId="0" borderId="27" xfId="0" applyFont="1" applyFill="1" applyBorder="1" applyAlignment="1">
      <alignment horizontal="center"/>
    </xf>
    <xf numFmtId="170" fontId="4" fillId="0" borderId="27" xfId="0" applyNumberFormat="1" applyFont="1" applyFill="1" applyBorder="1" applyAlignment="1">
      <alignment horizontal="right"/>
    </xf>
    <xf numFmtId="170" fontId="4" fillId="0" borderId="36" xfId="0" applyNumberFormat="1" applyFont="1" applyFill="1" applyBorder="1" applyAlignment="1">
      <alignment horizontal="right"/>
    </xf>
    <xf numFmtId="168" fontId="4" fillId="0" borderId="27" xfId="0" applyNumberFormat="1" applyFont="1" applyFill="1" applyBorder="1" applyAlignment="1">
      <alignment horizontal="right"/>
    </xf>
    <xf numFmtId="170" fontId="4" fillId="0" borderId="37" xfId="0" applyNumberFormat="1" applyFont="1" applyFill="1" applyBorder="1" applyAlignment="1">
      <alignment horizontal="right"/>
    </xf>
    <xf numFmtId="0" fontId="6" fillId="0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32" fillId="0" borderId="28" xfId="0" applyFont="1" applyFill="1" applyBorder="1" applyAlignment="1">
      <alignment horizontal="center"/>
    </xf>
    <xf numFmtId="170" fontId="4" fillId="0" borderId="28" xfId="0" applyNumberFormat="1" applyFont="1" applyFill="1" applyBorder="1" applyAlignment="1">
      <alignment horizontal="right"/>
    </xf>
    <xf numFmtId="170" fontId="4" fillId="0" borderId="38" xfId="0" applyNumberFormat="1" applyFont="1" applyFill="1" applyBorder="1" applyAlignment="1">
      <alignment horizontal="right"/>
    </xf>
    <xf numFmtId="170" fontId="4" fillId="0" borderId="39" xfId="0" applyNumberFormat="1" applyFont="1" applyFill="1" applyBorder="1" applyAlignment="1">
      <alignment horizontal="right"/>
    </xf>
    <xf numFmtId="0" fontId="4" fillId="0" borderId="28" xfId="0" applyFont="1" applyFill="1" applyBorder="1"/>
    <xf numFmtId="0" fontId="6" fillId="0" borderId="29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left"/>
    </xf>
    <xf numFmtId="0" fontId="32" fillId="0" borderId="29" xfId="0" applyFont="1" applyFill="1" applyBorder="1" applyAlignment="1">
      <alignment horizontal="center"/>
    </xf>
    <xf numFmtId="170" fontId="4" fillId="0" borderId="29" xfId="0" applyNumberFormat="1" applyFont="1" applyFill="1" applyBorder="1" applyAlignment="1">
      <alignment horizontal="right"/>
    </xf>
    <xf numFmtId="170" fontId="4" fillId="0" borderId="41" xfId="0" applyNumberFormat="1" applyFont="1" applyFill="1" applyBorder="1" applyAlignment="1">
      <alignment horizontal="right"/>
    </xf>
    <xf numFmtId="170" fontId="4" fillId="0" borderId="40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0" fontId="32" fillId="0" borderId="9" xfId="0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right"/>
    </xf>
    <xf numFmtId="170" fontId="6" fillId="0" borderId="30" xfId="0" applyNumberFormat="1" applyFont="1" applyFill="1" applyBorder="1" applyAlignment="1">
      <alignment horizontal="right"/>
    </xf>
    <xf numFmtId="170" fontId="6" fillId="0" borderId="24" xfId="0" applyNumberFormat="1" applyFont="1" applyFill="1" applyBorder="1" applyAlignment="1">
      <alignment horizontal="right"/>
    </xf>
    <xf numFmtId="172" fontId="6" fillId="0" borderId="9" xfId="0" applyNumberFormat="1" applyFont="1" applyFill="1" applyBorder="1" applyAlignment="1">
      <alignment horizontal="right"/>
    </xf>
    <xf numFmtId="171" fontId="6" fillId="0" borderId="30" xfId="0" applyNumberFormat="1" applyFont="1" applyFill="1" applyBorder="1" applyAlignment="1">
      <alignment horizontal="right"/>
    </xf>
    <xf numFmtId="0" fontId="6" fillId="0" borderId="31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left"/>
    </xf>
    <xf numFmtId="0" fontId="32" fillId="0" borderId="31" xfId="0" applyFont="1" applyFill="1" applyBorder="1" applyAlignment="1">
      <alignment horizontal="center"/>
    </xf>
    <xf numFmtId="172" fontId="4" fillId="0" borderId="31" xfId="0" applyNumberFormat="1" applyFont="1" applyFill="1" applyBorder="1" applyAlignment="1">
      <alignment horizontal="right"/>
    </xf>
    <xf numFmtId="170" fontId="4" fillId="0" borderId="42" xfId="0" applyNumberFormat="1" applyFont="1" applyFill="1" applyBorder="1" applyAlignment="1">
      <alignment horizontal="right"/>
    </xf>
    <xf numFmtId="170" fontId="4" fillId="0" borderId="31" xfId="0" applyNumberFormat="1" applyFont="1" applyFill="1" applyBorder="1" applyAlignment="1">
      <alignment horizontal="right"/>
    </xf>
    <xf numFmtId="171" fontId="4" fillId="0" borderId="42" xfId="0" applyNumberFormat="1" applyFont="1" applyFill="1" applyBorder="1" applyAlignment="1">
      <alignment horizontal="right"/>
    </xf>
    <xf numFmtId="170" fontId="4" fillId="0" borderId="43" xfId="0" applyNumberFormat="1" applyFont="1" applyFill="1" applyBorder="1" applyAlignment="1">
      <alignment horizontal="right"/>
    </xf>
    <xf numFmtId="172" fontId="4" fillId="0" borderId="28" xfId="0" applyNumberFormat="1" applyFont="1" applyFill="1" applyBorder="1" applyAlignment="1">
      <alignment horizontal="right"/>
    </xf>
    <xf numFmtId="174" fontId="4" fillId="0" borderId="38" xfId="0" applyNumberFormat="1" applyFont="1" applyFill="1" applyBorder="1" applyAlignment="1">
      <alignment horizontal="right"/>
    </xf>
    <xf numFmtId="174" fontId="4" fillId="0" borderId="28" xfId="0" applyNumberFormat="1" applyFont="1" applyFill="1" applyBorder="1" applyAlignment="1">
      <alignment horizontal="right"/>
    </xf>
    <xf numFmtId="168" fontId="4" fillId="0" borderId="38" xfId="0" applyNumberFormat="1" applyFont="1" applyFill="1" applyBorder="1" applyAlignment="1">
      <alignment horizontal="right"/>
    </xf>
    <xf numFmtId="168" fontId="4" fillId="0" borderId="28" xfId="0" applyNumberFormat="1" applyFont="1" applyFill="1" applyBorder="1" applyAlignment="1">
      <alignment horizontal="right"/>
    </xf>
    <xf numFmtId="172" fontId="4" fillId="0" borderId="38" xfId="0" applyNumberFormat="1" applyFont="1" applyFill="1" applyBorder="1" applyAlignment="1">
      <alignment horizontal="right"/>
    </xf>
    <xf numFmtId="171" fontId="4" fillId="0" borderId="28" xfId="0" applyNumberFormat="1" applyFont="1" applyFill="1" applyBorder="1" applyAlignment="1">
      <alignment horizontal="right"/>
    </xf>
    <xf numFmtId="171" fontId="4" fillId="0" borderId="38" xfId="0" applyNumberFormat="1" applyFont="1" applyFill="1" applyBorder="1" applyAlignment="1">
      <alignment horizontal="right"/>
    </xf>
    <xf numFmtId="168" fontId="4" fillId="0" borderId="39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center"/>
    </xf>
    <xf numFmtId="170" fontId="6" fillId="0" borderId="3" xfId="0" applyNumberFormat="1" applyFont="1" applyFill="1" applyBorder="1" applyAlignment="1">
      <alignment horizontal="right"/>
    </xf>
    <xf numFmtId="170" fontId="6" fillId="0" borderId="25" xfId="0" applyNumberFormat="1" applyFont="1" applyFill="1" applyBorder="1" applyAlignment="1">
      <alignment horizontal="right"/>
    </xf>
    <xf numFmtId="170" fontId="6" fillId="0" borderId="35" xfId="0" applyNumberFormat="1" applyFont="1" applyFill="1" applyBorder="1" applyAlignment="1">
      <alignment horizontal="right"/>
    </xf>
    <xf numFmtId="0" fontId="4" fillId="0" borderId="29" xfId="0" applyFont="1" applyFill="1" applyBorder="1"/>
    <xf numFmtId="171" fontId="4" fillId="0" borderId="29" xfId="0" applyNumberFormat="1" applyFont="1" applyFill="1" applyBorder="1" applyAlignment="1">
      <alignment horizontal="right"/>
    </xf>
    <xf numFmtId="171" fontId="6" fillId="0" borderId="9" xfId="0" applyNumberFormat="1" applyFont="1" applyFill="1" applyBorder="1" applyAlignment="1">
      <alignment horizontal="right"/>
    </xf>
    <xf numFmtId="168" fontId="6" fillId="0" borderId="9" xfId="0" applyNumberFormat="1" applyFont="1" applyFill="1" applyBorder="1" applyAlignment="1">
      <alignment horizontal="right"/>
    </xf>
    <xf numFmtId="171" fontId="4" fillId="0" borderId="31" xfId="0" applyNumberFormat="1" applyFont="1" applyFill="1" applyBorder="1" applyAlignment="1">
      <alignment horizontal="right"/>
    </xf>
    <xf numFmtId="168" fontId="4" fillId="0" borderId="31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right"/>
    </xf>
    <xf numFmtId="170" fontId="6" fillId="0" borderId="44" xfId="0" applyNumberFormat="1" applyFont="1" applyFill="1" applyBorder="1" applyAlignment="1">
      <alignment horizontal="right"/>
    </xf>
    <xf numFmtId="170" fontId="6" fillId="0" borderId="11" xfId="0" applyNumberFormat="1" applyFont="1" applyFill="1" applyBorder="1" applyAlignment="1">
      <alignment horizontal="right"/>
    </xf>
    <xf numFmtId="170" fontId="4" fillId="0" borderId="44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170" fontId="34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171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32" fillId="0" borderId="0" xfId="0" applyFont="1" applyFill="1" applyAlignment="1">
      <alignment horizontal="center"/>
    </xf>
    <xf numFmtId="165" fontId="2" fillId="0" borderId="4" xfId="0" applyNumberFormat="1" applyFont="1" applyFill="1" applyBorder="1"/>
    <xf numFmtId="165" fontId="2" fillId="0" borderId="4" xfId="0" applyNumberFormat="1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2" xfId="0" applyNumberFormat="1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9" xfId="0" applyFont="1" applyFill="1" applyBorder="1"/>
    <xf numFmtId="0" fontId="1" fillId="0" borderId="5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right" wrapText="1"/>
    </xf>
    <xf numFmtId="1" fontId="1" fillId="0" borderId="9" xfId="0" applyNumberFormat="1" applyFont="1" applyFill="1" applyBorder="1"/>
    <xf numFmtId="0" fontId="2" fillId="0" borderId="0" xfId="0" applyFont="1" applyFill="1"/>
    <xf numFmtId="0" fontId="1" fillId="0" borderId="46" xfId="0" applyFont="1" applyFill="1" applyBorder="1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0" fontId="1" fillId="0" borderId="18" xfId="3" applyNumberFormat="1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0" fontId="1" fillId="0" borderId="21" xfId="3" applyNumberFormat="1" applyFont="1" applyFill="1" applyBorder="1" applyAlignment="1">
      <alignment horizontal="center"/>
    </xf>
    <xf numFmtId="173" fontId="1" fillId="0" borderId="0" xfId="0" applyNumberFormat="1" applyFont="1" applyFill="1"/>
    <xf numFmtId="0" fontId="23" fillId="0" borderId="0" xfId="0" applyFont="1" applyFill="1"/>
    <xf numFmtId="1" fontId="1" fillId="0" borderId="11" xfId="0" applyNumberFormat="1" applyFont="1" applyFill="1" applyBorder="1"/>
    <xf numFmtId="0" fontId="15" fillId="0" borderId="4" xfId="0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51" xfId="0" applyFont="1" applyFill="1" applyBorder="1"/>
    <xf numFmtId="164" fontId="1" fillId="0" borderId="0" xfId="0" applyNumberFormat="1" applyFont="1" applyFill="1" applyBorder="1" applyAlignment="1"/>
    <xf numFmtId="164" fontId="1" fillId="0" borderId="4" xfId="0" applyNumberFormat="1" applyFont="1" applyFill="1" applyBorder="1" applyAlignment="1"/>
    <xf numFmtId="167" fontId="1" fillId="0" borderId="0" xfId="0" applyNumberFormat="1" applyFont="1" applyFill="1" applyBorder="1"/>
    <xf numFmtId="0" fontId="1" fillId="0" borderId="50" xfId="0" applyFont="1" applyFill="1" applyBorder="1"/>
    <xf numFmtId="167" fontId="1" fillId="0" borderId="50" xfId="0" applyNumberFormat="1" applyFont="1" applyFill="1" applyBorder="1"/>
    <xf numFmtId="167" fontId="1" fillId="0" borderId="9" xfId="0" applyNumberFormat="1" applyFont="1" applyFill="1" applyBorder="1"/>
    <xf numFmtId="164" fontId="1" fillId="0" borderId="9" xfId="0" applyNumberFormat="1" applyFont="1" applyFill="1" applyBorder="1" applyAlignment="1"/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164" fontId="21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/>
    <xf numFmtId="0" fontId="1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</cellXfs>
  <cellStyles count="8">
    <cellStyle name="Accent2" xfId="1" builtinId="33"/>
    <cellStyle name="Good" xfId="2" builtinId="26"/>
    <cellStyle name="Hyperlink" xfId="7" builtinId="8"/>
    <cellStyle name="Input" xfId="4" builtinId="20"/>
    <cellStyle name="Normal" xfId="0" builtinId="0"/>
    <cellStyle name="Normal 3" xfId="6" xr:uid="{F838ED82-9441-41A8-9CEE-AAD1A2D56038}"/>
    <cellStyle name="Percent" xfId="3" builtinId="5"/>
    <cellStyle name="Percent 3" xfId="5" xr:uid="{7454A86D-10E7-4EB5-BE83-DA938174FC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87"/>
  <sheetViews>
    <sheetView zoomScale="55" zoomScaleNormal="55" workbookViewId="0">
      <selection sqref="A1:XFD1048576"/>
    </sheetView>
  </sheetViews>
  <sheetFormatPr defaultColWidth="9.109375" defaultRowHeight="17.25" customHeight="1" x14ac:dyDescent="0.25"/>
  <cols>
    <col min="1" max="1" width="5.6640625" style="11" customWidth="1"/>
    <col min="2" max="2" width="24.44140625" style="11" customWidth="1"/>
    <col min="3" max="3" width="41.6640625" style="11" customWidth="1"/>
    <col min="4" max="4" width="12.88671875" style="11" bestFit="1" customWidth="1"/>
    <col min="5" max="5" width="20.109375" style="11" bestFit="1" customWidth="1"/>
    <col min="6" max="6" width="20.109375" style="11" customWidth="1"/>
    <col min="7" max="7" width="32.33203125" style="11" customWidth="1"/>
    <col min="8" max="8" width="27" style="11" customWidth="1"/>
    <col min="9" max="9" width="17.6640625" style="11" customWidth="1"/>
    <col min="10" max="13" width="28" style="11" customWidth="1"/>
    <col min="14" max="15" width="22.33203125" style="11" customWidth="1"/>
    <col min="16" max="16" width="12.109375" style="11" customWidth="1"/>
    <col min="17" max="17" width="28.6640625" style="11" customWidth="1"/>
    <col min="18" max="18" width="36.88671875" style="11" customWidth="1"/>
    <col min="19" max="19" width="99" style="11" customWidth="1"/>
    <col min="20" max="20" width="19" style="11" customWidth="1"/>
    <col min="21" max="21" width="15.5546875" style="11" customWidth="1"/>
    <col min="22" max="22" width="14.44140625" style="11" bestFit="1" customWidth="1"/>
    <col min="23" max="23" width="15.44140625" style="11" bestFit="1" customWidth="1"/>
    <col min="24" max="24" width="18.88671875" style="11" bestFit="1" customWidth="1"/>
    <col min="25" max="25" width="9.109375" style="11"/>
    <col min="26" max="28" width="21.109375" style="11" customWidth="1"/>
    <col min="29" max="16384" width="9.109375" style="11"/>
  </cols>
  <sheetData>
    <row r="1" spans="2:24" ht="17.25" customHeight="1" x14ac:dyDescent="0.3">
      <c r="B1" s="18" t="s">
        <v>695</v>
      </c>
    </row>
    <row r="4" spans="2:24" ht="17.25" customHeight="1" x14ac:dyDescent="0.25">
      <c r="B4" s="19" t="s">
        <v>527</v>
      </c>
      <c r="N4" s="8"/>
      <c r="O4" s="8"/>
      <c r="Q4" s="11" t="s">
        <v>104</v>
      </c>
    </row>
    <row r="5" spans="2:24" ht="17.25" customHeight="1" x14ac:dyDescent="0.25">
      <c r="L5" s="11">
        <v>3</v>
      </c>
      <c r="N5" s="9"/>
      <c r="O5" s="9"/>
    </row>
    <row r="6" spans="2:24" ht="17.25" customHeight="1" x14ac:dyDescent="0.25">
      <c r="E6" s="42" t="s">
        <v>15</v>
      </c>
      <c r="F6" s="42"/>
      <c r="G6" s="42"/>
      <c r="H6" s="42"/>
      <c r="I6" s="42"/>
      <c r="J6" s="7"/>
      <c r="K6" s="7"/>
      <c r="L6" s="7"/>
      <c r="M6" s="7"/>
      <c r="Q6" s="20" t="s">
        <v>41</v>
      </c>
      <c r="R6" s="20"/>
      <c r="S6" s="20"/>
      <c r="T6" s="20"/>
      <c r="U6" s="20"/>
      <c r="V6" s="20"/>
      <c r="W6" s="20"/>
      <c r="X6" s="20"/>
    </row>
    <row r="7" spans="2:24" ht="17.25" customHeight="1" x14ac:dyDescent="0.25">
      <c r="B7" s="21" t="s">
        <v>1</v>
      </c>
      <c r="C7" s="21" t="s">
        <v>44</v>
      </c>
      <c r="D7" s="22" t="s">
        <v>7</v>
      </c>
      <c r="E7" s="22" t="s">
        <v>8</v>
      </c>
      <c r="F7" s="23" t="s">
        <v>103</v>
      </c>
      <c r="G7" s="23" t="s">
        <v>529</v>
      </c>
      <c r="H7" s="23" t="s">
        <v>518</v>
      </c>
      <c r="I7" s="23" t="s">
        <v>45</v>
      </c>
      <c r="J7" s="23" t="s">
        <v>786</v>
      </c>
      <c r="K7" s="23" t="s">
        <v>821</v>
      </c>
      <c r="L7" s="23" t="s">
        <v>787</v>
      </c>
      <c r="M7" s="23" t="s">
        <v>823</v>
      </c>
      <c r="N7" s="23" t="s">
        <v>568</v>
      </c>
      <c r="O7" s="23" t="s">
        <v>676</v>
      </c>
      <c r="Q7" s="43" t="s">
        <v>19</v>
      </c>
      <c r="R7" s="20"/>
      <c r="S7" s="20"/>
      <c r="T7" s="20"/>
      <c r="U7" s="20"/>
      <c r="V7" s="20"/>
      <c r="W7" s="20"/>
      <c r="X7" s="20"/>
    </row>
    <row r="8" spans="2:24" ht="17.25" customHeight="1" thickBot="1" x14ac:dyDescent="0.3">
      <c r="B8" s="24" t="s">
        <v>621</v>
      </c>
      <c r="C8" s="24" t="s">
        <v>26</v>
      </c>
      <c r="D8" s="24"/>
      <c r="E8" s="25" t="s">
        <v>37</v>
      </c>
      <c r="F8" s="24"/>
      <c r="G8" s="24"/>
      <c r="H8" s="24"/>
      <c r="I8" s="24" t="s">
        <v>100</v>
      </c>
      <c r="J8" s="24" t="s">
        <v>101</v>
      </c>
      <c r="K8" s="24" t="s">
        <v>822</v>
      </c>
      <c r="L8" s="24" t="s">
        <v>101</v>
      </c>
      <c r="M8" s="24" t="s">
        <v>822</v>
      </c>
      <c r="N8" s="24"/>
      <c r="O8" s="24"/>
      <c r="Q8" s="26" t="s">
        <v>13</v>
      </c>
      <c r="R8" s="26" t="s">
        <v>1</v>
      </c>
      <c r="S8" s="26" t="s">
        <v>2</v>
      </c>
      <c r="T8" s="26" t="s">
        <v>20</v>
      </c>
      <c r="U8" s="26" t="s">
        <v>21</v>
      </c>
      <c r="V8" s="26" t="s">
        <v>22</v>
      </c>
      <c r="W8" s="26" t="s">
        <v>23</v>
      </c>
      <c r="X8" s="26" t="s">
        <v>24</v>
      </c>
    </row>
    <row r="9" spans="2:24" ht="17.25" customHeight="1" thickBot="1" x14ac:dyDescent="0.3">
      <c r="B9" s="27"/>
      <c r="C9" s="27"/>
      <c r="D9" s="27"/>
      <c r="E9" s="28" t="s">
        <v>90</v>
      </c>
      <c r="F9" s="29" t="s">
        <v>500</v>
      </c>
      <c r="G9" s="29" t="s">
        <v>500</v>
      </c>
      <c r="H9" s="29"/>
      <c r="I9" s="29" t="s">
        <v>95</v>
      </c>
      <c r="J9" s="29" t="s">
        <v>526</v>
      </c>
      <c r="K9" s="29" t="s">
        <v>526</v>
      </c>
      <c r="L9" s="29" t="s">
        <v>526</v>
      </c>
      <c r="M9" s="29" t="s">
        <v>526</v>
      </c>
      <c r="N9" s="29" t="s">
        <v>513</v>
      </c>
      <c r="O9" s="29" t="s">
        <v>513</v>
      </c>
      <c r="Q9" s="30" t="s">
        <v>47</v>
      </c>
      <c r="R9" s="30" t="s">
        <v>25</v>
      </c>
      <c r="S9" s="30" t="s">
        <v>26</v>
      </c>
      <c r="T9" s="30" t="s">
        <v>27</v>
      </c>
      <c r="U9" s="30" t="s">
        <v>28</v>
      </c>
      <c r="V9" s="30" t="s">
        <v>51</v>
      </c>
      <c r="W9" s="30" t="s">
        <v>50</v>
      </c>
      <c r="X9" s="30" t="s">
        <v>29</v>
      </c>
    </row>
    <row r="10" spans="2:24" ht="17.25" customHeight="1" x14ac:dyDescent="0.25">
      <c r="B10" s="31" t="str">
        <f t="shared" ref="B10:C12" si="0">R10</f>
        <v>IMPELCR1</v>
      </c>
      <c r="C10" s="31" t="str">
        <f t="shared" si="0"/>
        <v>Imports of Electricity from Region1</v>
      </c>
      <c r="D10" s="31"/>
      <c r="E10" s="32" t="s">
        <v>252</v>
      </c>
      <c r="F10" s="33"/>
      <c r="G10" s="33"/>
      <c r="H10" s="34">
        <v>31.536000000000001</v>
      </c>
      <c r="I10" s="35"/>
      <c r="J10" s="33">
        <f>'En.Bal-Primary-Transf.'!BX12/1000*41.868</f>
        <v>0.37681199999999998</v>
      </c>
      <c r="K10" s="35"/>
      <c r="L10" s="35">
        <f>J10</f>
        <v>0.37681199999999998</v>
      </c>
      <c r="M10" s="35"/>
      <c r="N10" s="35">
        <v>0.2</v>
      </c>
      <c r="O10" s="35">
        <v>1</v>
      </c>
      <c r="Q10" s="11" t="s">
        <v>99</v>
      </c>
      <c r="R10" s="11" t="str">
        <f>"IMPELC"&amp;"R1"</f>
        <v>IMPELCR1</v>
      </c>
      <c r="S10" s="11" t="s">
        <v>692</v>
      </c>
      <c r="T10" s="11" t="s">
        <v>71</v>
      </c>
      <c r="U10" s="11" t="s">
        <v>500</v>
      </c>
      <c r="V10" s="11" t="s">
        <v>251</v>
      </c>
      <c r="X10" s="11" t="s">
        <v>501</v>
      </c>
    </row>
    <row r="11" spans="2:24" ht="17.25" customHeight="1" x14ac:dyDescent="0.25">
      <c r="B11" s="31" t="str">
        <f t="shared" si="0"/>
        <v>IMPELCR2</v>
      </c>
      <c r="C11" s="31" t="str">
        <f t="shared" si="0"/>
        <v>Imports of Electricity from Region2</v>
      </c>
      <c r="D11" s="31"/>
      <c r="E11" s="32" t="s">
        <v>252</v>
      </c>
      <c r="F11" s="33"/>
      <c r="G11" s="33"/>
      <c r="H11" s="34">
        <v>31.536000000000001</v>
      </c>
      <c r="I11" s="35"/>
      <c r="J11" s="35">
        <v>0</v>
      </c>
      <c r="K11" s="35"/>
      <c r="L11" s="35">
        <v>0</v>
      </c>
      <c r="M11" s="35"/>
      <c r="N11" s="35">
        <v>0.2</v>
      </c>
      <c r="O11" s="35">
        <v>1</v>
      </c>
      <c r="R11" s="11" t="str">
        <f>"IMPELC"&amp;"R2"</f>
        <v>IMPELCR2</v>
      </c>
      <c r="S11" s="11" t="s">
        <v>693</v>
      </c>
      <c r="T11" s="11" t="s">
        <v>71</v>
      </c>
      <c r="U11" s="11" t="s">
        <v>500</v>
      </c>
      <c r="V11" s="11" t="s">
        <v>251</v>
      </c>
      <c r="X11" s="11" t="s">
        <v>501</v>
      </c>
    </row>
    <row r="12" spans="2:24" ht="17.25" customHeight="1" x14ac:dyDescent="0.25">
      <c r="B12" s="36" t="str">
        <f t="shared" si="0"/>
        <v>IMPELCR3</v>
      </c>
      <c r="C12" s="36" t="str">
        <f t="shared" si="0"/>
        <v>Imports of Electricity from Region3</v>
      </c>
      <c r="D12" s="36"/>
      <c r="E12" s="37" t="s">
        <v>252</v>
      </c>
      <c r="F12" s="38"/>
      <c r="G12" s="39"/>
      <c r="H12" s="40">
        <v>31.536000000000001</v>
      </c>
      <c r="I12" s="41"/>
      <c r="J12" s="41">
        <v>0</v>
      </c>
      <c r="K12" s="41"/>
      <c r="L12" s="41">
        <v>0</v>
      </c>
      <c r="M12" s="41"/>
      <c r="N12" s="41">
        <f>N11</f>
        <v>0.2</v>
      </c>
      <c r="O12" s="41">
        <v>1</v>
      </c>
      <c r="R12" s="11" t="str">
        <f>"IMPELC"&amp;"R3"</f>
        <v>IMPELCR3</v>
      </c>
      <c r="S12" s="11" t="s">
        <v>694</v>
      </c>
      <c r="T12" s="11" t="s">
        <v>71</v>
      </c>
      <c r="U12" s="11" t="s">
        <v>500</v>
      </c>
      <c r="V12" s="11" t="s">
        <v>251</v>
      </c>
      <c r="X12" s="11" t="s">
        <v>501</v>
      </c>
    </row>
    <row r="13" spans="2:24" ht="17.25" customHeight="1" x14ac:dyDescent="0.25">
      <c r="B13" s="31" t="str">
        <f>R13</f>
        <v>EXPELCR1</v>
      </c>
      <c r="C13" s="31" t="str">
        <f>S13</f>
        <v>Exports of Electricity to Region1</v>
      </c>
      <c r="D13" s="31" t="str">
        <f>E10</f>
        <v>ELCHIGG</v>
      </c>
      <c r="E13" s="32"/>
      <c r="F13" s="33"/>
      <c r="G13" s="33"/>
      <c r="H13" s="34">
        <f>H10</f>
        <v>31.536000000000001</v>
      </c>
      <c r="I13" s="35"/>
      <c r="J13" s="33">
        <f>'En.Bal-Primary-Transf.'!BX14/1000*41.868</f>
        <v>4.60548</v>
      </c>
      <c r="K13" s="35">
        <f>J13*0.85</f>
        <v>3.9146579999999997</v>
      </c>
      <c r="L13" s="35">
        <f>J13*L5</f>
        <v>13.81644</v>
      </c>
      <c r="M13" s="35">
        <v>0</v>
      </c>
      <c r="N13" s="35">
        <v>0.2</v>
      </c>
      <c r="O13" s="35"/>
      <c r="Q13" s="11" t="s">
        <v>762</v>
      </c>
      <c r="R13" s="11" t="str">
        <f>"EXPELC"&amp;"R1"</f>
        <v>EXPELCR1</v>
      </c>
      <c r="S13" s="11" t="s">
        <v>763</v>
      </c>
      <c r="T13" s="11" t="s">
        <v>71</v>
      </c>
      <c r="U13" s="11" t="s">
        <v>500</v>
      </c>
      <c r="V13" s="11" t="s">
        <v>251</v>
      </c>
      <c r="X13" s="11" t="s">
        <v>501</v>
      </c>
    </row>
    <row r="14" spans="2:24" ht="17.25" customHeight="1" x14ac:dyDescent="0.25">
      <c r="B14" s="31" t="str">
        <f t="shared" ref="B14:C15" si="1">R14</f>
        <v>EXPELCR2</v>
      </c>
      <c r="C14" s="31" t="str">
        <f t="shared" si="1"/>
        <v>Exports of Electricity to Region2</v>
      </c>
      <c r="D14" s="31" t="str">
        <f>D13</f>
        <v>ELCHIGG</v>
      </c>
      <c r="E14" s="32"/>
      <c r="F14" s="33"/>
      <c r="G14" s="33"/>
      <c r="H14" s="34">
        <f>H11</f>
        <v>31.536000000000001</v>
      </c>
      <c r="I14" s="35"/>
      <c r="J14" s="35">
        <v>0</v>
      </c>
      <c r="K14" s="35"/>
      <c r="L14" s="35">
        <v>0</v>
      </c>
      <c r="M14" s="35"/>
      <c r="N14" s="35">
        <v>0.2</v>
      </c>
      <c r="O14" s="35"/>
      <c r="R14" s="11" t="str">
        <f>"EXPELC"&amp;"R2"</f>
        <v>EXPELCR2</v>
      </c>
      <c r="S14" s="11" t="s">
        <v>764</v>
      </c>
      <c r="T14" s="11" t="s">
        <v>71</v>
      </c>
      <c r="U14" s="11" t="s">
        <v>500</v>
      </c>
      <c r="V14" s="11" t="s">
        <v>251</v>
      </c>
      <c r="X14" s="11" t="s">
        <v>501</v>
      </c>
    </row>
    <row r="15" spans="2:24" ht="17.25" customHeight="1" x14ac:dyDescent="0.25">
      <c r="B15" s="36" t="str">
        <f t="shared" si="1"/>
        <v>EXPELCR3</v>
      </c>
      <c r="C15" s="36" t="str">
        <f t="shared" si="1"/>
        <v>Exports of Electricity to Region3</v>
      </c>
      <c r="D15" s="36" t="str">
        <f>D14</f>
        <v>ELCHIGG</v>
      </c>
      <c r="E15" s="37"/>
      <c r="F15" s="38"/>
      <c r="G15" s="39"/>
      <c r="H15" s="40">
        <f>H12</f>
        <v>31.536000000000001</v>
      </c>
      <c r="I15" s="41"/>
      <c r="J15" s="41">
        <v>0</v>
      </c>
      <c r="K15" s="41"/>
      <c r="L15" s="41">
        <v>0</v>
      </c>
      <c r="M15" s="41"/>
      <c r="N15" s="41">
        <f>N14</f>
        <v>0.2</v>
      </c>
      <c r="O15" s="41"/>
      <c r="R15" s="11" t="str">
        <f>"EXPELC"&amp;"R3"</f>
        <v>EXPELCR3</v>
      </c>
      <c r="S15" s="11" t="s">
        <v>765</v>
      </c>
      <c r="T15" s="11" t="s">
        <v>71</v>
      </c>
      <c r="U15" s="11" t="s">
        <v>500</v>
      </c>
      <c r="V15" s="11" t="s">
        <v>251</v>
      </c>
      <c r="X15" s="11" t="s">
        <v>501</v>
      </c>
    </row>
    <row r="29" spans="16:16" ht="17.25" customHeight="1" x14ac:dyDescent="0.25">
      <c r="P29" s="8"/>
    </row>
    <row r="30" spans="16:16" ht="17.25" customHeight="1" x14ac:dyDescent="0.25">
      <c r="P30" s="9"/>
    </row>
    <row r="32" spans="16:16" ht="17.25" customHeight="1" x14ac:dyDescent="0.25">
      <c r="P32" s="8"/>
    </row>
    <row r="33" spans="16:16" ht="17.25" customHeight="1" x14ac:dyDescent="0.25">
      <c r="P33" s="9"/>
    </row>
    <row r="34" spans="16:16" ht="17.25" customHeight="1" x14ac:dyDescent="0.25">
      <c r="P34" s="9"/>
    </row>
    <row r="35" spans="16:16" ht="17.25" customHeight="1" x14ac:dyDescent="0.25">
      <c r="P35" s="10"/>
    </row>
    <row r="36" spans="16:16" ht="17.25" customHeight="1" x14ac:dyDescent="0.25">
      <c r="P36" s="10"/>
    </row>
    <row r="37" spans="16:16" ht="17.25" customHeight="1" x14ac:dyDescent="0.25">
      <c r="P37" s="10"/>
    </row>
    <row r="38" spans="16:16" ht="17.25" customHeight="1" x14ac:dyDescent="0.25">
      <c r="P38" s="10"/>
    </row>
    <row r="39" spans="16:16" ht="17.25" customHeight="1" x14ac:dyDescent="0.25">
      <c r="P39" s="10"/>
    </row>
    <row r="40" spans="16:16" ht="17.25" customHeight="1" x14ac:dyDescent="0.25">
      <c r="P40" s="10"/>
    </row>
    <row r="41" spans="16:16" ht="17.25" customHeight="1" x14ac:dyDescent="0.25">
      <c r="P41" s="10"/>
    </row>
    <row r="42" spans="16:16" ht="17.25" customHeight="1" x14ac:dyDescent="0.25">
      <c r="P42" s="10"/>
    </row>
    <row r="43" spans="16:16" ht="17.25" customHeight="1" x14ac:dyDescent="0.25">
      <c r="P43" s="10"/>
    </row>
    <row r="44" spans="16:16" ht="17.25" customHeight="1" x14ac:dyDescent="0.25">
      <c r="P44" s="10"/>
    </row>
    <row r="45" spans="16:16" ht="17.25" customHeight="1" x14ac:dyDescent="0.25">
      <c r="P45" s="10"/>
    </row>
    <row r="46" spans="16:16" ht="17.25" customHeight="1" x14ac:dyDescent="0.25">
      <c r="P46" s="10"/>
    </row>
    <row r="47" spans="16:16" ht="17.25" customHeight="1" x14ac:dyDescent="0.25">
      <c r="P47" s="10"/>
    </row>
    <row r="48" spans="16:16" ht="17.25" customHeight="1" x14ac:dyDescent="0.25">
      <c r="P48" s="10"/>
    </row>
    <row r="49" spans="16:16" ht="17.25" customHeight="1" x14ac:dyDescent="0.25">
      <c r="P49" s="10"/>
    </row>
    <row r="50" spans="16:16" ht="17.25" customHeight="1" x14ac:dyDescent="0.25">
      <c r="P50" s="10"/>
    </row>
    <row r="51" spans="16:16" ht="17.25" customHeight="1" x14ac:dyDescent="0.25">
      <c r="P51" s="10"/>
    </row>
    <row r="52" spans="16:16" ht="17.25" customHeight="1" x14ac:dyDescent="0.25">
      <c r="P52" s="10"/>
    </row>
    <row r="53" spans="16:16" ht="17.25" customHeight="1" x14ac:dyDescent="0.25">
      <c r="P53" s="10"/>
    </row>
    <row r="54" spans="16:16" ht="17.25" customHeight="1" x14ac:dyDescent="0.25">
      <c r="P54" s="10"/>
    </row>
    <row r="55" spans="16:16" ht="17.25" customHeight="1" x14ac:dyDescent="0.25">
      <c r="P55" s="10"/>
    </row>
    <row r="56" spans="16:16" ht="17.25" customHeight="1" x14ac:dyDescent="0.25">
      <c r="P56" s="10"/>
    </row>
    <row r="57" spans="16:16" ht="17.25" customHeight="1" x14ac:dyDescent="0.25">
      <c r="P57" s="10"/>
    </row>
    <row r="58" spans="16:16" ht="17.25" customHeight="1" x14ac:dyDescent="0.25">
      <c r="P58" s="10"/>
    </row>
    <row r="61" spans="16:16" ht="17.25" customHeight="1" x14ac:dyDescent="0.25">
      <c r="P61" s="8"/>
    </row>
    <row r="62" spans="16:16" ht="17.25" customHeight="1" x14ac:dyDescent="0.25">
      <c r="P62" s="9"/>
    </row>
    <row r="64" spans="16:16" ht="17.25" customHeight="1" x14ac:dyDescent="0.25">
      <c r="P64" s="8"/>
    </row>
    <row r="65" spans="16:16" ht="17.25" customHeight="1" x14ac:dyDescent="0.25">
      <c r="P65" s="9"/>
    </row>
    <row r="66" spans="16:16" ht="17.25" customHeight="1" x14ac:dyDescent="0.25">
      <c r="P66" s="9"/>
    </row>
    <row r="67" spans="16:16" ht="17.25" customHeight="1" x14ac:dyDescent="0.25">
      <c r="P67" s="10"/>
    </row>
    <row r="68" spans="16:16" ht="17.25" customHeight="1" x14ac:dyDescent="0.25">
      <c r="P68" s="10"/>
    </row>
    <row r="69" spans="16:16" ht="17.25" customHeight="1" x14ac:dyDescent="0.25">
      <c r="P69" s="10"/>
    </row>
    <row r="70" spans="16:16" ht="17.25" customHeight="1" x14ac:dyDescent="0.25">
      <c r="P70" s="10"/>
    </row>
    <row r="71" spans="16:16" ht="17.25" customHeight="1" x14ac:dyDescent="0.25">
      <c r="P71" s="10"/>
    </row>
    <row r="72" spans="16:16" ht="17.25" customHeight="1" x14ac:dyDescent="0.25">
      <c r="P72" s="10"/>
    </row>
    <row r="73" spans="16:16" ht="17.25" customHeight="1" x14ac:dyDescent="0.25">
      <c r="P73" s="10"/>
    </row>
    <row r="74" spans="16:16" ht="17.25" customHeight="1" x14ac:dyDescent="0.25">
      <c r="P74" s="10"/>
    </row>
    <row r="75" spans="16:16" ht="17.25" customHeight="1" x14ac:dyDescent="0.25">
      <c r="P75" s="10"/>
    </row>
    <row r="76" spans="16:16" ht="17.25" customHeight="1" x14ac:dyDescent="0.25">
      <c r="P76" s="10"/>
    </row>
    <row r="77" spans="16:16" ht="17.25" customHeight="1" x14ac:dyDescent="0.25">
      <c r="P77" s="10"/>
    </row>
    <row r="78" spans="16:16" ht="17.25" customHeight="1" x14ac:dyDescent="0.25">
      <c r="P78" s="10"/>
    </row>
    <row r="79" spans="16:16" ht="17.25" customHeight="1" x14ac:dyDescent="0.25">
      <c r="P79" s="10"/>
    </row>
    <row r="80" spans="16:16" ht="17.25" customHeight="1" x14ac:dyDescent="0.25">
      <c r="P80" s="10"/>
    </row>
    <row r="81" spans="16:16" ht="17.25" customHeight="1" x14ac:dyDescent="0.25">
      <c r="P81" s="10"/>
    </row>
    <row r="82" spans="16:16" ht="17.25" customHeight="1" x14ac:dyDescent="0.25">
      <c r="P82" s="10"/>
    </row>
    <row r="83" spans="16:16" ht="17.25" customHeight="1" x14ac:dyDescent="0.25">
      <c r="P83" s="10"/>
    </row>
    <row r="84" spans="16:16" ht="17.25" customHeight="1" x14ac:dyDescent="0.25">
      <c r="P84" s="10"/>
    </row>
    <row r="85" spans="16:16" ht="17.25" customHeight="1" x14ac:dyDescent="0.25">
      <c r="P85" s="10"/>
    </row>
    <row r="86" spans="16:16" ht="17.25" customHeight="1" x14ac:dyDescent="0.25">
      <c r="P86" s="10"/>
    </row>
    <row r="87" spans="16:16" ht="17.25" customHeight="1" x14ac:dyDescent="0.25">
      <c r="P87" s="10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11"/>
  <sheetViews>
    <sheetView zoomScale="85" zoomScaleNormal="85" workbookViewId="0">
      <selection activeCell="E12" sqref="E12"/>
    </sheetView>
  </sheetViews>
  <sheetFormatPr defaultRowHeight="16.5" customHeight="1" x14ac:dyDescent="0.25"/>
  <cols>
    <col min="1" max="1" width="21.109375" customWidth="1"/>
    <col min="2" max="2" width="28.109375" customWidth="1"/>
    <col min="3" max="3" width="28.5546875" customWidth="1"/>
    <col min="4" max="4" width="14.109375" customWidth="1"/>
    <col min="5" max="5" width="13.44140625" customWidth="1"/>
  </cols>
  <sheetData>
    <row r="1" spans="1:6" ht="16.5" customHeight="1" x14ac:dyDescent="0.3">
      <c r="A1" s="4" t="s">
        <v>92</v>
      </c>
      <c r="B1" s="3"/>
      <c r="E1" t="s">
        <v>520</v>
      </c>
      <c r="F1">
        <v>2017</v>
      </c>
    </row>
    <row r="2" spans="1:6" ht="16.5" customHeight="1" x14ac:dyDescent="0.3">
      <c r="A2" s="5" t="s">
        <v>93</v>
      </c>
      <c r="B2" s="6" t="s">
        <v>71</v>
      </c>
      <c r="E2" t="s">
        <v>521</v>
      </c>
      <c r="F2">
        <v>2050</v>
      </c>
    </row>
    <row r="3" spans="1:6" ht="16.5" customHeight="1" x14ac:dyDescent="0.3">
      <c r="A3" s="5" t="s">
        <v>91</v>
      </c>
      <c r="B3" s="6" t="s">
        <v>768</v>
      </c>
    </row>
    <row r="4" spans="1:6" ht="16.5" customHeight="1" x14ac:dyDescent="0.3">
      <c r="A4" s="5" t="s">
        <v>94</v>
      </c>
      <c r="B4" s="6" t="s">
        <v>88</v>
      </c>
    </row>
    <row r="7" spans="1:6" ht="16.5" customHeight="1" x14ac:dyDescent="0.3">
      <c r="A7" s="17" t="s">
        <v>511</v>
      </c>
      <c r="B7" s="17"/>
    </row>
    <row r="9" spans="1:6" ht="16.5" customHeight="1" x14ac:dyDescent="0.3">
      <c r="A9" s="4" t="s">
        <v>504</v>
      </c>
      <c r="B9" s="4" t="s">
        <v>505</v>
      </c>
      <c r="C9" s="4" t="s">
        <v>506</v>
      </c>
      <c r="D9" s="4" t="s">
        <v>96</v>
      </c>
      <c r="E9" s="4" t="s">
        <v>512</v>
      </c>
    </row>
    <row r="10" spans="1:6" ht="16.5" customHeight="1" x14ac:dyDescent="0.25">
      <c r="A10" t="s">
        <v>502</v>
      </c>
      <c r="B10" t="s">
        <v>43</v>
      </c>
      <c r="C10" s="1" t="s">
        <v>508</v>
      </c>
      <c r="D10" s="12" t="s">
        <v>769</v>
      </c>
      <c r="E10" s="12" t="s">
        <v>771</v>
      </c>
    </row>
    <row r="11" spans="1:6" ht="16.5" customHeight="1" x14ac:dyDescent="0.25">
      <c r="A11" t="s">
        <v>503</v>
      </c>
      <c r="B11" t="s">
        <v>42</v>
      </c>
      <c r="C11" s="1" t="s">
        <v>509</v>
      </c>
      <c r="D11" t="s">
        <v>770</v>
      </c>
      <c r="E11" s="12" t="s">
        <v>772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E37"/>
  <sheetViews>
    <sheetView zoomScale="60" zoomScaleNormal="60" workbookViewId="0">
      <pane xSplit="6" ySplit="6" topLeftCell="G7" activePane="bottomRight" state="frozen"/>
      <selection pane="topRight"/>
      <selection pane="bottomLeft"/>
      <selection pane="bottomRight" sqref="A1:XFD1048576"/>
    </sheetView>
  </sheetViews>
  <sheetFormatPr defaultColWidth="9.109375" defaultRowHeight="13.2" x14ac:dyDescent="0.25"/>
  <cols>
    <col min="1" max="1" width="9.109375" style="60"/>
    <col min="2" max="2" width="17.6640625" style="60" bestFit="1" customWidth="1"/>
    <col min="3" max="3" width="45.109375" style="60" bestFit="1" customWidth="1"/>
    <col min="4" max="4" width="15" style="60" bestFit="1" customWidth="1"/>
    <col min="5" max="5" width="16" style="60" bestFit="1" customWidth="1"/>
    <col min="6" max="6" width="17.6640625" style="60" bestFit="1" customWidth="1"/>
    <col min="7" max="7" width="13.5546875" style="60" bestFit="1" customWidth="1"/>
    <col min="8" max="8" width="9.5546875" style="60" bestFit="1" customWidth="1"/>
    <col min="9" max="9" width="23.5546875" style="60" bestFit="1" customWidth="1"/>
    <col min="10" max="10" width="23" style="60" bestFit="1" customWidth="1"/>
    <col min="11" max="11" width="25" style="60" customWidth="1"/>
    <col min="12" max="12" width="33.109375" style="60" customWidth="1"/>
    <col min="13" max="13" width="25.109375" style="60" customWidth="1"/>
    <col min="14" max="14" width="14.44140625" style="60" customWidth="1"/>
    <col min="15" max="15" width="18.109375" style="60" bestFit="1" customWidth="1"/>
    <col min="16" max="16" width="17.33203125" style="60" bestFit="1" customWidth="1"/>
    <col min="17" max="17" width="17.33203125" style="60" customWidth="1"/>
    <col min="18" max="19" width="20.88671875" style="60" customWidth="1"/>
    <col min="20" max="20" width="9.109375" style="60"/>
    <col min="21" max="21" width="44.5546875" style="60" bestFit="1" customWidth="1"/>
    <col min="22" max="22" width="19.33203125" style="60" customWidth="1"/>
    <col min="23" max="23" width="48" style="60" customWidth="1"/>
    <col min="24" max="24" width="16" style="60" bestFit="1" customWidth="1"/>
    <col min="25" max="25" width="12.44140625" style="60" bestFit="1" customWidth="1"/>
    <col min="26" max="26" width="31.6640625" style="60" bestFit="1" customWidth="1"/>
    <col min="27" max="27" width="24.5546875" style="60" bestFit="1" customWidth="1"/>
    <col min="28" max="28" width="15.6640625" style="60" bestFit="1" customWidth="1"/>
    <col min="29" max="29" width="9.109375" style="60"/>
    <col min="30" max="30" width="22" style="60" bestFit="1" customWidth="1"/>
    <col min="31" max="16384" width="9.109375" style="60"/>
  </cols>
  <sheetData>
    <row r="1" spans="2:31" ht="15.6" x14ac:dyDescent="0.3">
      <c r="B1" s="18" t="s">
        <v>665</v>
      </c>
    </row>
    <row r="3" spans="2:31" ht="17.399999999999999" x14ac:dyDescent="0.3">
      <c r="F3" s="14" t="s">
        <v>15</v>
      </c>
      <c r="G3" s="14"/>
      <c r="I3" s="69"/>
      <c r="J3" s="69"/>
      <c r="O3" s="70"/>
      <c r="P3" s="70"/>
      <c r="Q3" s="71"/>
      <c r="U3" s="72" t="s">
        <v>41</v>
      </c>
      <c r="V3" s="73"/>
      <c r="W3" s="73"/>
      <c r="X3" s="73"/>
      <c r="Y3" s="73"/>
      <c r="Z3" s="73"/>
      <c r="AA3" s="73"/>
      <c r="AB3" s="73"/>
    </row>
    <row r="4" spans="2:31" ht="13.8" x14ac:dyDescent="0.25">
      <c r="B4" s="44" t="s">
        <v>1</v>
      </c>
      <c r="C4" s="44" t="s">
        <v>44</v>
      </c>
      <c r="D4" s="21" t="s">
        <v>538</v>
      </c>
      <c r="E4" s="44" t="s">
        <v>7</v>
      </c>
      <c r="F4" s="45" t="s">
        <v>8</v>
      </c>
      <c r="G4" s="46" t="s">
        <v>102</v>
      </c>
      <c r="H4" s="46" t="s">
        <v>17</v>
      </c>
      <c r="I4" s="46" t="s">
        <v>689</v>
      </c>
      <c r="J4" s="46" t="str">
        <f>"NCAP_AFA~"&amp;BASE_YEAR</f>
        <v>NCAP_AFA~2017</v>
      </c>
      <c r="K4" s="46" t="str">
        <f>"NCAP_AFA~"&amp;BASE_YEAR+1</f>
        <v>NCAP_AFA~2018</v>
      </c>
      <c r="L4" s="46" t="s">
        <v>675</v>
      </c>
      <c r="M4" s="46" t="s">
        <v>502</v>
      </c>
      <c r="N4" s="46" t="s">
        <v>503</v>
      </c>
      <c r="O4" s="46" t="s">
        <v>108</v>
      </c>
      <c r="P4" s="46" t="s">
        <v>518</v>
      </c>
      <c r="U4" s="74" t="s">
        <v>19</v>
      </c>
      <c r="V4" s="73"/>
      <c r="W4" s="73"/>
      <c r="X4" s="73"/>
      <c r="Y4" s="73"/>
      <c r="Z4" s="73"/>
      <c r="AA4" s="73"/>
      <c r="AB4" s="73"/>
    </row>
    <row r="5" spans="2:31" ht="13.8" thickBot="1" x14ac:dyDescent="0.3">
      <c r="B5" s="47" t="s">
        <v>621</v>
      </c>
      <c r="C5" s="47" t="s">
        <v>26</v>
      </c>
      <c r="D5" s="47"/>
      <c r="E5" s="47" t="s">
        <v>36</v>
      </c>
      <c r="F5" s="48" t="s">
        <v>37</v>
      </c>
      <c r="G5" s="47"/>
      <c r="H5" s="47" t="s">
        <v>38</v>
      </c>
      <c r="I5" s="47" t="s">
        <v>39</v>
      </c>
      <c r="J5" s="47" t="s">
        <v>40</v>
      </c>
      <c r="K5" s="47"/>
      <c r="L5" s="47"/>
      <c r="M5" s="47" t="s">
        <v>43</v>
      </c>
      <c r="N5" s="47" t="s">
        <v>42</v>
      </c>
      <c r="O5" s="47"/>
      <c r="P5" s="47" t="s">
        <v>519</v>
      </c>
      <c r="U5" s="49" t="s">
        <v>13</v>
      </c>
      <c r="V5" s="49" t="s">
        <v>1</v>
      </c>
      <c r="W5" s="49" t="s">
        <v>2</v>
      </c>
      <c r="X5" s="49" t="s">
        <v>20</v>
      </c>
      <c r="Y5" s="49" t="s">
        <v>21</v>
      </c>
      <c r="Z5" s="49" t="s">
        <v>22</v>
      </c>
      <c r="AA5" s="49" t="s">
        <v>23</v>
      </c>
      <c r="AB5" s="49" t="s">
        <v>24</v>
      </c>
      <c r="AE5" s="75"/>
    </row>
    <row r="6" spans="2:31" ht="15.6" thickBot="1" x14ac:dyDescent="0.3">
      <c r="B6" s="50"/>
      <c r="C6" s="51"/>
      <c r="D6" s="51"/>
      <c r="E6" s="51" t="s">
        <v>90</v>
      </c>
      <c r="F6" s="52"/>
      <c r="G6" s="51"/>
      <c r="H6" s="51" t="s">
        <v>513</v>
      </c>
      <c r="I6" s="51" t="s">
        <v>500</v>
      </c>
      <c r="J6" s="51" t="s">
        <v>513</v>
      </c>
      <c r="K6" s="51" t="s">
        <v>513</v>
      </c>
      <c r="L6" s="51" t="s">
        <v>513</v>
      </c>
      <c r="M6" s="53" t="s">
        <v>507</v>
      </c>
      <c r="N6" s="53" t="s">
        <v>510</v>
      </c>
      <c r="O6" s="51"/>
      <c r="P6" s="51"/>
      <c r="U6" s="54" t="s">
        <v>47</v>
      </c>
      <c r="V6" s="54" t="s">
        <v>25</v>
      </c>
      <c r="W6" s="54" t="s">
        <v>26</v>
      </c>
      <c r="X6" s="54" t="s">
        <v>27</v>
      </c>
      <c r="Y6" s="54" t="s">
        <v>28</v>
      </c>
      <c r="Z6" s="54" t="s">
        <v>51</v>
      </c>
      <c r="AA6" s="54" t="s">
        <v>50</v>
      </c>
      <c r="AB6" s="54" t="s">
        <v>29</v>
      </c>
      <c r="AE6" s="75"/>
    </row>
    <row r="7" spans="2:31" x14ac:dyDescent="0.25">
      <c r="B7" s="60" t="str">
        <f>V7</f>
        <v>HPPGASNAT00</v>
      </c>
      <c r="C7" s="60" t="str">
        <f>W7</f>
        <v>District heating plant Natural Gas (HET)</v>
      </c>
      <c r="E7" s="55" t="str">
        <f>Commodities!D88</f>
        <v>HETGASNAT</v>
      </c>
      <c r="F7" s="62" t="str">
        <f>Commodities!$D$83</f>
        <v>HETHTH</v>
      </c>
      <c r="G7" s="61"/>
      <c r="H7" s="56">
        <f>ELE_Data!D61</f>
        <v>0.82</v>
      </c>
      <c r="I7" s="57">
        <f>ELE_Data!C61*1.05</f>
        <v>0.77729821917808228</v>
      </c>
      <c r="J7" s="57">
        <f>ELE_Data!E61</f>
        <v>0.25</v>
      </c>
      <c r="K7" s="57"/>
      <c r="L7" s="57">
        <f>J7*0.8</f>
        <v>0.2</v>
      </c>
      <c r="M7" s="58"/>
      <c r="N7" s="58"/>
      <c r="O7" s="58">
        <v>30</v>
      </c>
      <c r="P7" s="58">
        <v>31.536000000000001</v>
      </c>
      <c r="U7" s="60" t="s">
        <v>636</v>
      </c>
      <c r="V7" s="76" t="str">
        <f>"HPP"&amp;(RIGHT(Commodities!$D$88,6)&amp;"00")</f>
        <v>HPPGASNAT00</v>
      </c>
      <c r="W7" s="60" t="str">
        <f>"District heating plant "&amp;Commodities!E88</f>
        <v>District heating plant Natural Gas (HET)</v>
      </c>
      <c r="X7" s="60" t="s">
        <v>71</v>
      </c>
      <c r="Y7" s="60" t="s">
        <v>500</v>
      </c>
      <c r="Z7" s="77" t="s">
        <v>251</v>
      </c>
      <c r="AA7" s="61"/>
      <c r="AB7" s="61" t="s">
        <v>501</v>
      </c>
      <c r="AE7" s="75"/>
    </row>
    <row r="8" spans="2:31" x14ac:dyDescent="0.25">
      <c r="D8" s="55" t="str">
        <f>Commodities!$D$96</f>
        <v>SUPHTH</v>
      </c>
      <c r="E8" s="55"/>
      <c r="F8" s="62"/>
      <c r="G8" s="63">
        <v>0</v>
      </c>
      <c r="H8" s="58"/>
      <c r="I8" s="58"/>
      <c r="J8" s="58"/>
      <c r="K8" s="58"/>
      <c r="L8" s="58"/>
      <c r="M8" s="58"/>
      <c r="N8" s="58"/>
      <c r="V8" s="76" t="str">
        <f>"HPP"&amp;(RIGHT(Commodities!$D$85,6)&amp;"00")</f>
        <v>HPPCOASUB00</v>
      </c>
      <c r="W8" s="60" t="str">
        <f>"District heating plant "&amp;Commodities!E85</f>
        <v>District heating plant Sub-bituminous coal (HET)</v>
      </c>
      <c r="X8" s="60" t="str">
        <f t="shared" ref="X8:Y9" si="0">X7</f>
        <v>PJ</v>
      </c>
      <c r="Y8" s="60" t="str">
        <f t="shared" si="0"/>
        <v>GW</v>
      </c>
      <c r="Z8" s="77" t="s">
        <v>251</v>
      </c>
      <c r="AA8" s="61"/>
      <c r="AB8" s="61" t="s">
        <v>501</v>
      </c>
      <c r="AE8" s="75"/>
    </row>
    <row r="9" spans="2:31" x14ac:dyDescent="0.25">
      <c r="B9" s="64"/>
      <c r="C9" s="64"/>
      <c r="D9" s="64" t="str">
        <f>Commodities!$D$74</f>
        <v>SUPELC</v>
      </c>
      <c r="E9" s="64"/>
      <c r="F9" s="65"/>
      <c r="G9" s="66">
        <v>0</v>
      </c>
      <c r="H9" s="67"/>
      <c r="I9" s="67"/>
      <c r="J9" s="67"/>
      <c r="K9" s="67"/>
      <c r="L9" s="67"/>
      <c r="M9" s="67"/>
      <c r="N9" s="67"/>
      <c r="O9" s="64"/>
      <c r="P9" s="64"/>
      <c r="V9" s="76" t="str">
        <f>"HPP"&amp;(RIGHT(Commodities!$D$86,6)&amp;"00")</f>
        <v>HPPCOABCO00</v>
      </c>
      <c r="W9" s="60" t="str">
        <f>"District heating plant "&amp;Commodities!E86</f>
        <v>District heating plant BrownCoal/Lignite (HET)</v>
      </c>
      <c r="X9" s="60" t="str">
        <f t="shared" si="0"/>
        <v>PJ</v>
      </c>
      <c r="Y9" s="60" t="str">
        <f t="shared" si="0"/>
        <v>GW</v>
      </c>
      <c r="Z9" s="77" t="s">
        <v>251</v>
      </c>
      <c r="AA9" s="61"/>
      <c r="AB9" s="61" t="s">
        <v>501</v>
      </c>
      <c r="AE9" s="75"/>
    </row>
    <row r="10" spans="2:31" x14ac:dyDescent="0.25">
      <c r="B10" s="60" t="str">
        <f>V8</f>
        <v>HPPCOASUB00</v>
      </c>
      <c r="C10" s="60" t="str">
        <f>W8</f>
        <v>District heating plant Sub-bituminous coal (HET)</v>
      </c>
      <c r="E10" s="55" t="str">
        <f>Commodities!D85</f>
        <v>HETCOASUB</v>
      </c>
      <c r="F10" s="62" t="str">
        <f>Commodities!$D$83</f>
        <v>HETHTH</v>
      </c>
      <c r="G10" s="61"/>
      <c r="H10" s="56">
        <f>ELE_Data!D62</f>
        <v>0.75</v>
      </c>
      <c r="I10" s="57">
        <f>ELE_Data!C62*1.05</f>
        <v>0</v>
      </c>
      <c r="J10" s="57">
        <f>ELE_Data!E62</f>
        <v>0.25</v>
      </c>
      <c r="K10" s="57"/>
      <c r="L10" s="57"/>
      <c r="M10" s="58"/>
      <c r="N10" s="58"/>
      <c r="O10" s="58">
        <v>20</v>
      </c>
      <c r="P10" s="58">
        <v>31.536000000000001</v>
      </c>
      <c r="U10" s="76" t="s">
        <v>633</v>
      </c>
      <c r="V10" s="76"/>
      <c r="Z10" s="77"/>
      <c r="AA10" s="61"/>
      <c r="AB10" s="61"/>
      <c r="AD10" s="68"/>
      <c r="AE10" s="75"/>
    </row>
    <row r="11" spans="2:31" x14ac:dyDescent="0.25">
      <c r="D11" s="55" t="str">
        <f>Commodities!$D$96</f>
        <v>SUPHTH</v>
      </c>
      <c r="E11" s="55"/>
      <c r="F11" s="62"/>
      <c r="G11" s="63">
        <v>0</v>
      </c>
      <c r="H11" s="58"/>
      <c r="I11" s="58"/>
      <c r="J11" s="58"/>
      <c r="K11" s="58"/>
      <c r="L11" s="58"/>
      <c r="M11" s="58"/>
      <c r="N11" s="58"/>
      <c r="U11" s="76" t="s">
        <v>633</v>
      </c>
      <c r="V11" s="76"/>
      <c r="Z11" s="77"/>
      <c r="AA11" s="61"/>
      <c r="AB11" s="61"/>
      <c r="AD11" s="68"/>
      <c r="AE11" s="75"/>
    </row>
    <row r="12" spans="2:31" x14ac:dyDescent="0.25">
      <c r="B12" s="64"/>
      <c r="C12" s="64"/>
      <c r="D12" s="64" t="str">
        <f>Commodities!$D$74</f>
        <v>SUPELC</v>
      </c>
      <c r="E12" s="64"/>
      <c r="F12" s="65"/>
      <c r="G12" s="66">
        <v>0</v>
      </c>
      <c r="H12" s="67"/>
      <c r="I12" s="67"/>
      <c r="J12" s="67"/>
      <c r="K12" s="67"/>
      <c r="L12" s="67"/>
      <c r="M12" s="67"/>
      <c r="N12" s="67"/>
      <c r="O12" s="64"/>
      <c r="P12" s="64"/>
      <c r="V12" s="76"/>
      <c r="AA12" s="61"/>
      <c r="AB12" s="61"/>
      <c r="AD12" s="68"/>
    </row>
    <row r="13" spans="2:31" x14ac:dyDescent="0.25">
      <c r="B13" s="60" t="str">
        <f>V9</f>
        <v>HPPCOABCO00</v>
      </c>
      <c r="C13" s="60" t="str">
        <f>W9</f>
        <v>District heating plant BrownCoal/Lignite (HET)</v>
      </c>
      <c r="E13" s="55" t="str">
        <f>Commodities!D86</f>
        <v>HETCOABCO</v>
      </c>
      <c r="F13" s="62" t="str">
        <f>Commodities!$D$83</f>
        <v>HETHTH</v>
      </c>
      <c r="G13" s="61"/>
      <c r="H13" s="56">
        <f>ELE_Data!D63</f>
        <v>0.7</v>
      </c>
      <c r="I13" s="57">
        <f>ELE_Data!C63*1.05</f>
        <v>0</v>
      </c>
      <c r="J13" s="57">
        <f>ELE_Data!E63</f>
        <v>0.25</v>
      </c>
      <c r="K13" s="57"/>
      <c r="L13" s="57"/>
      <c r="M13" s="58"/>
      <c r="N13" s="58"/>
      <c r="O13" s="58">
        <v>20</v>
      </c>
      <c r="P13" s="58">
        <v>31.536000000000001</v>
      </c>
      <c r="V13" s="76"/>
      <c r="AA13" s="61"/>
      <c r="AB13" s="61"/>
      <c r="AD13" s="68"/>
    </row>
    <row r="14" spans="2:31" x14ac:dyDescent="0.25">
      <c r="D14" s="55" t="str">
        <f>Commodities!$D$96</f>
        <v>SUPHTH</v>
      </c>
      <c r="E14" s="55"/>
      <c r="F14" s="62"/>
      <c r="G14" s="63">
        <v>0</v>
      </c>
      <c r="H14" s="58"/>
      <c r="I14" s="58"/>
      <c r="J14" s="58"/>
      <c r="K14" s="58"/>
      <c r="L14" s="58"/>
      <c r="M14" s="58"/>
      <c r="N14" s="58"/>
      <c r="V14" s="76"/>
      <c r="AA14" s="61"/>
      <c r="AB14" s="61"/>
      <c r="AD14" s="68"/>
    </row>
    <row r="15" spans="2:31" x14ac:dyDescent="0.25">
      <c r="B15" s="64"/>
      <c r="C15" s="64"/>
      <c r="D15" s="64" t="str">
        <f>Commodities!$D$74</f>
        <v>SUPELC</v>
      </c>
      <c r="E15" s="64"/>
      <c r="F15" s="65"/>
      <c r="G15" s="66">
        <v>0</v>
      </c>
      <c r="H15" s="67"/>
      <c r="I15" s="67"/>
      <c r="J15" s="67"/>
      <c r="K15" s="67"/>
      <c r="L15" s="67"/>
      <c r="M15" s="67"/>
      <c r="N15" s="67"/>
      <c r="O15" s="64"/>
      <c r="P15" s="64"/>
      <c r="V15" s="76"/>
      <c r="AA15" s="61"/>
      <c r="AB15" s="61"/>
      <c r="AD15" s="68"/>
    </row>
    <row r="16" spans="2:31" x14ac:dyDescent="0.25">
      <c r="B16" s="61" t="str">
        <f t="shared" ref="B16:B20" si="1">IF(G16=0,"*","")</f>
        <v>*</v>
      </c>
      <c r="E16" s="55"/>
      <c r="F16" s="62"/>
      <c r="G16" s="61"/>
      <c r="H16" s="56"/>
      <c r="I16" s="57"/>
      <c r="J16" s="57"/>
      <c r="K16" s="57"/>
      <c r="L16" s="57"/>
      <c r="M16" s="58"/>
      <c r="N16" s="58"/>
      <c r="O16" s="58"/>
      <c r="P16" s="58"/>
      <c r="V16" s="76"/>
      <c r="AA16" s="61"/>
      <c r="AB16" s="61"/>
      <c r="AD16" s="68"/>
    </row>
    <row r="17" spans="2:30" x14ac:dyDescent="0.25">
      <c r="B17" s="61" t="str">
        <f t="shared" si="1"/>
        <v>*</v>
      </c>
      <c r="D17" s="55"/>
      <c r="E17" s="55"/>
      <c r="F17" s="62"/>
      <c r="G17" s="63"/>
      <c r="H17" s="58"/>
      <c r="I17" s="58"/>
      <c r="J17" s="58"/>
      <c r="K17" s="58"/>
      <c r="L17" s="58"/>
      <c r="M17" s="58"/>
      <c r="N17" s="58"/>
      <c r="V17" s="76"/>
      <c r="AA17" s="61"/>
      <c r="AB17" s="61"/>
      <c r="AD17" s="68"/>
    </row>
    <row r="18" spans="2:30" x14ac:dyDescent="0.25">
      <c r="B18" s="64" t="str">
        <f t="shared" si="1"/>
        <v>*</v>
      </c>
      <c r="C18" s="64"/>
      <c r="D18" s="64"/>
      <c r="E18" s="64"/>
      <c r="F18" s="65"/>
      <c r="G18" s="66"/>
      <c r="H18" s="67"/>
      <c r="I18" s="67"/>
      <c r="J18" s="67"/>
      <c r="K18" s="67"/>
      <c r="L18" s="67"/>
      <c r="M18" s="67"/>
      <c r="N18" s="67"/>
      <c r="O18" s="64"/>
      <c r="P18" s="64"/>
      <c r="V18" s="76"/>
      <c r="AA18" s="61"/>
      <c r="AB18" s="61"/>
      <c r="AD18" s="68"/>
    </row>
    <row r="19" spans="2:30" x14ac:dyDescent="0.25">
      <c r="B19" s="61" t="str">
        <f t="shared" si="1"/>
        <v>*</v>
      </c>
      <c r="E19" s="55"/>
      <c r="F19" s="62"/>
      <c r="G19" s="61"/>
      <c r="H19" s="56"/>
      <c r="I19" s="57"/>
      <c r="J19" s="57"/>
      <c r="K19" s="57"/>
      <c r="L19" s="57"/>
      <c r="M19" s="58"/>
      <c r="N19" s="58"/>
      <c r="O19" s="58"/>
      <c r="P19" s="58"/>
      <c r="V19" s="76"/>
      <c r="AA19" s="61"/>
      <c r="AB19" s="61"/>
      <c r="AD19" s="68"/>
    </row>
    <row r="20" spans="2:30" x14ac:dyDescent="0.25">
      <c r="B20" s="61" t="str">
        <f t="shared" si="1"/>
        <v>*</v>
      </c>
      <c r="D20" s="55"/>
      <c r="E20" s="55"/>
      <c r="F20" s="62"/>
      <c r="G20" s="63"/>
      <c r="H20" s="58"/>
      <c r="I20" s="58"/>
      <c r="J20" s="58"/>
      <c r="K20" s="58"/>
      <c r="L20" s="58"/>
      <c r="M20" s="58"/>
      <c r="N20" s="58"/>
    </row>
    <row r="21" spans="2:30" x14ac:dyDescent="0.25">
      <c r="B21" s="64" t="str">
        <f>IF(G21=0,"*","")</f>
        <v>*</v>
      </c>
      <c r="C21" s="64"/>
      <c r="D21" s="64"/>
      <c r="E21" s="64"/>
      <c r="F21" s="65"/>
      <c r="G21" s="66"/>
      <c r="H21" s="67"/>
      <c r="I21" s="67"/>
      <c r="J21" s="67"/>
      <c r="K21" s="67"/>
      <c r="L21" s="67"/>
      <c r="M21" s="67"/>
      <c r="N21" s="67"/>
      <c r="O21" s="64"/>
      <c r="P21" s="64"/>
    </row>
    <row r="37" spans="23:23" x14ac:dyDescent="0.25">
      <c r="W37" s="78"/>
    </row>
  </sheetData>
  <conditionalFormatting sqref="I8:I9">
    <cfRule type="top10" dxfId="4" priority="8" stopIfTrue="1" rank="10"/>
  </conditionalFormatting>
  <conditionalFormatting sqref="I11:I12">
    <cfRule type="top10" dxfId="3" priority="4" stopIfTrue="1" rank="10"/>
  </conditionalFormatting>
  <conditionalFormatting sqref="I14:I15">
    <cfRule type="top10" dxfId="2" priority="3" stopIfTrue="1" rank="10"/>
  </conditionalFormatting>
  <conditionalFormatting sqref="I17:I18">
    <cfRule type="top10" dxfId="1" priority="2" stopIfTrue="1" rank="10"/>
  </conditionalFormatting>
  <conditionalFormatting sqref="I20:I21">
    <cfRule type="top10" dxfId="0" priority="1" stopIfTrue="1" rank="10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AW94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sqref="A1:XFD1048576"/>
    </sheetView>
  </sheetViews>
  <sheetFormatPr defaultRowHeight="13.2" x14ac:dyDescent="0.25"/>
  <cols>
    <col min="1" max="1" width="6.33203125" style="77" customWidth="1"/>
    <col min="2" max="2" width="17.109375" style="77" customWidth="1"/>
    <col min="3" max="3" width="24.33203125" style="77" bestFit="1" customWidth="1"/>
    <col min="4" max="4" width="17.88671875" style="77" customWidth="1"/>
    <col min="5" max="5" width="19.44140625" style="77" customWidth="1"/>
    <col min="6" max="6" width="21.33203125" style="77" customWidth="1"/>
    <col min="7" max="7" width="15.5546875" style="77" customWidth="1"/>
    <col min="8" max="8" width="26.88671875" style="77" customWidth="1"/>
    <col min="9" max="9" width="22" style="77" bestFit="1" customWidth="1"/>
    <col min="10" max="11" width="19.5546875" style="77" customWidth="1"/>
    <col min="12" max="12" width="20.88671875" style="77" bestFit="1" customWidth="1"/>
    <col min="13" max="14" width="19.5546875" style="77" customWidth="1"/>
    <col min="15" max="15" width="21" style="77" bestFit="1" customWidth="1"/>
    <col min="16" max="17" width="21.44140625" style="77" bestFit="1" customWidth="1"/>
    <col min="18" max="18" width="24.6640625" style="77" bestFit="1" customWidth="1"/>
    <col min="19" max="19" width="20.5546875" style="77" bestFit="1" customWidth="1"/>
    <col min="20" max="20" width="20.5546875" style="77" customWidth="1"/>
    <col min="21" max="21" width="27.88671875" style="77" bestFit="1" customWidth="1"/>
    <col min="22" max="22" width="24.5546875" style="77" bestFit="1" customWidth="1"/>
    <col min="23" max="23" width="20" style="77" customWidth="1"/>
    <col min="24" max="24" width="24.33203125" style="77" bestFit="1" customWidth="1"/>
    <col min="25" max="25" width="22.5546875" style="77" customWidth="1"/>
    <col min="26" max="26" width="37.88671875" style="77" customWidth="1"/>
    <col min="27" max="27" width="20.5546875" style="77" bestFit="1" customWidth="1"/>
    <col min="28" max="28" width="16.109375" style="77" customWidth="1"/>
    <col min="29" max="29" width="19.33203125" style="77" customWidth="1"/>
    <col min="30" max="30" width="28.44140625" style="77" customWidth="1"/>
    <col min="31" max="31" width="17.88671875" style="77" customWidth="1"/>
    <col min="32" max="37" width="8.88671875" style="77"/>
    <col min="38" max="38" width="26.88671875" style="77" customWidth="1"/>
    <col min="39" max="39" width="15.109375" style="77" bestFit="1" customWidth="1"/>
    <col min="40" max="42" width="8.88671875" style="77"/>
    <col min="43" max="43" width="15.88671875" style="77" bestFit="1" customWidth="1"/>
    <col min="44" max="44" width="19.5546875" style="77" bestFit="1" customWidth="1"/>
    <col min="45" max="16384" width="8.88671875" style="77"/>
  </cols>
  <sheetData>
    <row r="4" spans="2:33" ht="15.6" x14ac:dyDescent="0.3">
      <c r="B4" s="18" t="s">
        <v>586</v>
      </c>
      <c r="L4" s="92"/>
    </row>
    <row r="6" spans="2:33" ht="15" x14ac:dyDescent="0.25">
      <c r="B6" s="2"/>
      <c r="E6" s="93"/>
      <c r="F6" s="93"/>
      <c r="G6" s="93"/>
      <c r="I6" s="94"/>
      <c r="J6" s="94"/>
      <c r="K6" s="94"/>
      <c r="L6" s="94"/>
      <c r="M6" s="94"/>
      <c r="N6" s="95"/>
      <c r="O6" s="95"/>
      <c r="P6" s="71"/>
      <c r="Q6" s="71"/>
      <c r="R6" s="71"/>
      <c r="S6" s="71"/>
      <c r="T6" s="71"/>
      <c r="U6" s="71"/>
      <c r="V6" s="71"/>
      <c r="W6" s="71"/>
      <c r="Z6" s="96" t="s">
        <v>104</v>
      </c>
    </row>
    <row r="7" spans="2:33" ht="28.5" customHeight="1" x14ac:dyDescent="0.25">
      <c r="F7" s="14" t="s">
        <v>15</v>
      </c>
      <c r="G7" s="14"/>
      <c r="I7" s="69"/>
      <c r="J7" s="69"/>
      <c r="O7" s="70"/>
      <c r="P7" s="70"/>
      <c r="Q7" s="70"/>
      <c r="R7" s="70"/>
      <c r="S7" s="70"/>
      <c r="T7" s="70"/>
      <c r="U7" s="70"/>
      <c r="V7" s="71"/>
      <c r="W7" s="71"/>
    </row>
    <row r="8" spans="2:33" ht="26.4" x14ac:dyDescent="0.3">
      <c r="B8" s="44" t="s">
        <v>1</v>
      </c>
      <c r="C8" s="44" t="s">
        <v>44</v>
      </c>
      <c r="D8" s="21" t="s">
        <v>538</v>
      </c>
      <c r="E8" s="44" t="s">
        <v>7</v>
      </c>
      <c r="F8" s="45" t="s">
        <v>8</v>
      </c>
      <c r="G8" s="79" t="s">
        <v>102</v>
      </c>
      <c r="H8" s="79" t="s">
        <v>17</v>
      </c>
      <c r="I8" s="79" t="s">
        <v>516</v>
      </c>
      <c r="J8" s="79" t="s">
        <v>518</v>
      </c>
      <c r="K8" s="79" t="s">
        <v>757</v>
      </c>
      <c r="L8" s="79" t="str">
        <f>"NCAP_AFA~"&amp;BASE_YEAR+1</f>
        <v>NCAP_AFA~2018</v>
      </c>
      <c r="M8" s="79" t="str">
        <f>"NCAP_AFA~"&amp;BASE_YEAR+3</f>
        <v>NCAP_AFA~2020</v>
      </c>
      <c r="N8" s="79" t="str">
        <f>"NCAP_AFA~2018~LO"</f>
        <v>NCAP_AFA~2018~LO</v>
      </c>
      <c r="O8" s="79" t="s">
        <v>502</v>
      </c>
      <c r="P8" s="79" t="s">
        <v>503</v>
      </c>
      <c r="Q8" s="79" t="s">
        <v>517</v>
      </c>
      <c r="R8" s="79" t="s">
        <v>108</v>
      </c>
      <c r="S8" s="79" t="s">
        <v>678</v>
      </c>
      <c r="T8" s="79" t="s">
        <v>756</v>
      </c>
      <c r="U8" s="79" t="s">
        <v>676</v>
      </c>
      <c r="V8" s="79" t="s">
        <v>679</v>
      </c>
      <c r="X8" s="79" t="s">
        <v>674</v>
      </c>
      <c r="Z8" s="97" t="s">
        <v>41</v>
      </c>
      <c r="AA8" s="98"/>
      <c r="AB8" s="98"/>
      <c r="AC8" s="98"/>
      <c r="AD8" s="98"/>
      <c r="AE8" s="98"/>
      <c r="AF8" s="98"/>
      <c r="AG8" s="98"/>
    </row>
    <row r="9" spans="2:33" ht="27" thickBot="1" x14ac:dyDescent="0.3">
      <c r="B9" s="80" t="s">
        <v>621</v>
      </c>
      <c r="C9" s="80" t="s">
        <v>26</v>
      </c>
      <c r="D9" s="80"/>
      <c r="E9" s="80" t="s">
        <v>36</v>
      </c>
      <c r="F9" s="99" t="s">
        <v>37</v>
      </c>
      <c r="G9" s="80"/>
      <c r="H9" s="80" t="s">
        <v>38</v>
      </c>
      <c r="I9" s="80" t="s">
        <v>39</v>
      </c>
      <c r="J9" s="80" t="s">
        <v>519</v>
      </c>
      <c r="K9" s="80" t="s">
        <v>683</v>
      </c>
      <c r="L9" s="80" t="s">
        <v>683</v>
      </c>
      <c r="M9" s="80" t="s">
        <v>683</v>
      </c>
      <c r="N9" s="80" t="s">
        <v>682</v>
      </c>
      <c r="O9" s="80" t="s">
        <v>43</v>
      </c>
      <c r="P9" s="80" t="s">
        <v>42</v>
      </c>
      <c r="Q9" s="80"/>
      <c r="R9" s="80"/>
      <c r="S9" s="80" t="s">
        <v>514</v>
      </c>
      <c r="T9" s="80"/>
      <c r="U9" s="80" t="s">
        <v>677</v>
      </c>
      <c r="V9" s="80" t="s">
        <v>684</v>
      </c>
      <c r="X9" s="80"/>
      <c r="Z9" s="100" t="s">
        <v>19</v>
      </c>
      <c r="AA9" s="98"/>
      <c r="AB9" s="98"/>
      <c r="AC9" s="98"/>
      <c r="AD9" s="98"/>
      <c r="AE9" s="98"/>
      <c r="AF9" s="98"/>
      <c r="AG9" s="98"/>
    </row>
    <row r="10" spans="2:33" ht="15" x14ac:dyDescent="0.25">
      <c r="B10" s="101"/>
      <c r="C10" s="102"/>
      <c r="D10" s="102"/>
      <c r="E10" s="102" t="s">
        <v>90</v>
      </c>
      <c r="F10" s="103"/>
      <c r="G10" s="102"/>
      <c r="H10" s="102" t="s">
        <v>513</v>
      </c>
      <c r="I10" s="102" t="s">
        <v>500</v>
      </c>
      <c r="J10" s="102"/>
      <c r="K10" s="102" t="s">
        <v>513</v>
      </c>
      <c r="L10" s="102" t="s">
        <v>513</v>
      </c>
      <c r="M10" s="102" t="s">
        <v>513</v>
      </c>
      <c r="N10" s="102" t="s">
        <v>513</v>
      </c>
      <c r="O10" s="81" t="str">
        <f>General!$D$10</f>
        <v>M$/GW/year</v>
      </c>
      <c r="P10" s="81" t="str">
        <f>General!$D$11</f>
        <v>M$/PJ</v>
      </c>
      <c r="Q10" s="102"/>
      <c r="R10" s="102"/>
      <c r="S10" s="102"/>
      <c r="T10" s="102"/>
      <c r="U10" s="81"/>
      <c r="V10" s="102"/>
      <c r="X10" s="102"/>
      <c r="Z10" s="82" t="s">
        <v>13</v>
      </c>
      <c r="AA10" s="82" t="s">
        <v>1</v>
      </c>
      <c r="AB10" s="82" t="s">
        <v>2</v>
      </c>
      <c r="AC10" s="82" t="s">
        <v>20</v>
      </c>
      <c r="AD10" s="82" t="s">
        <v>21</v>
      </c>
      <c r="AE10" s="82" t="s">
        <v>22</v>
      </c>
      <c r="AF10" s="82" t="s">
        <v>23</v>
      </c>
      <c r="AG10" s="82" t="s">
        <v>24</v>
      </c>
    </row>
    <row r="11" spans="2:33" ht="15" customHeight="1" thickBot="1" x14ac:dyDescent="0.3">
      <c r="B11" s="77" t="str">
        <f>AA12</f>
        <v>PUGASNAT100</v>
      </c>
      <c r="C11" s="77" t="str">
        <f>$AB$12</f>
        <v>PUGASNAT100</v>
      </c>
      <c r="D11" s="58"/>
      <c r="E11" s="90" t="str">
        <f>Commodities!$D$57</f>
        <v>ELEGASNAT</v>
      </c>
      <c r="F11" s="104"/>
      <c r="G11" s="105"/>
      <c r="H11" s="63">
        <f>ELE_Data!D42</f>
        <v>0.35</v>
      </c>
      <c r="I11" s="106">
        <f>ELE_Data!C42</f>
        <v>0.3</v>
      </c>
      <c r="J11" s="63">
        <v>31.536000000000001</v>
      </c>
      <c r="K11" s="57">
        <f>ELE_Data!E42</f>
        <v>0.15</v>
      </c>
      <c r="L11" s="57">
        <f>K11*1.05</f>
        <v>0.1575</v>
      </c>
      <c r="M11" s="57">
        <f>K11*1.1</f>
        <v>0.16500000000000001</v>
      </c>
      <c r="N11" s="83">
        <f>L11*0.5</f>
        <v>7.8750000000000001E-2</v>
      </c>
      <c r="O11" s="90"/>
      <c r="P11" s="58"/>
      <c r="Q11" s="58">
        <v>15</v>
      </c>
      <c r="R11" s="58">
        <v>25</v>
      </c>
      <c r="S11" s="84">
        <v>1.5</v>
      </c>
      <c r="T11" s="84">
        <v>0.8</v>
      </c>
      <c r="U11" s="90">
        <v>1</v>
      </c>
      <c r="V11" s="84">
        <v>0.15</v>
      </c>
      <c r="Z11" s="107" t="s">
        <v>47</v>
      </c>
      <c r="AA11" s="107" t="s">
        <v>25</v>
      </c>
      <c r="AB11" s="107" t="s">
        <v>26</v>
      </c>
      <c r="AC11" s="107" t="s">
        <v>27</v>
      </c>
      <c r="AD11" s="107" t="s">
        <v>28</v>
      </c>
      <c r="AE11" s="107" t="s">
        <v>51</v>
      </c>
      <c r="AF11" s="107" t="s">
        <v>50</v>
      </c>
      <c r="AG11" s="107" t="s">
        <v>29</v>
      </c>
    </row>
    <row r="12" spans="2:33" x14ac:dyDescent="0.25">
      <c r="D12" s="58"/>
      <c r="E12" s="90"/>
      <c r="F12" s="108" t="str">
        <f>Commodities!$D$68</f>
        <v>ELCHIGG</v>
      </c>
      <c r="G12" s="105"/>
      <c r="H12" s="58"/>
      <c r="I12" s="106"/>
      <c r="J12" s="63"/>
      <c r="K12" s="58"/>
      <c r="L12" s="58"/>
      <c r="M12" s="58"/>
      <c r="N12" s="109"/>
      <c r="O12" s="58"/>
      <c r="P12" s="58"/>
      <c r="Q12" s="58"/>
      <c r="R12" s="58"/>
      <c r="S12" s="58"/>
      <c r="T12" s="58"/>
      <c r="U12" s="58"/>
      <c r="V12" s="58"/>
      <c r="Z12" s="85" t="s">
        <v>525</v>
      </c>
      <c r="AA12" s="77" t="str">
        <f>"PU"&amp;MID($E$11,4,10)&amp;"100"</f>
        <v>PUGASNAT100</v>
      </c>
      <c r="AB12" s="77" t="str">
        <f>AA12</f>
        <v>PUGASNAT100</v>
      </c>
      <c r="AC12" s="77" t="s">
        <v>71</v>
      </c>
      <c r="AD12" s="77" t="s">
        <v>500</v>
      </c>
      <c r="AE12" s="77" t="s">
        <v>251</v>
      </c>
      <c r="AG12" s="77" t="s">
        <v>501</v>
      </c>
    </row>
    <row r="13" spans="2:33" x14ac:dyDescent="0.25">
      <c r="D13" s="58"/>
      <c r="E13" s="90"/>
      <c r="F13" s="108" t="str">
        <f>Commodities!$D$83</f>
        <v>HETHTH</v>
      </c>
      <c r="G13" s="105"/>
      <c r="H13" s="58"/>
      <c r="I13" s="106"/>
      <c r="J13" s="63"/>
      <c r="K13" s="58"/>
      <c r="L13" s="58"/>
      <c r="M13" s="58"/>
      <c r="N13" s="109"/>
      <c r="O13" s="58"/>
      <c r="P13" s="58"/>
      <c r="Q13" s="58"/>
      <c r="R13" s="58"/>
      <c r="S13" s="58"/>
      <c r="T13" s="58"/>
      <c r="U13" s="58"/>
      <c r="V13" s="58"/>
      <c r="Z13" s="85" t="s">
        <v>633</v>
      </c>
      <c r="AA13" s="77" t="str">
        <f>"PU"&amp;MID($E$16,4,10)&amp;"100"</f>
        <v>PUOILHFO100</v>
      </c>
      <c r="AB13" s="77" t="str">
        <f t="shared" ref="AB13" si="0">AA13</f>
        <v>PUOILHFO100</v>
      </c>
      <c r="AC13" s="77" t="s">
        <v>71</v>
      </c>
      <c r="AD13" s="77" t="s">
        <v>500</v>
      </c>
      <c r="AE13" s="77" t="s">
        <v>251</v>
      </c>
      <c r="AG13" s="77" t="s">
        <v>501</v>
      </c>
    </row>
    <row r="14" spans="2:33" x14ac:dyDescent="0.25">
      <c r="D14" s="90" t="str">
        <f>Commodities!D56</f>
        <v>ELEOILHFO</v>
      </c>
      <c r="E14" s="90"/>
      <c r="F14" s="108"/>
      <c r="G14" s="105"/>
      <c r="H14" s="58"/>
      <c r="I14" s="106"/>
      <c r="J14" s="63"/>
      <c r="K14" s="58"/>
      <c r="L14" s="58"/>
      <c r="M14" s="58"/>
      <c r="N14" s="109"/>
      <c r="O14" s="58"/>
      <c r="P14" s="58"/>
      <c r="Q14" s="58"/>
      <c r="R14" s="58"/>
      <c r="S14" s="58"/>
      <c r="T14" s="58"/>
      <c r="U14" s="58"/>
      <c r="V14" s="58"/>
      <c r="Z14" s="85" t="s">
        <v>633</v>
      </c>
      <c r="AA14" s="77" t="str">
        <f>"PU"&amp;MID($E$21,4,10)&amp;"100"</f>
        <v>PUCOASUB100</v>
      </c>
      <c r="AB14" s="77" t="str">
        <f>AA14</f>
        <v>PUCOASUB100</v>
      </c>
      <c r="AC14" s="77" t="s">
        <v>71</v>
      </c>
      <c r="AD14" s="77" t="s">
        <v>500</v>
      </c>
      <c r="AE14" s="77" t="s">
        <v>251</v>
      </c>
      <c r="AG14" s="77" t="s">
        <v>501</v>
      </c>
    </row>
    <row r="15" spans="2:33" x14ac:dyDescent="0.25">
      <c r="B15" s="86"/>
      <c r="C15" s="86"/>
      <c r="D15" s="67" t="str">
        <f>Commodities!$D$74</f>
        <v>SUPELC</v>
      </c>
      <c r="E15" s="67"/>
      <c r="F15" s="110"/>
      <c r="G15" s="111"/>
      <c r="H15" s="67"/>
      <c r="I15" s="111"/>
      <c r="J15" s="112"/>
      <c r="K15" s="67"/>
      <c r="L15" s="67"/>
      <c r="M15" s="67"/>
      <c r="N15" s="113"/>
      <c r="O15" s="67"/>
      <c r="P15" s="67"/>
      <c r="Q15" s="67"/>
      <c r="R15" s="67"/>
      <c r="S15" s="67"/>
      <c r="T15" s="67"/>
      <c r="U15" s="67"/>
      <c r="V15" s="67"/>
      <c r="Z15" s="85" t="s">
        <v>633</v>
      </c>
      <c r="AA15" s="77" t="str">
        <f>"PU"&amp;MID($E$26,4,10)&amp;"100"</f>
        <v>PUCOABCO100</v>
      </c>
      <c r="AB15" s="77" t="str">
        <f>AA15</f>
        <v>PUCOABCO100</v>
      </c>
      <c r="AC15" s="77" t="s">
        <v>71</v>
      </c>
      <c r="AD15" s="77" t="s">
        <v>500</v>
      </c>
      <c r="AE15" s="77" t="s">
        <v>251</v>
      </c>
      <c r="AG15" s="77" t="s">
        <v>501</v>
      </c>
    </row>
    <row r="16" spans="2:33" x14ac:dyDescent="0.25">
      <c r="B16" s="77" t="s">
        <v>633</v>
      </c>
      <c r="C16" s="77" t="str">
        <f>$AB$13</f>
        <v>PUOILHFO100</v>
      </c>
      <c r="D16" s="58"/>
      <c r="E16" s="90" t="str">
        <f>Commodities!D56</f>
        <v>ELEOILHFO</v>
      </c>
      <c r="F16" s="104"/>
      <c r="G16" s="114"/>
      <c r="H16" s="63">
        <f>ELE_Data!D43</f>
        <v>0.3</v>
      </c>
      <c r="I16" s="106">
        <f>ELE_Data!C43</f>
        <v>0</v>
      </c>
      <c r="J16" s="63">
        <v>31.536000000000001</v>
      </c>
      <c r="K16" s="57">
        <f>ELE_Data!E43</f>
        <v>0.35</v>
      </c>
      <c r="L16" s="57">
        <f>K16</f>
        <v>0.35</v>
      </c>
      <c r="M16" s="57">
        <f>K16*1.1</f>
        <v>0.38500000000000001</v>
      </c>
      <c r="N16" s="83">
        <f>L16*0.4</f>
        <v>0.13999999999999999</v>
      </c>
      <c r="O16" s="90"/>
      <c r="P16" s="58"/>
      <c r="Q16" s="58">
        <v>15</v>
      </c>
      <c r="R16" s="58">
        <f>R11</f>
        <v>25</v>
      </c>
      <c r="S16" s="84">
        <v>2.2999999999999998</v>
      </c>
      <c r="T16" s="84">
        <v>0.8</v>
      </c>
      <c r="U16" s="90">
        <v>1</v>
      </c>
      <c r="V16" s="84">
        <v>0.2</v>
      </c>
      <c r="Z16" s="85" t="s">
        <v>633</v>
      </c>
    </row>
    <row r="17" spans="2:49" x14ac:dyDescent="0.25">
      <c r="B17" s="77" t="s">
        <v>633</v>
      </c>
      <c r="D17" s="58"/>
      <c r="E17" s="90"/>
      <c r="F17" s="108" t="str">
        <f>Commodities!$D$68</f>
        <v>ELCHIGG</v>
      </c>
      <c r="G17" s="114"/>
      <c r="H17" s="58"/>
      <c r="I17" s="106"/>
      <c r="J17" s="63"/>
      <c r="K17" s="58"/>
      <c r="L17" s="58"/>
      <c r="M17" s="58"/>
      <c r="N17" s="109"/>
      <c r="O17" s="58"/>
      <c r="P17" s="58"/>
      <c r="Q17" s="58"/>
      <c r="R17" s="58"/>
      <c r="S17" s="58"/>
      <c r="T17" s="58"/>
      <c r="U17" s="58"/>
      <c r="V17" s="58"/>
      <c r="Z17" s="85" t="s">
        <v>633</v>
      </c>
    </row>
    <row r="18" spans="2:49" x14ac:dyDescent="0.25">
      <c r="B18" s="77" t="s">
        <v>633</v>
      </c>
      <c r="D18" s="58"/>
      <c r="E18" s="90"/>
      <c r="F18" s="108" t="str">
        <f>Commodities!$D$83</f>
        <v>HETHTH</v>
      </c>
      <c r="G18" s="114"/>
      <c r="H18" s="58"/>
      <c r="I18" s="106"/>
      <c r="J18" s="63"/>
      <c r="K18" s="58"/>
      <c r="L18" s="58"/>
      <c r="M18" s="58"/>
      <c r="N18" s="109"/>
      <c r="O18" s="58"/>
      <c r="P18" s="58"/>
      <c r="Q18" s="58"/>
      <c r="R18" s="58"/>
      <c r="S18" s="58"/>
      <c r="T18" s="58"/>
      <c r="U18" s="58"/>
      <c r="V18" s="58"/>
      <c r="Z18" s="60" t="s">
        <v>636</v>
      </c>
      <c r="AA18" s="59" t="str">
        <f>"HPPCHP"&amp;RIGHT(Commodities!$D$88,6)&amp;"00"</f>
        <v>HPPCHPGASNAT00</v>
      </c>
      <c r="AB18" s="77" t="str">
        <f>AA18</f>
        <v>HPPCHPGASNAT00</v>
      </c>
      <c r="AC18" s="60" t="str">
        <f>AC15</f>
        <v>PJ</v>
      </c>
      <c r="AD18" s="60" t="str">
        <f>AD15</f>
        <v>GW</v>
      </c>
      <c r="AE18" s="77" t="s">
        <v>251</v>
      </c>
      <c r="AF18" s="61"/>
      <c r="AG18" s="61" t="s">
        <v>501</v>
      </c>
      <c r="AI18" s="77" t="s">
        <v>736</v>
      </c>
    </row>
    <row r="19" spans="2:49" x14ac:dyDescent="0.25">
      <c r="B19" s="77" t="s">
        <v>633</v>
      </c>
      <c r="D19" s="90" t="str">
        <f>D14</f>
        <v>ELEOILHFO</v>
      </c>
      <c r="E19" s="90"/>
      <c r="F19" s="108"/>
      <c r="G19" s="114"/>
      <c r="H19" s="58"/>
      <c r="I19" s="106"/>
      <c r="J19" s="63"/>
      <c r="K19" s="58"/>
      <c r="L19" s="58"/>
      <c r="M19" s="58"/>
      <c r="N19" s="109"/>
      <c r="O19" s="58"/>
      <c r="P19" s="58"/>
      <c r="Q19" s="58"/>
      <c r="R19" s="58"/>
      <c r="S19" s="58"/>
      <c r="T19" s="58"/>
      <c r="U19" s="58"/>
      <c r="V19" s="58"/>
      <c r="Z19" s="77" t="s">
        <v>499</v>
      </c>
      <c r="AA19" s="77" t="str">
        <f>"EU"&amp;MID($E$41,4,10)&amp;"100"</f>
        <v>EUGASNAT100</v>
      </c>
      <c r="AB19" s="77" t="str">
        <f>AA19</f>
        <v>EUGASNAT100</v>
      </c>
      <c r="AC19" s="77" t="s">
        <v>71</v>
      </c>
      <c r="AD19" s="77" t="s">
        <v>500</v>
      </c>
      <c r="AE19" s="77" t="s">
        <v>251</v>
      </c>
      <c r="AF19" s="61"/>
      <c r="AG19" s="61" t="s">
        <v>501</v>
      </c>
    </row>
    <row r="20" spans="2:49" x14ac:dyDescent="0.25">
      <c r="B20" s="86" t="s">
        <v>633</v>
      </c>
      <c r="C20" s="86"/>
      <c r="D20" s="67" t="str">
        <f>Commodities!$D$74</f>
        <v>SUPELC</v>
      </c>
      <c r="E20" s="67"/>
      <c r="F20" s="110"/>
      <c r="G20" s="111">
        <f>G15</f>
        <v>0</v>
      </c>
      <c r="H20" s="67"/>
      <c r="I20" s="111"/>
      <c r="J20" s="112"/>
      <c r="K20" s="67"/>
      <c r="L20" s="67"/>
      <c r="M20" s="67"/>
      <c r="N20" s="113"/>
      <c r="O20" s="67"/>
      <c r="P20" s="67"/>
      <c r="Q20" s="67"/>
      <c r="R20" s="67"/>
      <c r="S20" s="67"/>
      <c r="T20" s="67"/>
      <c r="U20" s="67"/>
      <c r="V20" s="67"/>
      <c r="X20" s="87"/>
      <c r="Z20" s="77" t="s">
        <v>499</v>
      </c>
      <c r="AA20" s="77" t="str">
        <f>"EU"&amp;MID($E$45,4,10)&amp;"100"</f>
        <v>EUOILHFO100</v>
      </c>
      <c r="AB20" s="77" t="str">
        <f>AA20</f>
        <v>EUOILHFO100</v>
      </c>
      <c r="AC20" s="77" t="s">
        <v>71</v>
      </c>
      <c r="AD20" s="77" t="s">
        <v>500</v>
      </c>
      <c r="AE20" s="77" t="s">
        <v>251</v>
      </c>
      <c r="AF20" s="61"/>
      <c r="AG20" s="61" t="s">
        <v>501</v>
      </c>
    </row>
    <row r="21" spans="2:49" ht="15" customHeight="1" x14ac:dyDescent="0.25">
      <c r="B21" s="77" t="s">
        <v>633</v>
      </c>
      <c r="C21" s="77" t="str">
        <f>$AB$14</f>
        <v>PUCOASUB100</v>
      </c>
      <c r="D21" s="58"/>
      <c r="E21" s="90" t="str">
        <f>Commodities!D53</f>
        <v>ELECOASUB</v>
      </c>
      <c r="F21" s="104"/>
      <c r="G21" s="114"/>
      <c r="H21" s="63">
        <f>ELE_Data!D44</f>
        <v>0.31</v>
      </c>
      <c r="I21" s="106">
        <f>ELE_Data!C44</f>
        <v>0</v>
      </c>
      <c r="J21" s="63">
        <v>31.536000000000001</v>
      </c>
      <c r="K21" s="57">
        <f>ELE_Data!E44</f>
        <v>0.75</v>
      </c>
      <c r="L21" s="57">
        <f>K21</f>
        <v>0.75</v>
      </c>
      <c r="M21" s="57">
        <f>K21*1.1</f>
        <v>0.82500000000000007</v>
      </c>
      <c r="N21" s="83">
        <f>L21*0.4</f>
        <v>0.30000000000000004</v>
      </c>
      <c r="O21" s="90"/>
      <c r="P21" s="58"/>
      <c r="Q21" s="58">
        <v>15</v>
      </c>
      <c r="R21" s="58">
        <f>R11</f>
        <v>25</v>
      </c>
      <c r="S21" s="84">
        <v>2.2999999999999998</v>
      </c>
      <c r="T21" s="84">
        <v>1</v>
      </c>
      <c r="U21" s="90">
        <v>1</v>
      </c>
      <c r="V21" s="84">
        <v>0.2</v>
      </c>
      <c r="X21" s="87"/>
      <c r="Z21" s="85"/>
    </row>
    <row r="22" spans="2:49" x14ac:dyDescent="0.25">
      <c r="B22" s="77" t="s">
        <v>633</v>
      </c>
      <c r="D22" s="58"/>
      <c r="E22" s="90"/>
      <c r="F22" s="108" t="str">
        <f>Commodities!$D$68</f>
        <v>ELCHIGG</v>
      </c>
      <c r="G22" s="114"/>
      <c r="H22" s="58"/>
      <c r="I22" s="106"/>
      <c r="J22" s="63"/>
      <c r="K22" s="58"/>
      <c r="L22" s="58"/>
      <c r="M22" s="58"/>
      <c r="O22" s="58"/>
      <c r="P22" s="58"/>
      <c r="Q22" s="58"/>
      <c r="R22" s="58"/>
      <c r="S22" s="58"/>
      <c r="T22" s="58"/>
      <c r="U22" s="58"/>
      <c r="V22" s="58"/>
      <c r="X22" s="87"/>
      <c r="AO22" s="57"/>
      <c r="AS22" s="115"/>
      <c r="AT22" s="57"/>
      <c r="AU22" s="57"/>
      <c r="AW22" s="116"/>
    </row>
    <row r="23" spans="2:49" x14ac:dyDescent="0.25">
      <c r="B23" s="77" t="s">
        <v>633</v>
      </c>
      <c r="D23" s="58"/>
      <c r="E23" s="90"/>
      <c r="F23" s="108" t="str">
        <f>Commodities!$D$83</f>
        <v>HETHTH</v>
      </c>
      <c r="G23" s="114"/>
      <c r="H23" s="58"/>
      <c r="I23" s="106"/>
      <c r="J23" s="63"/>
      <c r="K23" s="58"/>
      <c r="L23" s="58"/>
      <c r="M23" s="58"/>
      <c r="O23" s="58"/>
      <c r="P23" s="58"/>
      <c r="Q23" s="58"/>
      <c r="R23" s="58"/>
      <c r="S23" s="58"/>
      <c r="T23" s="58"/>
      <c r="U23" s="58"/>
      <c r="V23" s="58"/>
      <c r="X23" s="87"/>
      <c r="AS23" s="115"/>
      <c r="AT23" s="57"/>
      <c r="AU23" s="57"/>
      <c r="AW23" s="116"/>
    </row>
    <row r="24" spans="2:49" x14ac:dyDescent="0.25">
      <c r="B24" s="77" t="s">
        <v>633</v>
      </c>
      <c r="D24" s="90" t="str">
        <f>D19</f>
        <v>ELEOILHFO</v>
      </c>
      <c r="E24" s="90"/>
      <c r="F24" s="108"/>
      <c r="G24" s="114"/>
      <c r="H24" s="58"/>
      <c r="I24" s="106"/>
      <c r="J24" s="63"/>
      <c r="K24" s="58"/>
      <c r="L24" s="58"/>
      <c r="M24" s="58"/>
      <c r="O24" s="58"/>
      <c r="P24" s="58"/>
      <c r="Q24" s="58"/>
      <c r="R24" s="58"/>
      <c r="S24" s="58"/>
      <c r="T24" s="58"/>
      <c r="U24" s="58"/>
      <c r="V24" s="58"/>
      <c r="X24" s="87"/>
      <c r="Z24" s="85"/>
      <c r="AS24" s="115"/>
      <c r="AT24" s="57"/>
      <c r="AU24" s="57"/>
      <c r="AW24" s="116"/>
    </row>
    <row r="25" spans="2:49" x14ac:dyDescent="0.25">
      <c r="B25" s="86" t="s">
        <v>633</v>
      </c>
      <c r="C25" s="86"/>
      <c r="D25" s="67" t="str">
        <f>Commodities!$D$74</f>
        <v>SUPELC</v>
      </c>
      <c r="E25" s="67"/>
      <c r="F25" s="110"/>
      <c r="G25" s="111">
        <f>G20</f>
        <v>0</v>
      </c>
      <c r="H25" s="67"/>
      <c r="I25" s="111"/>
      <c r="J25" s="112"/>
      <c r="K25" s="67"/>
      <c r="L25" s="67"/>
      <c r="M25" s="67"/>
      <c r="N25" s="86"/>
      <c r="O25" s="67"/>
      <c r="P25" s="67"/>
      <c r="Q25" s="67"/>
      <c r="R25" s="67"/>
      <c r="S25" s="67"/>
      <c r="T25" s="67"/>
      <c r="U25" s="67"/>
      <c r="V25" s="67"/>
      <c r="X25" s="87"/>
      <c r="AO25" s="57"/>
      <c r="AS25" s="115"/>
      <c r="AT25" s="57"/>
      <c r="AU25" s="57"/>
      <c r="AW25" s="116"/>
    </row>
    <row r="26" spans="2:49" x14ac:dyDescent="0.25">
      <c r="B26" s="77" t="s">
        <v>633</v>
      </c>
      <c r="C26" s="77" t="str">
        <f>AB15</f>
        <v>PUCOABCO100</v>
      </c>
      <c r="D26" s="58"/>
      <c r="E26" s="90" t="str">
        <f>Commodities!D54</f>
        <v>ELECOABCO</v>
      </c>
      <c r="F26" s="108"/>
      <c r="G26" s="114"/>
      <c r="H26" s="63">
        <f>ELE_Data!D45</f>
        <v>0.27</v>
      </c>
      <c r="I26" s="106">
        <f>ELE_Data!C45</f>
        <v>0</v>
      </c>
      <c r="J26" s="63">
        <v>31.536000000000001</v>
      </c>
      <c r="K26" s="57">
        <f>ELE_Data!E45</f>
        <v>0.75</v>
      </c>
      <c r="L26" s="57">
        <f>K26</f>
        <v>0.75</v>
      </c>
      <c r="M26" s="57">
        <f>K26*1.1</f>
        <v>0.82500000000000007</v>
      </c>
      <c r="N26" s="83">
        <f>L26*0.4</f>
        <v>0.30000000000000004</v>
      </c>
      <c r="O26" s="90"/>
      <c r="P26" s="58">
        <f>P21</f>
        <v>0</v>
      </c>
      <c r="Q26" s="58">
        <v>15</v>
      </c>
      <c r="R26" s="58">
        <f>R11</f>
        <v>25</v>
      </c>
      <c r="S26" s="84">
        <v>2.5</v>
      </c>
      <c r="T26" s="84">
        <v>1</v>
      </c>
      <c r="U26" s="58">
        <v>1</v>
      </c>
      <c r="V26" s="84">
        <v>0.15</v>
      </c>
      <c r="X26" s="87"/>
      <c r="Z26" s="85"/>
      <c r="AO26" s="57"/>
      <c r="AS26" s="115"/>
      <c r="AT26" s="57"/>
      <c r="AU26" s="57"/>
      <c r="AW26" s="116"/>
    </row>
    <row r="27" spans="2:49" x14ac:dyDescent="0.25">
      <c r="B27" s="77" t="s">
        <v>633</v>
      </c>
      <c r="D27" s="58"/>
      <c r="E27" s="90"/>
      <c r="F27" s="108" t="str">
        <f>Commodities!$D$68</f>
        <v>ELCHIGG</v>
      </c>
      <c r="G27" s="114"/>
      <c r="H27" s="58"/>
      <c r="I27" s="58"/>
      <c r="J27" s="58"/>
      <c r="K27" s="58"/>
      <c r="L27" s="58"/>
      <c r="M27" s="58"/>
      <c r="O27" s="58"/>
      <c r="P27" s="58"/>
      <c r="Q27" s="58"/>
      <c r="R27" s="58"/>
      <c r="S27" s="58"/>
      <c r="T27" s="58"/>
      <c r="U27" s="58"/>
      <c r="V27" s="58"/>
      <c r="Z27" s="85"/>
      <c r="AO27" s="57"/>
      <c r="AS27" s="115"/>
      <c r="AT27" s="57"/>
      <c r="AU27" s="57"/>
      <c r="AW27" s="116"/>
    </row>
    <row r="28" spans="2:49" x14ac:dyDescent="0.25">
      <c r="B28" s="77" t="s">
        <v>633</v>
      </c>
      <c r="D28" s="58"/>
      <c r="E28" s="90"/>
      <c r="F28" s="108" t="str">
        <f>Commodities!$D$83</f>
        <v>HETHTH</v>
      </c>
      <c r="G28" s="114"/>
      <c r="H28" s="58"/>
      <c r="I28" s="58"/>
      <c r="J28" s="58"/>
      <c r="K28" s="58"/>
      <c r="L28" s="58"/>
      <c r="M28" s="58"/>
      <c r="O28" s="58"/>
      <c r="P28" s="58"/>
      <c r="Q28" s="58"/>
      <c r="R28" s="58"/>
      <c r="S28" s="58"/>
      <c r="T28" s="58"/>
      <c r="U28" s="58"/>
      <c r="V28" s="58"/>
      <c r="AO28" s="57"/>
      <c r="AS28" s="115"/>
      <c r="AT28" s="57"/>
      <c r="AU28" s="57"/>
      <c r="AW28" s="116"/>
    </row>
    <row r="29" spans="2:49" x14ac:dyDescent="0.25">
      <c r="B29" s="77" t="s">
        <v>633</v>
      </c>
      <c r="D29" s="90" t="str">
        <f>D24</f>
        <v>ELEOILHFO</v>
      </c>
      <c r="E29" s="90"/>
      <c r="F29" s="108"/>
      <c r="G29" s="114"/>
      <c r="H29" s="58"/>
      <c r="I29" s="58"/>
      <c r="J29" s="58"/>
      <c r="K29" s="58"/>
      <c r="L29" s="58"/>
      <c r="M29" s="58"/>
      <c r="O29" s="58"/>
      <c r="P29" s="58"/>
      <c r="Q29" s="58"/>
      <c r="R29" s="58"/>
      <c r="S29" s="58"/>
      <c r="T29" s="58"/>
      <c r="U29" s="58"/>
      <c r="V29" s="58"/>
      <c r="AO29" s="57"/>
      <c r="AS29" s="115"/>
      <c r="AT29" s="57"/>
      <c r="AU29" s="57"/>
      <c r="AW29" s="116"/>
    </row>
    <row r="30" spans="2:49" x14ac:dyDescent="0.25">
      <c r="B30" s="86" t="s">
        <v>633</v>
      </c>
      <c r="C30" s="86"/>
      <c r="D30" s="67" t="str">
        <f>Commodities!$D$74</f>
        <v>SUPELC</v>
      </c>
      <c r="E30" s="67"/>
      <c r="F30" s="110"/>
      <c r="G30" s="111">
        <f>G25</f>
        <v>0</v>
      </c>
      <c r="H30" s="67"/>
      <c r="I30" s="67"/>
      <c r="J30" s="67"/>
      <c r="K30" s="67"/>
      <c r="L30" s="67"/>
      <c r="M30" s="67"/>
      <c r="N30" s="86"/>
      <c r="O30" s="67"/>
      <c r="P30" s="67"/>
      <c r="Q30" s="67"/>
      <c r="R30" s="67"/>
      <c r="S30" s="67"/>
      <c r="T30" s="67"/>
      <c r="U30" s="67"/>
      <c r="V30" s="67"/>
      <c r="X30" s="117"/>
    </row>
    <row r="31" spans="2:49" x14ac:dyDescent="0.25">
      <c r="B31" s="77" t="s">
        <v>633</v>
      </c>
      <c r="D31" s="58"/>
      <c r="E31" s="90"/>
      <c r="F31" s="108"/>
      <c r="G31" s="114"/>
      <c r="H31" s="63"/>
      <c r="I31" s="106"/>
      <c r="J31" s="58"/>
      <c r="K31" s="57"/>
      <c r="L31" s="58"/>
      <c r="M31" s="57"/>
      <c r="N31" s="88"/>
      <c r="O31" s="58"/>
      <c r="P31" s="58"/>
      <c r="Q31" s="58"/>
      <c r="R31" s="58"/>
      <c r="S31" s="84"/>
      <c r="T31" s="84"/>
      <c r="U31" s="58"/>
      <c r="V31" s="84"/>
    </row>
    <row r="32" spans="2:49" x14ac:dyDescent="0.25">
      <c r="B32" s="77" t="s">
        <v>633</v>
      </c>
      <c r="D32" s="58"/>
      <c r="E32" s="90"/>
      <c r="F32" s="108"/>
      <c r="G32" s="114"/>
      <c r="H32" s="63"/>
      <c r="I32" s="106"/>
      <c r="J32" s="58"/>
      <c r="K32" s="57"/>
      <c r="L32" s="58"/>
      <c r="M32" s="57"/>
      <c r="N32" s="88"/>
      <c r="O32" s="58"/>
      <c r="P32" s="58"/>
      <c r="Q32" s="58"/>
      <c r="R32" s="58"/>
      <c r="S32" s="84"/>
      <c r="T32" s="84"/>
      <c r="U32" s="58"/>
      <c r="V32" s="84"/>
    </row>
    <row r="33" spans="2:24" x14ac:dyDescent="0.25">
      <c r="B33" s="77" t="s">
        <v>633</v>
      </c>
      <c r="D33" s="58"/>
      <c r="E33" s="90"/>
      <c r="F33" s="108"/>
      <c r="G33" s="114"/>
      <c r="H33" s="63"/>
      <c r="I33" s="106"/>
      <c r="J33" s="58"/>
      <c r="K33" s="57"/>
      <c r="L33" s="58"/>
      <c r="M33" s="57"/>
      <c r="N33" s="88"/>
      <c r="O33" s="58"/>
      <c r="P33" s="58"/>
      <c r="Q33" s="58"/>
      <c r="R33" s="58"/>
      <c r="S33" s="84"/>
      <c r="T33" s="84"/>
      <c r="U33" s="58"/>
      <c r="V33" s="84"/>
    </row>
    <row r="34" spans="2:24" x14ac:dyDescent="0.25">
      <c r="B34" s="77" t="s">
        <v>633</v>
      </c>
      <c r="D34" s="58"/>
      <c r="E34" s="90"/>
      <c r="F34" s="108"/>
      <c r="G34" s="114"/>
      <c r="H34" s="58"/>
      <c r="I34" s="58"/>
      <c r="J34" s="58"/>
      <c r="K34" s="58"/>
      <c r="L34" s="58"/>
      <c r="M34" s="58"/>
      <c r="O34" s="58"/>
      <c r="P34" s="58"/>
      <c r="Q34" s="58"/>
      <c r="R34" s="58"/>
      <c r="S34" s="58"/>
      <c r="T34" s="58"/>
      <c r="U34" s="58"/>
      <c r="V34" s="58"/>
    </row>
    <row r="35" spans="2:24" x14ac:dyDescent="0.25">
      <c r="B35" s="86" t="s">
        <v>633</v>
      </c>
      <c r="C35" s="86"/>
      <c r="D35" s="67"/>
      <c r="E35" s="118"/>
      <c r="F35" s="119"/>
      <c r="G35" s="111"/>
      <c r="H35" s="67"/>
      <c r="I35" s="67"/>
      <c r="J35" s="67"/>
      <c r="K35" s="67"/>
      <c r="L35" s="67"/>
      <c r="M35" s="67"/>
      <c r="N35" s="86"/>
      <c r="O35" s="67"/>
      <c r="P35" s="67"/>
      <c r="Q35" s="67"/>
      <c r="R35" s="67"/>
      <c r="S35" s="67"/>
      <c r="T35" s="67"/>
      <c r="U35" s="67"/>
      <c r="V35" s="67"/>
    </row>
    <row r="36" spans="2:24" x14ac:dyDescent="0.25">
      <c r="B36" s="77" t="s">
        <v>633</v>
      </c>
      <c r="D36" s="58"/>
      <c r="E36" s="90"/>
      <c r="F36" s="108"/>
      <c r="G36" s="114"/>
      <c r="H36" s="63"/>
      <c r="I36" s="106"/>
      <c r="J36" s="58"/>
      <c r="K36" s="57"/>
      <c r="L36" s="58"/>
      <c r="M36" s="58"/>
      <c r="N36" s="88"/>
      <c r="O36" s="58"/>
      <c r="P36" s="58"/>
      <c r="Q36" s="58"/>
      <c r="R36" s="58"/>
      <c r="S36" s="84"/>
      <c r="T36" s="84"/>
      <c r="U36" s="58"/>
      <c r="V36" s="84"/>
    </row>
    <row r="37" spans="2:24" x14ac:dyDescent="0.25">
      <c r="B37" s="77" t="s">
        <v>633</v>
      </c>
      <c r="D37" s="58"/>
      <c r="E37" s="90"/>
      <c r="F37" s="108"/>
      <c r="G37" s="114"/>
      <c r="H37" s="63"/>
      <c r="I37" s="106"/>
      <c r="J37" s="58"/>
      <c r="K37" s="57"/>
      <c r="L37" s="58"/>
      <c r="M37" s="58"/>
      <c r="N37" s="88"/>
      <c r="O37" s="58"/>
      <c r="P37" s="58"/>
      <c r="Q37" s="58"/>
      <c r="R37" s="58"/>
      <c r="S37" s="84"/>
      <c r="T37" s="84"/>
      <c r="U37" s="58"/>
      <c r="V37" s="84"/>
    </row>
    <row r="38" spans="2:24" x14ac:dyDescent="0.25">
      <c r="B38" s="77" t="s">
        <v>633</v>
      </c>
      <c r="D38" s="58"/>
      <c r="E38" s="90"/>
      <c r="F38" s="108"/>
      <c r="G38" s="114"/>
      <c r="H38" s="58"/>
      <c r="I38" s="58"/>
      <c r="J38" s="58"/>
      <c r="K38" s="58"/>
      <c r="L38" s="58"/>
      <c r="M38" s="58"/>
      <c r="O38" s="58"/>
      <c r="P38" s="58"/>
      <c r="Q38" s="58"/>
      <c r="R38" s="58"/>
      <c r="S38" s="58"/>
      <c r="T38" s="58"/>
      <c r="U38" s="58"/>
      <c r="V38" s="58"/>
    </row>
    <row r="39" spans="2:24" x14ac:dyDescent="0.25">
      <c r="B39" s="77" t="s">
        <v>633</v>
      </c>
      <c r="D39" s="58"/>
      <c r="E39" s="90"/>
      <c r="F39" s="108"/>
      <c r="G39" s="114"/>
      <c r="H39" s="58"/>
      <c r="I39" s="58"/>
      <c r="J39" s="58"/>
      <c r="K39" s="58"/>
      <c r="L39" s="58"/>
      <c r="M39" s="58"/>
      <c r="O39" s="58"/>
      <c r="P39" s="58"/>
      <c r="Q39" s="58"/>
      <c r="R39" s="58"/>
      <c r="S39" s="58"/>
      <c r="T39" s="58"/>
      <c r="U39" s="58"/>
      <c r="V39" s="58"/>
    </row>
    <row r="40" spans="2:24" x14ac:dyDescent="0.25">
      <c r="B40" s="86" t="s">
        <v>633</v>
      </c>
      <c r="C40" s="86"/>
      <c r="D40" s="67"/>
      <c r="E40" s="118"/>
      <c r="F40" s="119"/>
      <c r="G40" s="111"/>
      <c r="H40" s="67"/>
      <c r="I40" s="67"/>
      <c r="J40" s="67"/>
      <c r="K40" s="67"/>
      <c r="L40" s="67"/>
      <c r="M40" s="67"/>
      <c r="N40" s="86"/>
      <c r="O40" s="67"/>
      <c r="P40" s="67"/>
      <c r="Q40" s="67"/>
      <c r="R40" s="67"/>
      <c r="S40" s="67"/>
      <c r="T40" s="67"/>
      <c r="U40" s="67"/>
      <c r="V40" s="67"/>
    </row>
    <row r="41" spans="2:24" x14ac:dyDescent="0.25">
      <c r="B41" s="77" t="str">
        <f>AA19</f>
        <v>EUGASNAT100</v>
      </c>
      <c r="C41" s="77" t="str">
        <f>AB19</f>
        <v>EUGASNAT100</v>
      </c>
      <c r="D41" s="58"/>
      <c r="E41" s="90" t="str">
        <f>Commodities!$D$57</f>
        <v>ELEGASNAT</v>
      </c>
      <c r="F41" s="108"/>
      <c r="G41" s="114"/>
      <c r="H41" s="63">
        <f>ELE_Data!D51</f>
        <v>0.42</v>
      </c>
      <c r="I41" s="106">
        <f>ELE_Data!C51</f>
        <v>4.4000000000000004</v>
      </c>
      <c r="J41" s="63">
        <v>31.536000000000001</v>
      </c>
      <c r="K41" s="57">
        <f>ELE_Data!E51</f>
        <v>0.56999999999999995</v>
      </c>
      <c r="L41" s="57">
        <f>K41*1.05</f>
        <v>0.59849999999999992</v>
      </c>
      <c r="M41" s="57">
        <f>K41*1.1</f>
        <v>0.627</v>
      </c>
      <c r="N41" s="83">
        <f>L41*0.4</f>
        <v>0.23939999999999997</v>
      </c>
      <c r="O41" s="90"/>
      <c r="P41" s="58"/>
      <c r="Q41" s="58">
        <v>15</v>
      </c>
      <c r="R41" s="58">
        <f>R26</f>
        <v>25</v>
      </c>
      <c r="S41" s="88"/>
      <c r="T41" s="88"/>
      <c r="U41" s="58">
        <v>1</v>
      </c>
      <c r="V41" s="58"/>
      <c r="X41" s="58"/>
    </row>
    <row r="42" spans="2:24" x14ac:dyDescent="0.25">
      <c r="D42" s="90" t="str">
        <f>D24</f>
        <v>ELEOILHFO</v>
      </c>
      <c r="E42" s="90"/>
      <c r="F42" s="108"/>
      <c r="G42" s="114"/>
      <c r="H42" s="58"/>
      <c r="I42" s="58"/>
      <c r="J42" s="58"/>
      <c r="K42" s="58"/>
      <c r="L42" s="114"/>
      <c r="M42" s="58"/>
      <c r="N42" s="58"/>
      <c r="O42" s="58"/>
      <c r="P42" s="58"/>
      <c r="Q42" s="58"/>
      <c r="R42" s="58"/>
      <c r="U42" s="58"/>
      <c r="V42" s="58"/>
      <c r="X42" s="58"/>
    </row>
    <row r="43" spans="2:24" x14ac:dyDescent="0.25">
      <c r="D43" s="90" t="str">
        <f>D30</f>
        <v>SUPELC</v>
      </c>
      <c r="E43" s="90"/>
      <c r="F43" s="108"/>
      <c r="G43" s="114"/>
      <c r="H43" s="58"/>
      <c r="I43" s="58"/>
      <c r="J43" s="58"/>
      <c r="K43" s="58"/>
      <c r="L43" s="114"/>
      <c r="M43" s="58"/>
      <c r="N43" s="58"/>
      <c r="O43" s="58"/>
      <c r="P43" s="58"/>
      <c r="Q43" s="58"/>
      <c r="R43" s="58"/>
      <c r="U43" s="58"/>
      <c r="V43" s="58"/>
      <c r="X43" s="58"/>
    </row>
    <row r="44" spans="2:24" x14ac:dyDescent="0.25">
      <c r="B44" s="86"/>
      <c r="C44" s="86"/>
      <c r="D44" s="67"/>
      <c r="E44" s="118"/>
      <c r="F44" s="119" t="str">
        <f>Commodities!$D$68</f>
        <v>ELCHIGG</v>
      </c>
      <c r="G44" s="111"/>
      <c r="H44" s="67"/>
      <c r="I44" s="67"/>
      <c r="J44" s="67"/>
      <c r="K44" s="67"/>
      <c r="L44" s="111"/>
      <c r="M44" s="67"/>
      <c r="N44" s="67"/>
      <c r="O44" s="67"/>
      <c r="P44" s="67"/>
      <c r="Q44" s="67"/>
      <c r="R44" s="67"/>
      <c r="S44" s="86"/>
      <c r="T44" s="86"/>
      <c r="U44" s="67"/>
      <c r="V44" s="67"/>
      <c r="X44" s="58"/>
    </row>
    <row r="45" spans="2:24" x14ac:dyDescent="0.25">
      <c r="B45" s="77" t="str">
        <f>ELE_PPs!AA20</f>
        <v>EUOILHFO100</v>
      </c>
      <c r="C45" s="77" t="str">
        <f>ELE_PPs!AB20</f>
        <v>EUOILHFO100</v>
      </c>
      <c r="D45" s="58"/>
      <c r="E45" s="90" t="str">
        <f>E16</f>
        <v>ELEOILHFO</v>
      </c>
      <c r="F45" s="108"/>
      <c r="G45" s="114"/>
      <c r="H45" s="63">
        <f>ELE_Data!D52</f>
        <v>0.31</v>
      </c>
      <c r="I45" s="106">
        <f>ELE_Data!C52</f>
        <v>0.35</v>
      </c>
      <c r="J45" s="63">
        <v>31.536000000000001</v>
      </c>
      <c r="K45" s="57">
        <f>ELE_Data!E52</f>
        <v>0.35</v>
      </c>
      <c r="L45" s="57">
        <f>K45*1.05</f>
        <v>0.36749999999999999</v>
      </c>
      <c r="M45" s="57">
        <f>K45*1.1</f>
        <v>0.38500000000000001</v>
      </c>
      <c r="N45" s="83">
        <f>L45*0.4</f>
        <v>0.14699999999999999</v>
      </c>
      <c r="O45" s="90"/>
      <c r="P45" s="58"/>
      <c r="Q45" s="58">
        <v>15</v>
      </c>
      <c r="R45" s="58">
        <f>R41</f>
        <v>25</v>
      </c>
      <c r="S45" s="88"/>
      <c r="T45" s="88"/>
      <c r="U45" s="58">
        <v>1</v>
      </c>
      <c r="V45" s="58"/>
      <c r="X45" s="58"/>
    </row>
    <row r="46" spans="2:24" x14ac:dyDescent="0.25">
      <c r="B46" s="77" t="s">
        <v>633</v>
      </c>
      <c r="D46" s="90" t="str">
        <f>D42</f>
        <v>ELEOILHFO</v>
      </c>
      <c r="E46" s="90"/>
      <c r="F46" s="108"/>
      <c r="G46" s="114"/>
      <c r="H46" s="58"/>
      <c r="I46" s="58"/>
      <c r="J46" s="58"/>
      <c r="K46" s="58"/>
      <c r="L46" s="114"/>
      <c r="M46" s="58"/>
      <c r="N46" s="58"/>
      <c r="O46" s="58"/>
      <c r="P46" s="58"/>
      <c r="Q46" s="58"/>
      <c r="R46" s="58"/>
      <c r="U46" s="58"/>
      <c r="V46" s="58"/>
      <c r="X46" s="58"/>
    </row>
    <row r="47" spans="2:24" x14ac:dyDescent="0.25">
      <c r="D47" s="90" t="str">
        <f>D43</f>
        <v>SUPELC</v>
      </c>
      <c r="E47" s="90"/>
      <c r="F47" s="108"/>
      <c r="G47" s="114"/>
      <c r="H47" s="58"/>
      <c r="I47" s="58"/>
      <c r="J47" s="58"/>
      <c r="K47" s="58"/>
      <c r="L47" s="114"/>
      <c r="M47" s="58"/>
      <c r="N47" s="58"/>
      <c r="O47" s="58"/>
      <c r="P47" s="58"/>
      <c r="Q47" s="58"/>
      <c r="R47" s="58"/>
      <c r="U47" s="58"/>
      <c r="V47" s="58"/>
      <c r="X47" s="58"/>
    </row>
    <row r="48" spans="2:24" x14ac:dyDescent="0.25">
      <c r="B48" s="86"/>
      <c r="C48" s="86"/>
      <c r="D48" s="67"/>
      <c r="E48" s="118"/>
      <c r="F48" s="119" t="str">
        <f>Commodities!$D$68</f>
        <v>ELCHIGG</v>
      </c>
      <c r="G48" s="111"/>
      <c r="H48" s="67"/>
      <c r="I48" s="67"/>
      <c r="J48" s="67"/>
      <c r="K48" s="67"/>
      <c r="L48" s="111"/>
      <c r="M48" s="67"/>
      <c r="N48" s="67"/>
      <c r="O48" s="67"/>
      <c r="P48" s="67"/>
      <c r="Q48" s="67"/>
      <c r="R48" s="67"/>
      <c r="S48" s="86"/>
      <c r="T48" s="86"/>
      <c r="U48" s="67"/>
      <c r="V48" s="67"/>
      <c r="X48" s="58"/>
    </row>
    <row r="49" spans="2:46" x14ac:dyDescent="0.25">
      <c r="B49" s="77" t="s">
        <v>633</v>
      </c>
      <c r="D49" s="58"/>
      <c r="E49" s="90"/>
      <c r="F49" s="108"/>
      <c r="G49" s="114"/>
      <c r="H49" s="63"/>
      <c r="I49" s="106"/>
      <c r="J49" s="63"/>
      <c r="K49" s="57"/>
      <c r="L49" s="57"/>
      <c r="M49" s="57"/>
      <c r="N49" s="83"/>
      <c r="O49" s="90"/>
      <c r="P49" s="58"/>
      <c r="Q49" s="58"/>
      <c r="R49" s="58"/>
      <c r="S49" s="88"/>
      <c r="T49" s="88"/>
      <c r="U49" s="58"/>
      <c r="V49" s="58"/>
      <c r="X49" s="58"/>
    </row>
    <row r="50" spans="2:46" x14ac:dyDescent="0.25">
      <c r="B50" s="77" t="s">
        <v>633</v>
      </c>
      <c r="D50" s="90"/>
      <c r="E50" s="90"/>
      <c r="F50" s="108"/>
      <c r="G50" s="114"/>
      <c r="H50" s="58"/>
      <c r="I50" s="58"/>
      <c r="J50" s="58"/>
      <c r="K50" s="58"/>
      <c r="L50" s="114"/>
      <c r="M50" s="58"/>
      <c r="N50" s="58"/>
      <c r="O50" s="58"/>
      <c r="P50" s="58"/>
      <c r="Q50" s="58"/>
      <c r="R50" s="58"/>
      <c r="U50" s="58"/>
      <c r="V50" s="58"/>
      <c r="X50" s="58"/>
    </row>
    <row r="51" spans="2:46" x14ac:dyDescent="0.25">
      <c r="B51" s="77" t="s">
        <v>633</v>
      </c>
      <c r="D51" s="90"/>
      <c r="E51" s="90"/>
      <c r="F51" s="108"/>
      <c r="G51" s="114"/>
      <c r="H51" s="58"/>
      <c r="I51" s="58"/>
      <c r="J51" s="58"/>
      <c r="K51" s="58"/>
      <c r="L51" s="114"/>
      <c r="M51" s="58"/>
      <c r="N51" s="58"/>
      <c r="O51" s="58"/>
      <c r="P51" s="58"/>
      <c r="Q51" s="58"/>
      <c r="R51" s="58"/>
      <c r="U51" s="58"/>
      <c r="V51" s="58"/>
      <c r="X51" s="58"/>
    </row>
    <row r="52" spans="2:46" x14ac:dyDescent="0.25">
      <c r="B52" s="86" t="s">
        <v>633</v>
      </c>
      <c r="C52" s="86"/>
      <c r="D52" s="67"/>
      <c r="E52" s="118"/>
      <c r="F52" s="119"/>
      <c r="G52" s="111"/>
      <c r="H52" s="67"/>
      <c r="I52" s="67"/>
      <c r="J52" s="67"/>
      <c r="K52" s="67"/>
      <c r="L52" s="111"/>
      <c r="M52" s="67"/>
      <c r="N52" s="67"/>
      <c r="O52" s="67"/>
      <c r="P52" s="67"/>
      <c r="Q52" s="67"/>
      <c r="R52" s="67"/>
      <c r="S52" s="86"/>
      <c r="T52" s="86"/>
      <c r="U52" s="67"/>
      <c r="V52" s="67"/>
      <c r="X52" s="58"/>
    </row>
    <row r="53" spans="2:46" x14ac:dyDescent="0.25">
      <c r="X53" s="58"/>
    </row>
    <row r="54" spans="2:46" x14ac:dyDescent="0.25">
      <c r="X54" s="58"/>
    </row>
    <row r="55" spans="2:46" x14ac:dyDescent="0.25">
      <c r="X55" s="58"/>
    </row>
    <row r="56" spans="2:46" ht="15.6" x14ac:dyDescent="0.3">
      <c r="B56" s="120"/>
      <c r="C56" s="121" t="s">
        <v>680</v>
      </c>
      <c r="D56" s="122">
        <v>0</v>
      </c>
      <c r="G56" s="123">
        <v>3</v>
      </c>
      <c r="H56" s="120" t="s">
        <v>681</v>
      </c>
      <c r="I56" s="121"/>
      <c r="X56" s="58"/>
      <c r="Z56" s="96" t="s">
        <v>104</v>
      </c>
      <c r="AA56" s="96"/>
    </row>
    <row r="57" spans="2:46" ht="17.25" customHeight="1" x14ac:dyDescent="0.25">
      <c r="X57" s="58"/>
    </row>
    <row r="58" spans="2:46" ht="17.399999999999999" x14ac:dyDescent="0.3">
      <c r="E58" s="14" t="s">
        <v>15</v>
      </c>
      <c r="F58" s="14"/>
      <c r="H58" s="69"/>
      <c r="I58" s="69"/>
      <c r="N58" s="70"/>
      <c r="P58" s="70"/>
      <c r="Q58" s="70"/>
      <c r="R58" s="58"/>
      <c r="S58" s="58"/>
      <c r="T58" s="58"/>
      <c r="U58" s="58"/>
      <c r="V58" s="58"/>
      <c r="W58" s="58"/>
      <c r="X58" s="58"/>
      <c r="Y58" s="58"/>
      <c r="AA58" s="97" t="s">
        <v>41</v>
      </c>
      <c r="AB58" s="97"/>
      <c r="AC58" s="98"/>
      <c r="AD58" s="89"/>
      <c r="AE58" s="98"/>
      <c r="AF58" s="98"/>
      <c r="AG58" s="98"/>
      <c r="AH58" s="98"/>
      <c r="AI58" s="98"/>
      <c r="AT58" s="124"/>
    </row>
    <row r="59" spans="2:46" x14ac:dyDescent="0.25">
      <c r="B59" s="44" t="s">
        <v>1</v>
      </c>
      <c r="C59" s="44" t="s">
        <v>44</v>
      </c>
      <c r="D59" s="44" t="s">
        <v>7</v>
      </c>
      <c r="E59" s="45" t="s">
        <v>8</v>
      </c>
      <c r="F59" s="79" t="s">
        <v>17</v>
      </c>
      <c r="G59" s="79" t="s">
        <v>516</v>
      </c>
      <c r="H59" s="79" t="s">
        <v>518</v>
      </c>
      <c r="I59" s="79" t="s">
        <v>793</v>
      </c>
      <c r="J59" s="79" t="s">
        <v>517</v>
      </c>
      <c r="K59" s="79" t="s">
        <v>108</v>
      </c>
      <c r="R59" s="58"/>
      <c r="S59" s="58"/>
      <c r="T59" s="58"/>
      <c r="U59" s="58"/>
      <c r="V59" s="125"/>
      <c r="W59" s="58"/>
      <c r="X59" s="58"/>
      <c r="Z59" s="100" t="s">
        <v>19</v>
      </c>
      <c r="AA59" s="100"/>
      <c r="AB59" s="98"/>
      <c r="AC59" s="98"/>
      <c r="AD59" s="98"/>
      <c r="AE59" s="98"/>
      <c r="AF59" s="98"/>
      <c r="AG59" s="98"/>
      <c r="AH59" s="98"/>
    </row>
    <row r="60" spans="2:46" ht="23.25" customHeight="1" thickBot="1" x14ac:dyDescent="0.3">
      <c r="B60" s="80" t="s">
        <v>621</v>
      </c>
      <c r="C60" s="80" t="s">
        <v>26</v>
      </c>
      <c r="D60" s="80" t="s">
        <v>36</v>
      </c>
      <c r="E60" s="99" t="s">
        <v>37</v>
      </c>
      <c r="F60" s="80" t="s">
        <v>38</v>
      </c>
      <c r="G60" s="80" t="s">
        <v>39</v>
      </c>
      <c r="H60" s="80" t="s">
        <v>519</v>
      </c>
      <c r="I60" s="80" t="s">
        <v>40</v>
      </c>
      <c r="J60" s="80"/>
      <c r="K60" s="80"/>
      <c r="R60" s="58"/>
      <c r="S60" s="58"/>
      <c r="T60" s="58"/>
      <c r="U60" s="58"/>
      <c r="V60" s="125"/>
      <c r="W60" s="126"/>
      <c r="X60" s="58"/>
      <c r="Z60" s="82" t="s">
        <v>13</v>
      </c>
      <c r="AA60" s="82" t="s">
        <v>34</v>
      </c>
      <c r="AB60" s="82" t="s">
        <v>1</v>
      </c>
      <c r="AC60" s="82" t="s">
        <v>2</v>
      </c>
      <c r="AD60" s="82" t="s">
        <v>20</v>
      </c>
      <c r="AE60" s="82" t="s">
        <v>21</v>
      </c>
      <c r="AF60" s="82" t="s">
        <v>22</v>
      </c>
      <c r="AG60" s="82" t="s">
        <v>23</v>
      </c>
      <c r="AH60" s="82" t="s">
        <v>24</v>
      </c>
    </row>
    <row r="61" spans="2:46" ht="15" customHeight="1" thickBot="1" x14ac:dyDescent="0.3">
      <c r="B61" s="101"/>
      <c r="C61" s="102"/>
      <c r="D61" s="102" t="s">
        <v>90</v>
      </c>
      <c r="E61" s="103"/>
      <c r="F61" s="102" t="s">
        <v>513</v>
      </c>
      <c r="G61" s="102" t="s">
        <v>500</v>
      </c>
      <c r="H61" s="102"/>
      <c r="I61" s="102" t="s">
        <v>513</v>
      </c>
      <c r="J61" s="102"/>
      <c r="K61" s="102"/>
      <c r="R61" s="58"/>
      <c r="S61" s="58"/>
      <c r="T61" s="58"/>
      <c r="U61" s="58"/>
      <c r="V61" s="58"/>
      <c r="W61" s="126"/>
      <c r="X61" s="58"/>
      <c r="Z61" s="107" t="s">
        <v>47</v>
      </c>
      <c r="AA61" s="107" t="s">
        <v>35</v>
      </c>
      <c r="AB61" s="107" t="s">
        <v>25</v>
      </c>
      <c r="AC61" s="107" t="s">
        <v>26</v>
      </c>
      <c r="AD61" s="107" t="s">
        <v>27</v>
      </c>
      <c r="AE61" s="107" t="s">
        <v>28</v>
      </c>
      <c r="AF61" s="107" t="s">
        <v>51</v>
      </c>
      <c r="AG61" s="107" t="s">
        <v>50</v>
      </c>
      <c r="AH61" s="107" t="s">
        <v>29</v>
      </c>
    </row>
    <row r="62" spans="2:46" x14ac:dyDescent="0.25">
      <c r="B62" s="77" t="str">
        <f>AA18</f>
        <v>HPPCHPGASNAT00</v>
      </c>
      <c r="C62" s="77" t="str">
        <f>AB18</f>
        <v>HPPCHPGASNAT00</v>
      </c>
      <c r="D62" s="90" t="str">
        <f>Commodities!$D$57</f>
        <v>ELEGASNAT</v>
      </c>
      <c r="E62" s="104"/>
      <c r="F62" s="63">
        <v>0.8</v>
      </c>
      <c r="G62" s="57">
        <v>0</v>
      </c>
      <c r="H62" s="57">
        <v>31.536000000000001</v>
      </c>
      <c r="I62" s="57"/>
      <c r="J62" s="58">
        <v>15</v>
      </c>
      <c r="K62" s="58">
        <v>25</v>
      </c>
      <c r="R62" s="58"/>
      <c r="S62" s="58"/>
      <c r="T62" s="58"/>
      <c r="U62" s="58"/>
      <c r="V62" s="125"/>
      <c r="W62" s="126"/>
      <c r="X62" s="58"/>
      <c r="Y62" s="71"/>
      <c r="Z62" s="77" t="s">
        <v>499</v>
      </c>
      <c r="AA62" s="68"/>
      <c r="AB62" s="77" t="s">
        <v>547</v>
      </c>
      <c r="AC62" s="77" t="str">
        <f>AB62</f>
        <v>EUHYDSR100</v>
      </c>
      <c r="AD62" s="77" t="s">
        <v>71</v>
      </c>
      <c r="AE62" s="77" t="s">
        <v>500</v>
      </c>
      <c r="AF62" s="77" t="s">
        <v>251</v>
      </c>
      <c r="AG62" s="105"/>
      <c r="AH62" s="105" t="s">
        <v>501</v>
      </c>
      <c r="AP62" s="115"/>
      <c r="AS62" s="127"/>
    </row>
    <row r="63" spans="2:46" x14ac:dyDescent="0.25">
      <c r="D63" s="90"/>
      <c r="E63" s="108" t="str">
        <f>Commodities!$D$83</f>
        <v>HETHTH</v>
      </c>
      <c r="F63" s="58"/>
      <c r="G63" s="106"/>
      <c r="H63" s="58"/>
      <c r="I63" s="58"/>
      <c r="J63" s="58"/>
      <c r="K63" s="58"/>
      <c r="R63" s="58"/>
      <c r="S63" s="58"/>
      <c r="T63" s="58"/>
      <c r="U63" s="58"/>
      <c r="V63" s="58"/>
      <c r="X63" s="58"/>
      <c r="AB63" s="68" t="s">
        <v>536</v>
      </c>
      <c r="AC63" s="77" t="str">
        <f t="shared" ref="AC63:AC64" si="1">AB63</f>
        <v>EUWIND00</v>
      </c>
      <c r="AD63" s="77" t="s">
        <v>71</v>
      </c>
      <c r="AE63" s="77" t="s">
        <v>500</v>
      </c>
      <c r="AF63" s="77" t="s">
        <v>251</v>
      </c>
      <c r="AG63" s="105"/>
      <c r="AH63" s="105" t="s">
        <v>501</v>
      </c>
      <c r="AP63" s="115"/>
      <c r="AS63" s="127"/>
    </row>
    <row r="64" spans="2:46" x14ac:dyDescent="0.25">
      <c r="X64" s="58"/>
      <c r="AB64" s="68" t="s">
        <v>537</v>
      </c>
      <c r="AC64" s="77" t="str">
        <f t="shared" si="1"/>
        <v>EUPV00</v>
      </c>
      <c r="AD64" s="77" t="s">
        <v>71</v>
      </c>
      <c r="AE64" s="77" t="s">
        <v>500</v>
      </c>
      <c r="AF64" s="77" t="s">
        <v>251</v>
      </c>
      <c r="AG64" s="105"/>
      <c r="AH64" s="105" t="s">
        <v>501</v>
      </c>
      <c r="AP64" s="115"/>
      <c r="AS64" s="127"/>
    </row>
    <row r="65" spans="2:45" x14ac:dyDescent="0.25">
      <c r="X65" s="58"/>
      <c r="AB65" s="68"/>
      <c r="AG65" s="105"/>
      <c r="AH65" s="105"/>
      <c r="AP65" s="115"/>
      <c r="AS65" s="127"/>
    </row>
    <row r="66" spans="2:45" x14ac:dyDescent="0.25">
      <c r="X66" s="58"/>
      <c r="AB66" s="68"/>
      <c r="AG66" s="105"/>
      <c r="AH66" s="105"/>
      <c r="AP66" s="115"/>
      <c r="AS66" s="127"/>
    </row>
    <row r="67" spans="2:45" ht="15.6" x14ac:dyDescent="0.3">
      <c r="B67" s="18" t="s">
        <v>587</v>
      </c>
      <c r="H67" s="117"/>
      <c r="I67" s="63"/>
      <c r="N67" s="92"/>
      <c r="S67" s="58"/>
      <c r="T67" s="58"/>
      <c r="U67" s="58"/>
      <c r="V67" s="58"/>
      <c r="X67" s="58"/>
      <c r="AG67" s="105"/>
      <c r="AP67" s="115"/>
      <c r="AS67" s="127"/>
    </row>
    <row r="68" spans="2:45" x14ac:dyDescent="0.25">
      <c r="I68" s="117"/>
      <c r="S68" s="71"/>
      <c r="T68" s="71"/>
      <c r="U68" s="58"/>
      <c r="V68" s="58"/>
      <c r="W68" s="58"/>
      <c r="X68" s="58"/>
      <c r="AG68" s="105"/>
      <c r="AP68" s="115"/>
      <c r="AS68" s="127"/>
    </row>
    <row r="69" spans="2:45" x14ac:dyDescent="0.25">
      <c r="B69" s="2"/>
      <c r="E69" s="93"/>
      <c r="F69" s="93"/>
      <c r="G69" s="93"/>
      <c r="I69" s="94"/>
      <c r="J69" s="94"/>
      <c r="N69" s="71"/>
      <c r="O69" s="14" t="s">
        <v>528</v>
      </c>
      <c r="P69" s="71"/>
      <c r="Q69" s="71"/>
      <c r="R69" s="71"/>
      <c r="U69" s="58"/>
      <c r="V69" s="58"/>
      <c r="W69" s="58"/>
      <c r="X69" s="58"/>
      <c r="AG69" s="105"/>
      <c r="AP69" s="115"/>
      <c r="AS69" s="127"/>
    </row>
    <row r="70" spans="2:45" x14ac:dyDescent="0.25">
      <c r="F70" s="14" t="s">
        <v>15</v>
      </c>
      <c r="G70" s="14"/>
      <c r="I70" s="69"/>
      <c r="J70" s="69"/>
      <c r="N70" s="70"/>
      <c r="O70" s="70"/>
      <c r="P70" s="70"/>
      <c r="Q70" s="70"/>
      <c r="R70" s="70"/>
      <c r="U70" s="58"/>
      <c r="V70" s="58"/>
      <c r="W70" s="58"/>
      <c r="X70" s="58"/>
      <c r="AP70" s="115"/>
      <c r="AS70" s="127"/>
    </row>
    <row r="71" spans="2:45" ht="15" customHeight="1" x14ac:dyDescent="0.25">
      <c r="B71" s="44" t="s">
        <v>1</v>
      </c>
      <c r="C71" s="44" t="s">
        <v>44</v>
      </c>
      <c r="D71" s="21" t="s">
        <v>538</v>
      </c>
      <c r="E71" s="44" t="s">
        <v>7</v>
      </c>
      <c r="F71" s="45" t="s">
        <v>8</v>
      </c>
      <c r="G71" s="79" t="s">
        <v>102</v>
      </c>
      <c r="H71" s="79" t="s">
        <v>17</v>
      </c>
      <c r="I71" s="79" t="s">
        <v>516</v>
      </c>
      <c r="J71" s="79" t="s">
        <v>518</v>
      </c>
      <c r="K71" s="79" t="s">
        <v>793</v>
      </c>
      <c r="L71" s="79" t="str">
        <f>"NCAP_AFA~"&amp;BASE_YEAR+2</f>
        <v>NCAP_AFA~2019</v>
      </c>
      <c r="M71" s="79" t="s">
        <v>502</v>
      </c>
      <c r="N71" s="79" t="s">
        <v>503</v>
      </c>
      <c r="O71" s="79" t="s">
        <v>758</v>
      </c>
      <c r="P71" s="79" t="s">
        <v>759</v>
      </c>
      <c r="Q71" s="79" t="s">
        <v>760</v>
      </c>
      <c r="R71" s="79" t="s">
        <v>761</v>
      </c>
      <c r="S71" s="79" t="s">
        <v>517</v>
      </c>
      <c r="T71" s="79" t="s">
        <v>108</v>
      </c>
      <c r="U71" s="79" t="s">
        <v>676</v>
      </c>
      <c r="W71" s="58"/>
      <c r="X71" s="58"/>
      <c r="Z71" s="58"/>
      <c r="AP71" s="115"/>
      <c r="AS71" s="127"/>
    </row>
    <row r="72" spans="2:45" ht="27" thickBot="1" x14ac:dyDescent="0.3">
      <c r="B72" s="80" t="s">
        <v>621</v>
      </c>
      <c r="C72" s="80" t="s">
        <v>26</v>
      </c>
      <c r="D72" s="80"/>
      <c r="E72" s="80" t="s">
        <v>36</v>
      </c>
      <c r="F72" s="99" t="s">
        <v>37</v>
      </c>
      <c r="G72" s="80"/>
      <c r="H72" s="80" t="s">
        <v>38</v>
      </c>
      <c r="I72" s="80" t="s">
        <v>39</v>
      </c>
      <c r="J72" s="80" t="s">
        <v>519</v>
      </c>
      <c r="K72" s="80" t="s">
        <v>40</v>
      </c>
      <c r="L72" s="80"/>
      <c r="M72" s="80" t="s">
        <v>43</v>
      </c>
      <c r="N72" s="80" t="s">
        <v>42</v>
      </c>
      <c r="O72" s="80"/>
      <c r="P72" s="80"/>
      <c r="Q72" s="80"/>
      <c r="R72" s="80"/>
      <c r="S72" s="80"/>
      <c r="T72" s="80"/>
      <c r="U72" s="80" t="s">
        <v>677</v>
      </c>
      <c r="W72" s="58"/>
      <c r="AP72" s="115"/>
      <c r="AS72" s="127"/>
    </row>
    <row r="73" spans="2:45" ht="15" x14ac:dyDescent="0.25">
      <c r="B73" s="101"/>
      <c r="C73" s="102"/>
      <c r="D73" s="102"/>
      <c r="E73" s="102" t="s">
        <v>90</v>
      </c>
      <c r="F73" s="103"/>
      <c r="G73" s="102"/>
      <c r="H73" s="102" t="s">
        <v>513</v>
      </c>
      <c r="I73" s="102" t="s">
        <v>500</v>
      </c>
      <c r="J73" s="102"/>
      <c r="K73" s="102" t="s">
        <v>513</v>
      </c>
      <c r="L73" s="102" t="s">
        <v>513</v>
      </c>
      <c r="M73" s="102" t="str">
        <f>General!$D$10</f>
        <v>M$/GW/year</v>
      </c>
      <c r="N73" s="102" t="str">
        <f>General!$D$11</f>
        <v>M$/PJ</v>
      </c>
      <c r="O73" s="102"/>
      <c r="P73" s="102"/>
      <c r="Q73" s="102"/>
      <c r="R73" s="102"/>
      <c r="S73" s="102"/>
      <c r="T73" s="102"/>
      <c r="U73" s="81"/>
      <c r="W73" s="58"/>
      <c r="AM73" s="115"/>
      <c r="AP73" s="127"/>
    </row>
    <row r="74" spans="2:45" x14ac:dyDescent="0.25">
      <c r="B74" s="77" t="str">
        <f>AB62</f>
        <v>EUHYDSR100</v>
      </c>
      <c r="C74" s="77" t="str">
        <f>AC62</f>
        <v>EUHYDSR100</v>
      </c>
      <c r="E74" s="116" t="str">
        <f>Commodities!$D$62</f>
        <v>ELERESHYD</v>
      </c>
      <c r="F74" s="91" t="str">
        <f>Commodities!$D$68</f>
        <v>ELCHIGG</v>
      </c>
      <c r="G74" s="58"/>
      <c r="H74" s="58">
        <v>1</v>
      </c>
      <c r="I74" s="57">
        <f>ELE_Data!C7/1000</f>
        <v>1.1000000000000001</v>
      </c>
      <c r="J74" s="57">
        <v>31.536000000000001</v>
      </c>
      <c r="K74" s="106">
        <f>ELE_Data!D7</f>
        <v>0.18103985056039851</v>
      </c>
      <c r="L74" s="57">
        <f>ELE_Data!V11</f>
        <v>0.18103985056039851</v>
      </c>
      <c r="M74" s="57"/>
      <c r="N74" s="90"/>
      <c r="O74" s="84">
        <f>ELE_Data!L35</f>
        <v>0.18054520615996025</v>
      </c>
      <c r="P74" s="84">
        <f>ELE_Data!J35</f>
        <v>0.18054520615996025</v>
      </c>
      <c r="Q74" s="83">
        <f>ELE_Data!K35</f>
        <v>0.17956398221343872</v>
      </c>
      <c r="R74" s="84">
        <f>ELE_Data!I35</f>
        <v>0.18233870158539031</v>
      </c>
      <c r="S74" s="57">
        <v>15</v>
      </c>
      <c r="T74" s="57">
        <v>50</v>
      </c>
      <c r="U74" s="90">
        <v>1</v>
      </c>
      <c r="W74" s="58"/>
      <c r="AM74" s="115"/>
    </row>
    <row r="75" spans="2:45" ht="14.4" x14ac:dyDescent="0.3">
      <c r="B75" s="86"/>
      <c r="C75" s="86"/>
      <c r="D75" s="86" t="s">
        <v>253</v>
      </c>
      <c r="E75" s="86"/>
      <c r="F75" s="128"/>
      <c r="G75" s="112">
        <v>2E-3</v>
      </c>
      <c r="H75" s="67"/>
      <c r="I75" s="67"/>
      <c r="J75" s="67"/>
      <c r="K75" s="67"/>
      <c r="L75" s="67"/>
      <c r="M75" s="129"/>
      <c r="N75" s="118"/>
      <c r="O75" s="129"/>
      <c r="P75" s="86"/>
      <c r="Q75" s="86"/>
      <c r="R75" s="86"/>
      <c r="S75" s="86"/>
      <c r="T75" s="86"/>
      <c r="U75" s="86"/>
      <c r="W75" s="58"/>
      <c r="AM75" s="115"/>
      <c r="AP75" s="130"/>
    </row>
    <row r="76" spans="2:45" ht="16.5" customHeight="1" x14ac:dyDescent="0.25">
      <c r="U76" s="58"/>
      <c r="V76" s="58"/>
      <c r="W76" s="58"/>
      <c r="AM76" s="115"/>
    </row>
    <row r="77" spans="2:45" x14ac:dyDescent="0.25">
      <c r="U77" s="58"/>
      <c r="V77" s="58"/>
      <c r="W77" s="58"/>
    </row>
    <row r="78" spans="2:45" x14ac:dyDescent="0.25">
      <c r="U78" s="58"/>
      <c r="V78" s="58"/>
      <c r="W78" s="58"/>
    </row>
    <row r="79" spans="2:45" x14ac:dyDescent="0.25">
      <c r="U79" s="58"/>
      <c r="V79" s="58"/>
      <c r="W79" s="58"/>
    </row>
    <row r="80" spans="2:45" x14ac:dyDescent="0.25">
      <c r="U80" s="58"/>
      <c r="V80" s="58"/>
      <c r="W80" s="58"/>
    </row>
    <row r="81" spans="2:23" x14ac:dyDescent="0.25">
      <c r="C81" s="105"/>
      <c r="D81" s="105"/>
      <c r="E81" s="105"/>
      <c r="U81" s="58"/>
      <c r="V81" s="58"/>
      <c r="W81" s="58"/>
    </row>
    <row r="82" spans="2:23" ht="15.6" x14ac:dyDescent="0.3">
      <c r="B82" s="18" t="s">
        <v>548</v>
      </c>
      <c r="C82" s="105"/>
      <c r="D82" s="105"/>
      <c r="E82" s="105"/>
      <c r="U82" s="58"/>
      <c r="V82" s="58"/>
      <c r="W82" s="58"/>
    </row>
    <row r="83" spans="2:23" x14ac:dyDescent="0.25">
      <c r="S83" s="58"/>
      <c r="T83" s="58"/>
      <c r="W83" s="58"/>
    </row>
    <row r="84" spans="2:23" x14ac:dyDescent="0.25">
      <c r="O84" s="58"/>
      <c r="R84" s="58"/>
      <c r="W84" s="58"/>
    </row>
    <row r="85" spans="2:23" x14ac:dyDescent="0.25">
      <c r="F85" s="14" t="s">
        <v>15</v>
      </c>
      <c r="H85" s="69"/>
      <c r="I85" s="69"/>
      <c r="M85" s="70"/>
      <c r="O85" s="58"/>
      <c r="R85" s="58"/>
    </row>
    <row r="86" spans="2:23" ht="13.8" x14ac:dyDescent="0.25">
      <c r="B86" s="44" t="s">
        <v>1</v>
      </c>
      <c r="C86" s="44" t="s">
        <v>44</v>
      </c>
      <c r="D86" s="21" t="s">
        <v>538</v>
      </c>
      <c r="E86" s="44" t="s">
        <v>7</v>
      </c>
      <c r="F86" s="45" t="s">
        <v>8</v>
      </c>
      <c r="G86" s="79" t="s">
        <v>17</v>
      </c>
      <c r="H86" s="79" t="s">
        <v>516</v>
      </c>
      <c r="I86" s="79" t="s">
        <v>518</v>
      </c>
      <c r="J86" s="79" t="s">
        <v>793</v>
      </c>
      <c r="K86" s="79" t="str">
        <f>"NCAP_AFA~"&amp;BASE_YEAR+1</f>
        <v>NCAP_AFA~2018</v>
      </c>
      <c r="L86" s="79" t="s">
        <v>502</v>
      </c>
      <c r="M86" s="79" t="s">
        <v>503</v>
      </c>
      <c r="N86" s="79" t="s">
        <v>517</v>
      </c>
      <c r="O86" s="79" t="s">
        <v>108</v>
      </c>
      <c r="P86" s="79" t="s">
        <v>676</v>
      </c>
      <c r="R86" s="58"/>
    </row>
    <row r="87" spans="2:23" ht="27" thickBot="1" x14ac:dyDescent="0.3">
      <c r="B87" s="80" t="s">
        <v>621</v>
      </c>
      <c r="C87" s="80" t="s">
        <v>26</v>
      </c>
      <c r="D87" s="80"/>
      <c r="E87" s="80" t="s">
        <v>36</v>
      </c>
      <c r="F87" s="99" t="s">
        <v>37</v>
      </c>
      <c r="G87" s="80" t="s">
        <v>38</v>
      </c>
      <c r="H87" s="80" t="s">
        <v>39</v>
      </c>
      <c r="I87" s="80" t="s">
        <v>519</v>
      </c>
      <c r="J87" s="80" t="s">
        <v>40</v>
      </c>
      <c r="K87" s="80" t="s">
        <v>40</v>
      </c>
      <c r="L87" s="80" t="s">
        <v>43</v>
      </c>
      <c r="M87" s="80" t="s">
        <v>42</v>
      </c>
      <c r="N87" s="80"/>
      <c r="O87" s="80"/>
      <c r="P87" s="80" t="s">
        <v>677</v>
      </c>
      <c r="R87" s="58"/>
    </row>
    <row r="88" spans="2:23" ht="15" x14ac:dyDescent="0.25">
      <c r="B88" s="101"/>
      <c r="C88" s="102"/>
      <c r="D88" s="102"/>
      <c r="E88" s="102" t="s">
        <v>90</v>
      </c>
      <c r="F88" s="103"/>
      <c r="G88" s="102" t="s">
        <v>513</v>
      </c>
      <c r="H88" s="102" t="s">
        <v>500</v>
      </c>
      <c r="I88" s="102"/>
      <c r="J88" s="102" t="s">
        <v>513</v>
      </c>
      <c r="K88" s="102" t="s">
        <v>513</v>
      </c>
      <c r="L88" s="102" t="str">
        <f>General!$D$10</f>
        <v>M$/GW/year</v>
      </c>
      <c r="M88" s="102" t="str">
        <f>General!$D$11</f>
        <v>M$/PJ</v>
      </c>
      <c r="N88" s="102"/>
      <c r="O88" s="102"/>
      <c r="P88" s="81"/>
      <c r="R88" s="58"/>
    </row>
    <row r="89" spans="2:23" x14ac:dyDescent="0.25">
      <c r="B89" s="77" t="str">
        <f>AB63</f>
        <v>EUWIND00</v>
      </c>
      <c r="C89" s="77" t="str">
        <f>AC63</f>
        <v>EUWIND00</v>
      </c>
      <c r="D89" s="116"/>
      <c r="E89" s="116" t="str">
        <f>Commodities!$D$64</f>
        <v>ELERESWIN</v>
      </c>
      <c r="F89" s="91"/>
      <c r="G89" s="78">
        <v>1</v>
      </c>
      <c r="H89" s="106">
        <f>ELE_Data!C4/1000</f>
        <v>0</v>
      </c>
      <c r="I89" s="57">
        <v>31.536000000000001</v>
      </c>
      <c r="J89" s="57"/>
      <c r="K89" s="57"/>
      <c r="L89" s="58"/>
      <c r="M89" s="58"/>
      <c r="N89" s="90">
        <v>10</v>
      </c>
      <c r="O89" s="90">
        <v>45</v>
      </c>
      <c r="P89" s="90">
        <v>0</v>
      </c>
      <c r="R89" s="58"/>
    </row>
    <row r="90" spans="2:23" x14ac:dyDescent="0.25">
      <c r="D90" s="116"/>
      <c r="E90" s="116"/>
      <c r="F90" s="91" t="s">
        <v>252</v>
      </c>
      <c r="G90" s="90"/>
      <c r="H90" s="106"/>
      <c r="I90" s="57"/>
      <c r="J90" s="57"/>
      <c r="K90" s="57"/>
      <c r="L90" s="58"/>
      <c r="M90" s="58"/>
      <c r="N90" s="90"/>
      <c r="O90" s="90"/>
      <c r="P90" s="90"/>
      <c r="R90" s="58"/>
    </row>
    <row r="91" spans="2:23" x14ac:dyDescent="0.25">
      <c r="B91" s="77" t="str">
        <f>$AB$64</f>
        <v>EUPV00</v>
      </c>
      <c r="C91" s="77" t="str">
        <f>$AC$64</f>
        <v>EUPV00</v>
      </c>
      <c r="D91" s="116"/>
      <c r="E91" s="116" t="str">
        <f>Commodities!$D$63</f>
        <v>ELERESSOL</v>
      </c>
      <c r="F91" s="91"/>
      <c r="G91" s="58">
        <v>1</v>
      </c>
      <c r="H91" s="131">
        <f>ELE_Data!C5/1000</f>
        <v>0</v>
      </c>
      <c r="I91" s="57">
        <v>31.536000000000001</v>
      </c>
      <c r="J91" s="57"/>
      <c r="K91" s="57"/>
      <c r="L91" s="58"/>
      <c r="M91" s="58"/>
      <c r="N91" s="90">
        <v>10</v>
      </c>
      <c r="O91" s="90">
        <v>45</v>
      </c>
      <c r="P91" s="90">
        <v>0</v>
      </c>
      <c r="R91" s="58"/>
    </row>
    <row r="92" spans="2:23" x14ac:dyDescent="0.25">
      <c r="D92" s="116"/>
      <c r="E92" s="116"/>
      <c r="F92" s="91" t="str">
        <f>Commodities!$D$70</f>
        <v>ELCMLO</v>
      </c>
      <c r="G92" s="58"/>
      <c r="H92" s="106"/>
      <c r="I92" s="57"/>
      <c r="J92" s="57"/>
      <c r="K92" s="57"/>
      <c r="L92" s="58"/>
      <c r="M92" s="58"/>
      <c r="N92" s="90"/>
      <c r="O92" s="90"/>
      <c r="P92" s="90"/>
      <c r="R92" s="58"/>
    </row>
    <row r="93" spans="2:23" x14ac:dyDescent="0.25">
      <c r="R93" s="58"/>
    </row>
    <row r="94" spans="2:23" x14ac:dyDescent="0.25">
      <c r="R94" s="5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S81"/>
  <sheetViews>
    <sheetView topLeftCell="A15" zoomScale="85" zoomScaleNormal="85" workbookViewId="0">
      <selection activeCell="A15" sqref="A1:XFD1048576"/>
    </sheetView>
  </sheetViews>
  <sheetFormatPr defaultRowHeight="13.2" x14ac:dyDescent="0.25"/>
  <cols>
    <col min="1" max="1" width="40.44140625" style="77" bestFit="1" customWidth="1"/>
    <col min="2" max="2" width="15.5546875" style="77" bestFit="1" customWidth="1"/>
    <col min="3" max="4" width="13.44140625" style="77" bestFit="1" customWidth="1"/>
    <col min="5" max="6" width="8.88671875" style="77"/>
    <col min="7" max="7" width="12.5546875" style="77" customWidth="1"/>
    <col min="8" max="8" width="11.5546875" style="77" customWidth="1"/>
    <col min="9" max="9" width="15" style="77" bestFit="1" customWidth="1"/>
    <col min="10" max="10" width="14.44140625" style="77" bestFit="1" customWidth="1"/>
    <col min="11" max="12" width="11.5546875" style="77" customWidth="1"/>
    <col min="13" max="23" width="8.88671875" style="77"/>
    <col min="24" max="24" width="16.6640625" style="77" bestFit="1" customWidth="1"/>
    <col min="25" max="25" width="10.109375" style="77" bestFit="1" customWidth="1"/>
    <col min="26" max="16384" width="8.88671875" style="77"/>
  </cols>
  <sheetData>
    <row r="1" spans="1:45" x14ac:dyDescent="0.25">
      <c r="A1" s="132" t="s">
        <v>696</v>
      </c>
      <c r="B1" s="146"/>
      <c r="C1" s="146"/>
      <c r="D1" s="146"/>
      <c r="E1" s="132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AB1" s="132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7"/>
    </row>
    <row r="2" spans="1:45" x14ac:dyDescent="0.25">
      <c r="A2" s="135"/>
      <c r="B2" s="105"/>
      <c r="C2" s="133" t="s">
        <v>592</v>
      </c>
      <c r="D2" s="133" t="s">
        <v>568</v>
      </c>
      <c r="E2" s="135"/>
      <c r="F2" s="105"/>
      <c r="G2" s="134" t="s">
        <v>620</v>
      </c>
      <c r="H2" s="105"/>
      <c r="I2" s="105" t="s">
        <v>672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48"/>
      <c r="AB2" s="135"/>
      <c r="AC2" s="105"/>
      <c r="AD2" s="134" t="s">
        <v>788</v>
      </c>
      <c r="AE2" s="105"/>
      <c r="AF2" s="105" t="s">
        <v>672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48"/>
    </row>
    <row r="3" spans="1:45" x14ac:dyDescent="0.25">
      <c r="A3" s="135"/>
      <c r="B3" s="105"/>
      <c r="C3" s="78" t="s">
        <v>591</v>
      </c>
      <c r="D3" s="105"/>
      <c r="E3" s="135"/>
      <c r="F3" s="105"/>
      <c r="G3" s="105" t="s">
        <v>710</v>
      </c>
      <c r="H3" s="105"/>
      <c r="I3" s="78" t="s">
        <v>613</v>
      </c>
      <c r="J3" s="78" t="s">
        <v>613</v>
      </c>
      <c r="K3" s="78" t="s">
        <v>613</v>
      </c>
      <c r="L3" s="78" t="s">
        <v>611</v>
      </c>
      <c r="M3" s="78" t="s">
        <v>611</v>
      </c>
      <c r="N3" s="78" t="s">
        <v>610</v>
      </c>
      <c r="O3" s="78" t="s">
        <v>610</v>
      </c>
      <c r="P3" s="78" t="s">
        <v>610</v>
      </c>
      <c r="Q3" s="78" t="s">
        <v>612</v>
      </c>
      <c r="R3" s="78" t="s">
        <v>612</v>
      </c>
      <c r="S3" s="78" t="s">
        <v>613</v>
      </c>
      <c r="T3" s="78" t="s">
        <v>613</v>
      </c>
      <c r="U3" s="105"/>
      <c r="V3" s="148"/>
      <c r="AB3" s="135"/>
      <c r="AC3" s="105"/>
      <c r="AD3" s="105" t="s">
        <v>710</v>
      </c>
      <c r="AE3" s="105"/>
      <c r="AF3" s="78" t="s">
        <v>613</v>
      </c>
      <c r="AG3" s="78" t="s">
        <v>613</v>
      </c>
      <c r="AH3" s="78" t="s">
        <v>613</v>
      </c>
      <c r="AI3" s="78" t="s">
        <v>611</v>
      </c>
      <c r="AJ3" s="78" t="s">
        <v>611</v>
      </c>
      <c r="AK3" s="78" t="s">
        <v>610</v>
      </c>
      <c r="AL3" s="78" t="s">
        <v>610</v>
      </c>
      <c r="AM3" s="78" t="s">
        <v>610</v>
      </c>
      <c r="AN3" s="78" t="s">
        <v>612</v>
      </c>
      <c r="AO3" s="78" t="s">
        <v>612</v>
      </c>
      <c r="AP3" s="78" t="s">
        <v>613</v>
      </c>
      <c r="AQ3" s="78" t="s">
        <v>613</v>
      </c>
      <c r="AR3" s="105"/>
      <c r="AS3" s="148"/>
    </row>
    <row r="4" spans="1:45" x14ac:dyDescent="0.25">
      <c r="A4" s="135" t="s">
        <v>820</v>
      </c>
      <c r="B4" s="105" t="s">
        <v>589</v>
      </c>
      <c r="C4" s="149"/>
      <c r="D4" s="105"/>
      <c r="E4" s="135"/>
      <c r="F4" s="105"/>
      <c r="G4" s="105"/>
      <c r="H4" s="105"/>
      <c r="I4" s="105">
        <v>31</v>
      </c>
      <c r="J4" s="105">
        <v>28</v>
      </c>
      <c r="K4" s="105">
        <v>31</v>
      </c>
      <c r="L4" s="105">
        <v>30</v>
      </c>
      <c r="M4" s="105">
        <v>31</v>
      </c>
      <c r="N4" s="105">
        <v>30</v>
      </c>
      <c r="O4" s="105">
        <v>31</v>
      </c>
      <c r="P4" s="105">
        <v>31</v>
      </c>
      <c r="Q4" s="105">
        <v>30</v>
      </c>
      <c r="R4" s="105">
        <v>31</v>
      </c>
      <c r="S4" s="105">
        <v>30</v>
      </c>
      <c r="T4" s="105">
        <v>31</v>
      </c>
      <c r="U4" s="105"/>
      <c r="V4" s="148"/>
      <c r="AB4" s="135"/>
      <c r="AC4" s="105"/>
      <c r="AD4" s="105"/>
      <c r="AE4" s="105"/>
      <c r="AF4" s="105">
        <v>31</v>
      </c>
      <c r="AG4" s="105">
        <v>28</v>
      </c>
      <c r="AH4" s="105">
        <v>31</v>
      </c>
      <c r="AI4" s="105">
        <v>30</v>
      </c>
      <c r="AJ4" s="105">
        <v>31</v>
      </c>
      <c r="AK4" s="105">
        <v>30</v>
      </c>
      <c r="AL4" s="105">
        <v>31</v>
      </c>
      <c r="AM4" s="105">
        <v>31</v>
      </c>
      <c r="AN4" s="105">
        <v>30</v>
      </c>
      <c r="AO4" s="105">
        <v>31</v>
      </c>
      <c r="AP4" s="105">
        <v>30</v>
      </c>
      <c r="AQ4" s="105">
        <v>31</v>
      </c>
      <c r="AR4" s="105"/>
      <c r="AS4" s="148"/>
    </row>
    <row r="5" spans="1:45" x14ac:dyDescent="0.25">
      <c r="A5" s="135" t="s">
        <v>820</v>
      </c>
      <c r="B5" s="105" t="s">
        <v>590</v>
      </c>
      <c r="C5" s="149"/>
      <c r="D5" s="105"/>
      <c r="E5" s="135"/>
      <c r="F5" s="105"/>
      <c r="G5" s="105"/>
      <c r="H5" s="105"/>
      <c r="I5" s="78" t="s">
        <v>596</v>
      </c>
      <c r="J5" s="78" t="s">
        <v>597</v>
      </c>
      <c r="K5" s="78" t="s">
        <v>598</v>
      </c>
      <c r="L5" s="78" t="s">
        <v>599</v>
      </c>
      <c r="M5" s="78" t="s">
        <v>600</v>
      </c>
      <c r="N5" s="78" t="s">
        <v>601</v>
      </c>
      <c r="O5" s="78" t="s">
        <v>602</v>
      </c>
      <c r="P5" s="78" t="s">
        <v>603</v>
      </c>
      <c r="Q5" s="78" t="s">
        <v>604</v>
      </c>
      <c r="R5" s="78" t="s">
        <v>605</v>
      </c>
      <c r="S5" s="78" t="s">
        <v>606</v>
      </c>
      <c r="T5" s="78" t="s">
        <v>607</v>
      </c>
      <c r="U5" s="78" t="s">
        <v>608</v>
      </c>
      <c r="V5" s="150" t="s">
        <v>568</v>
      </c>
      <c r="AB5" s="135"/>
      <c r="AC5" s="105"/>
      <c r="AD5" s="105"/>
      <c r="AE5" s="105"/>
      <c r="AF5" s="78" t="s">
        <v>596</v>
      </c>
      <c r="AG5" s="78" t="s">
        <v>597</v>
      </c>
      <c r="AH5" s="78" t="s">
        <v>598</v>
      </c>
      <c r="AI5" s="78" t="s">
        <v>599</v>
      </c>
      <c r="AJ5" s="78" t="s">
        <v>600</v>
      </c>
      <c r="AK5" s="78" t="s">
        <v>601</v>
      </c>
      <c r="AL5" s="78" t="s">
        <v>602</v>
      </c>
      <c r="AM5" s="78" t="s">
        <v>603</v>
      </c>
      <c r="AN5" s="78" t="s">
        <v>604</v>
      </c>
      <c r="AO5" s="78" t="s">
        <v>605</v>
      </c>
      <c r="AP5" s="78" t="s">
        <v>606</v>
      </c>
      <c r="AQ5" s="78" t="s">
        <v>607</v>
      </c>
      <c r="AR5" s="78" t="s">
        <v>608</v>
      </c>
      <c r="AS5" s="150" t="s">
        <v>568</v>
      </c>
    </row>
    <row r="6" spans="1:45" x14ac:dyDescent="0.25">
      <c r="A6" s="135" t="s">
        <v>820</v>
      </c>
      <c r="B6" s="105" t="s">
        <v>593</v>
      </c>
      <c r="C6" s="149"/>
      <c r="D6" s="105"/>
      <c r="E6" s="135"/>
      <c r="F6" s="105"/>
      <c r="G6" s="105"/>
      <c r="H6" s="105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AB6" s="135"/>
      <c r="AC6" s="105"/>
      <c r="AD6" s="105"/>
      <c r="AE6" s="105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2"/>
    </row>
    <row r="7" spans="1:45" x14ac:dyDescent="0.25">
      <c r="A7" s="135" t="s">
        <v>820</v>
      </c>
      <c r="B7" s="105" t="s">
        <v>750</v>
      </c>
      <c r="C7" s="149">
        <v>1100</v>
      </c>
      <c r="D7" s="153">
        <f>V10</f>
        <v>0.18103985056039851</v>
      </c>
      <c r="E7" s="135"/>
      <c r="F7" s="105"/>
      <c r="G7" s="105"/>
      <c r="H7" s="105">
        <v>2014</v>
      </c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2">
        <f>U7/($J$16*8760)</f>
        <v>0</v>
      </c>
      <c r="AB7" s="135"/>
      <c r="AC7" s="105"/>
      <c r="AD7" s="105"/>
      <c r="AE7" s="105">
        <v>2014</v>
      </c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2">
        <f>AR7/($J$16*8760)</f>
        <v>0</v>
      </c>
    </row>
    <row r="8" spans="1:45" x14ac:dyDescent="0.25">
      <c r="A8" s="136" t="s">
        <v>783</v>
      </c>
      <c r="B8" s="105"/>
      <c r="C8" s="105"/>
      <c r="D8" s="105"/>
      <c r="E8" s="135"/>
      <c r="F8" s="105"/>
      <c r="G8" s="105"/>
      <c r="H8" s="105">
        <v>2015</v>
      </c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2">
        <f>U8/($J$16*8760)</f>
        <v>0</v>
      </c>
      <c r="AB8" s="135"/>
      <c r="AC8" s="105"/>
      <c r="AD8" s="105"/>
      <c r="AE8" s="105">
        <v>2015</v>
      </c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2">
        <f>AR8/($J$16*8760)</f>
        <v>0</v>
      </c>
    </row>
    <row r="9" spans="1:45" x14ac:dyDescent="0.25">
      <c r="A9" s="135"/>
      <c r="B9" s="105"/>
      <c r="C9" s="105"/>
      <c r="D9" s="105"/>
      <c r="E9" s="135"/>
      <c r="F9" s="105"/>
      <c r="G9" s="105"/>
      <c r="H9" s="105">
        <v>2016</v>
      </c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2">
        <f>U9/($J$16*8760)</f>
        <v>0</v>
      </c>
      <c r="AB9" s="135"/>
      <c r="AC9" s="105"/>
      <c r="AD9" s="105"/>
      <c r="AE9" s="105">
        <v>2016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2">
        <f>AR9/($J$16*8760)</f>
        <v>0</v>
      </c>
    </row>
    <row r="10" spans="1:45" ht="13.8" thickBot="1" x14ac:dyDescent="0.3">
      <c r="A10" s="154"/>
      <c r="B10" s="155"/>
      <c r="C10" s="155"/>
      <c r="D10" s="155"/>
      <c r="E10" s="135"/>
      <c r="F10" s="137"/>
      <c r="G10" s="151"/>
      <c r="H10" s="105">
        <v>2017</v>
      </c>
      <c r="I10" s="116">
        <f>$U$10/12</f>
        <v>145.375</v>
      </c>
      <c r="J10" s="116">
        <f t="shared" ref="J10:T10" si="0">$U$10/12</f>
        <v>145.375</v>
      </c>
      <c r="K10" s="116">
        <f t="shared" si="0"/>
        <v>145.375</v>
      </c>
      <c r="L10" s="116">
        <f t="shared" si="0"/>
        <v>145.375</v>
      </c>
      <c r="M10" s="116">
        <f t="shared" si="0"/>
        <v>145.375</v>
      </c>
      <c r="N10" s="116">
        <f t="shared" si="0"/>
        <v>145.375</v>
      </c>
      <c r="O10" s="116">
        <f t="shared" si="0"/>
        <v>145.375</v>
      </c>
      <c r="P10" s="116">
        <f t="shared" si="0"/>
        <v>145.375</v>
      </c>
      <c r="Q10" s="116">
        <f t="shared" si="0"/>
        <v>145.375</v>
      </c>
      <c r="R10" s="116">
        <f t="shared" si="0"/>
        <v>145.375</v>
      </c>
      <c r="S10" s="116">
        <f t="shared" si="0"/>
        <v>145.375</v>
      </c>
      <c r="T10" s="116">
        <f t="shared" si="0"/>
        <v>145.375</v>
      </c>
      <c r="U10" s="77">
        <f>'En.Bal-Primary-Transf.'!BA49/1000*41.868/3.6*10^3</f>
        <v>1744.5</v>
      </c>
      <c r="V10" s="156">
        <f>U10/($J$16*8760)*1000</f>
        <v>0.18103985056039851</v>
      </c>
      <c r="AB10" s="135"/>
      <c r="AC10" s="137"/>
      <c r="AD10" s="151"/>
      <c r="AE10" s="105">
        <v>2017</v>
      </c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>
        <f>SUM(AF10:AQ10)</f>
        <v>0</v>
      </c>
      <c r="AS10" s="156" t="e">
        <f>AR10/($AG$16*8760)*1000</f>
        <v>#DIV/0!</v>
      </c>
    </row>
    <row r="11" spans="1:45" x14ac:dyDescent="0.25">
      <c r="E11" s="13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56">
        <f>AVERAGE(V10)</f>
        <v>0.18103985056039851</v>
      </c>
      <c r="AB11" s="13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56" t="e">
        <f>AVERAGE(AS10)</f>
        <v>#DIV/0!</v>
      </c>
    </row>
    <row r="12" spans="1:45" x14ac:dyDescent="0.25">
      <c r="A12" s="138"/>
      <c r="C12" s="115"/>
      <c r="E12" s="13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48"/>
      <c r="AB12" s="13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48"/>
    </row>
    <row r="13" spans="1:45" x14ac:dyDescent="0.25">
      <c r="A13" s="138"/>
      <c r="C13" s="115"/>
      <c r="E13" s="13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48"/>
      <c r="AB13" s="13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48"/>
    </row>
    <row r="14" spans="1:45" x14ac:dyDescent="0.25">
      <c r="A14" s="138"/>
      <c r="C14" s="115"/>
      <c r="E14" s="13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48"/>
      <c r="AB14" s="13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48"/>
    </row>
    <row r="15" spans="1:45" x14ac:dyDescent="0.25">
      <c r="A15" s="138"/>
      <c r="C15" s="115"/>
      <c r="E15" s="135"/>
      <c r="F15" s="105"/>
      <c r="G15" s="105"/>
      <c r="H15" s="105" t="s">
        <v>594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48"/>
      <c r="AB15" s="135"/>
      <c r="AC15" s="105"/>
      <c r="AD15" s="105"/>
      <c r="AE15" s="105" t="s">
        <v>594</v>
      </c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48"/>
    </row>
    <row r="16" spans="1:45" x14ac:dyDescent="0.25">
      <c r="A16" s="105"/>
      <c r="E16" s="135"/>
      <c r="F16" s="105"/>
      <c r="G16" s="105"/>
      <c r="H16" s="105" t="s">
        <v>595</v>
      </c>
      <c r="I16" s="105"/>
      <c r="J16" s="157">
        <f>C7</f>
        <v>1100</v>
      </c>
      <c r="K16" s="105" t="s">
        <v>591</v>
      </c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48"/>
      <c r="AB16" s="135"/>
      <c r="AC16" s="105"/>
      <c r="AD16" s="105"/>
      <c r="AE16" s="105" t="s">
        <v>595</v>
      </c>
      <c r="AF16" s="105"/>
      <c r="AG16" s="157">
        <f>C4</f>
        <v>0</v>
      </c>
      <c r="AH16" s="105" t="s">
        <v>591</v>
      </c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48"/>
    </row>
    <row r="17" spans="5:45" x14ac:dyDescent="0.25">
      <c r="E17" s="135"/>
      <c r="F17" s="105"/>
      <c r="G17" s="105"/>
      <c r="H17" s="105"/>
      <c r="I17" s="105">
        <v>31</v>
      </c>
      <c r="J17" s="105">
        <v>28</v>
      </c>
      <c r="K17" s="105">
        <v>31</v>
      </c>
      <c r="L17" s="105">
        <v>30</v>
      </c>
      <c r="M17" s="105">
        <v>31</v>
      </c>
      <c r="N17" s="105">
        <v>30</v>
      </c>
      <c r="O17" s="105">
        <v>31</v>
      </c>
      <c r="P17" s="105">
        <v>31</v>
      </c>
      <c r="Q17" s="105">
        <v>30</v>
      </c>
      <c r="R17" s="105">
        <v>31</v>
      </c>
      <c r="S17" s="105">
        <v>30</v>
      </c>
      <c r="T17" s="105">
        <v>31</v>
      </c>
      <c r="U17" s="105">
        <v>365</v>
      </c>
      <c r="V17" s="148"/>
      <c r="AB17" s="135"/>
      <c r="AC17" s="105"/>
      <c r="AD17" s="105"/>
      <c r="AE17" s="105"/>
      <c r="AF17" s="105">
        <v>31</v>
      </c>
      <c r="AG17" s="105">
        <v>28</v>
      </c>
      <c r="AH17" s="105">
        <v>31</v>
      </c>
      <c r="AI17" s="105">
        <v>30</v>
      </c>
      <c r="AJ17" s="105">
        <v>31</v>
      </c>
      <c r="AK17" s="105">
        <v>30</v>
      </c>
      <c r="AL17" s="105">
        <v>31</v>
      </c>
      <c r="AM17" s="105">
        <v>31</v>
      </c>
      <c r="AN17" s="105">
        <v>30</v>
      </c>
      <c r="AO17" s="105">
        <v>31</v>
      </c>
      <c r="AP17" s="105">
        <v>30</v>
      </c>
      <c r="AQ17" s="105">
        <v>31</v>
      </c>
      <c r="AR17" s="105">
        <v>365</v>
      </c>
      <c r="AS17" s="148"/>
    </row>
    <row r="18" spans="5:45" x14ac:dyDescent="0.25">
      <c r="E18" s="135"/>
      <c r="F18" s="105"/>
      <c r="G18" s="105"/>
      <c r="H18" s="105"/>
      <c r="I18" s="78" t="s">
        <v>596</v>
      </c>
      <c r="J18" s="78" t="s">
        <v>597</v>
      </c>
      <c r="K18" s="78" t="s">
        <v>598</v>
      </c>
      <c r="L18" s="78" t="s">
        <v>599</v>
      </c>
      <c r="M18" s="78" t="s">
        <v>600</v>
      </c>
      <c r="N18" s="78" t="s">
        <v>601</v>
      </c>
      <c r="O18" s="78" t="s">
        <v>602</v>
      </c>
      <c r="P18" s="78" t="s">
        <v>603</v>
      </c>
      <c r="Q18" s="78" t="s">
        <v>604</v>
      </c>
      <c r="R18" s="78" t="s">
        <v>605</v>
      </c>
      <c r="S18" s="78" t="s">
        <v>606</v>
      </c>
      <c r="T18" s="78" t="s">
        <v>607</v>
      </c>
      <c r="U18" s="78" t="s">
        <v>608</v>
      </c>
      <c r="V18" s="148"/>
      <c r="AB18" s="135"/>
      <c r="AC18" s="105"/>
      <c r="AD18" s="105"/>
      <c r="AE18" s="105"/>
      <c r="AF18" s="78" t="s">
        <v>596</v>
      </c>
      <c r="AG18" s="78" t="s">
        <v>597</v>
      </c>
      <c r="AH18" s="78" t="s">
        <v>598</v>
      </c>
      <c r="AI18" s="78" t="s">
        <v>599</v>
      </c>
      <c r="AJ18" s="78" t="s">
        <v>600</v>
      </c>
      <c r="AK18" s="78" t="s">
        <v>601</v>
      </c>
      <c r="AL18" s="78" t="s">
        <v>602</v>
      </c>
      <c r="AM18" s="78" t="s">
        <v>603</v>
      </c>
      <c r="AN18" s="78" t="s">
        <v>604</v>
      </c>
      <c r="AO18" s="78" t="s">
        <v>605</v>
      </c>
      <c r="AP18" s="78" t="s">
        <v>606</v>
      </c>
      <c r="AQ18" s="78" t="s">
        <v>607</v>
      </c>
      <c r="AR18" s="78" t="s">
        <v>608</v>
      </c>
      <c r="AS18" s="148"/>
    </row>
    <row r="19" spans="5:45" x14ac:dyDescent="0.25">
      <c r="E19" s="135"/>
      <c r="F19" s="105"/>
      <c r="G19" s="105"/>
      <c r="H19" s="105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48"/>
      <c r="AB19" s="135"/>
      <c r="AC19" s="105"/>
      <c r="AD19" s="105"/>
      <c r="AE19" s="105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48"/>
    </row>
    <row r="20" spans="5:45" x14ac:dyDescent="0.25">
      <c r="E20" s="135"/>
      <c r="F20" s="105"/>
      <c r="G20" s="105"/>
      <c r="H20" s="105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48"/>
      <c r="AB20" s="135"/>
      <c r="AC20" s="105"/>
      <c r="AD20" s="105"/>
      <c r="AE20" s="105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48"/>
    </row>
    <row r="21" spans="5:45" x14ac:dyDescent="0.25">
      <c r="E21" s="135"/>
      <c r="F21" s="105"/>
      <c r="G21" s="105"/>
      <c r="H21" s="105">
        <v>2014</v>
      </c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48"/>
      <c r="AB21" s="135"/>
      <c r="AC21" s="105"/>
      <c r="AD21" s="105"/>
      <c r="AE21" s="105">
        <v>2014</v>
      </c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48"/>
    </row>
    <row r="22" spans="5:45" x14ac:dyDescent="0.25">
      <c r="E22" s="135"/>
      <c r="F22" s="105"/>
      <c r="G22" s="105"/>
      <c r="H22" s="105">
        <v>2015</v>
      </c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48"/>
      <c r="AB22" s="135"/>
      <c r="AC22" s="105"/>
      <c r="AD22" s="105"/>
      <c r="AE22" s="105">
        <v>2015</v>
      </c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48"/>
    </row>
    <row r="23" spans="5:45" x14ac:dyDescent="0.25">
      <c r="E23" s="135"/>
      <c r="F23" s="105"/>
      <c r="G23" s="105"/>
      <c r="H23" s="105">
        <v>2016</v>
      </c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48"/>
      <c r="AB23" s="135"/>
      <c r="AC23" s="105"/>
      <c r="AD23" s="105"/>
      <c r="AE23" s="105">
        <v>2016</v>
      </c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48"/>
    </row>
    <row r="24" spans="5:45" ht="13.8" thickBot="1" x14ac:dyDescent="0.3">
      <c r="E24" s="135"/>
      <c r="F24" s="105"/>
      <c r="G24" s="105"/>
      <c r="H24" s="105">
        <v>2017</v>
      </c>
      <c r="I24" s="153">
        <f>I10/($J$16*I$17*24)*1000</f>
        <v>0.17763318670576733</v>
      </c>
      <c r="J24" s="153">
        <f t="shared" ref="J24:U24" si="1">J10/($J$16*J$17*24)*1000</f>
        <v>0.19666531385281386</v>
      </c>
      <c r="K24" s="153">
        <f t="shared" si="1"/>
        <v>0.17763318670576733</v>
      </c>
      <c r="L24" s="153">
        <f t="shared" si="1"/>
        <v>0.18355429292929293</v>
      </c>
      <c r="M24" s="153">
        <f t="shared" si="1"/>
        <v>0.17763318670576733</v>
      </c>
      <c r="N24" s="153">
        <f t="shared" si="1"/>
        <v>0.18355429292929293</v>
      </c>
      <c r="O24" s="153">
        <f t="shared" si="1"/>
        <v>0.17763318670576733</v>
      </c>
      <c r="P24" s="153">
        <f t="shared" si="1"/>
        <v>0.17763318670576733</v>
      </c>
      <c r="Q24" s="153">
        <f t="shared" si="1"/>
        <v>0.18355429292929293</v>
      </c>
      <c r="R24" s="153">
        <f t="shared" si="1"/>
        <v>0.17763318670576733</v>
      </c>
      <c r="S24" s="153">
        <f t="shared" si="1"/>
        <v>0.18355429292929293</v>
      </c>
      <c r="T24" s="153">
        <f t="shared" si="1"/>
        <v>0.17763318670576733</v>
      </c>
      <c r="U24" s="153">
        <f t="shared" si="1"/>
        <v>0.18103985056039851</v>
      </c>
      <c r="V24" s="148"/>
      <c r="AB24" s="135"/>
      <c r="AC24" s="105"/>
      <c r="AD24" s="105"/>
      <c r="AE24" s="105">
        <v>2017</v>
      </c>
      <c r="AF24" s="153" t="e">
        <f>AF10/($AG$16*AF$17*24)*1000</f>
        <v>#DIV/0!</v>
      </c>
      <c r="AG24" s="153" t="e">
        <f t="shared" ref="AG24:AR24" si="2">AG10/($AG$16*AG$17*24)*1000</f>
        <v>#DIV/0!</v>
      </c>
      <c r="AH24" s="153" t="e">
        <f t="shared" si="2"/>
        <v>#DIV/0!</v>
      </c>
      <c r="AI24" s="153" t="e">
        <f t="shared" si="2"/>
        <v>#DIV/0!</v>
      </c>
      <c r="AJ24" s="153" t="e">
        <f t="shared" si="2"/>
        <v>#DIV/0!</v>
      </c>
      <c r="AK24" s="153" t="e">
        <f t="shared" si="2"/>
        <v>#DIV/0!</v>
      </c>
      <c r="AL24" s="153" t="e">
        <f t="shared" si="2"/>
        <v>#DIV/0!</v>
      </c>
      <c r="AM24" s="153" t="e">
        <f t="shared" si="2"/>
        <v>#DIV/0!</v>
      </c>
      <c r="AN24" s="153" t="e">
        <f t="shared" si="2"/>
        <v>#DIV/0!</v>
      </c>
      <c r="AO24" s="153" t="e">
        <f t="shared" si="2"/>
        <v>#DIV/0!</v>
      </c>
      <c r="AP24" s="153" t="e">
        <f t="shared" si="2"/>
        <v>#DIV/0!</v>
      </c>
      <c r="AQ24" s="153" t="e">
        <f t="shared" si="2"/>
        <v>#DIV/0!</v>
      </c>
      <c r="AR24" s="153" t="e">
        <f t="shared" si="2"/>
        <v>#DIV/0!</v>
      </c>
      <c r="AS24" s="148"/>
    </row>
    <row r="25" spans="5:45" ht="13.8" thickBot="1" x14ac:dyDescent="0.3">
      <c r="E25" s="135"/>
      <c r="F25" s="105"/>
      <c r="G25" s="105"/>
      <c r="H25" s="158" t="s">
        <v>616</v>
      </c>
      <c r="I25" s="159">
        <f t="shared" ref="I25:U25" si="3">AVERAGE(I19:I24)</f>
        <v>0.17763318670576733</v>
      </c>
      <c r="J25" s="159">
        <f t="shared" si="3"/>
        <v>0.19666531385281386</v>
      </c>
      <c r="K25" s="159">
        <f t="shared" si="3"/>
        <v>0.17763318670576733</v>
      </c>
      <c r="L25" s="159">
        <f t="shared" si="3"/>
        <v>0.18355429292929293</v>
      </c>
      <c r="M25" s="159">
        <f t="shared" si="3"/>
        <v>0.17763318670576733</v>
      </c>
      <c r="N25" s="159">
        <f t="shared" si="3"/>
        <v>0.18355429292929293</v>
      </c>
      <c r="O25" s="159">
        <f t="shared" si="3"/>
        <v>0.17763318670576733</v>
      </c>
      <c r="P25" s="159">
        <f t="shared" si="3"/>
        <v>0.17763318670576733</v>
      </c>
      <c r="Q25" s="159">
        <f t="shared" si="3"/>
        <v>0.18355429292929293</v>
      </c>
      <c r="R25" s="159">
        <f t="shared" si="3"/>
        <v>0.17763318670576733</v>
      </c>
      <c r="S25" s="159">
        <f t="shared" si="3"/>
        <v>0.18355429292929293</v>
      </c>
      <c r="T25" s="159">
        <f t="shared" si="3"/>
        <v>0.17763318670576733</v>
      </c>
      <c r="U25" s="160">
        <f t="shared" si="3"/>
        <v>0.18103985056039851</v>
      </c>
      <c r="V25" s="148"/>
      <c r="AB25" s="135"/>
      <c r="AC25" s="105"/>
      <c r="AD25" s="105"/>
      <c r="AE25" s="158" t="s">
        <v>616</v>
      </c>
      <c r="AF25" s="159" t="e">
        <f t="shared" ref="AF25:AR25" si="4">AVERAGE(AF19:AF24)</f>
        <v>#DIV/0!</v>
      </c>
      <c r="AG25" s="159" t="e">
        <f t="shared" si="4"/>
        <v>#DIV/0!</v>
      </c>
      <c r="AH25" s="159" t="e">
        <f t="shared" si="4"/>
        <v>#DIV/0!</v>
      </c>
      <c r="AI25" s="159" t="e">
        <f t="shared" si="4"/>
        <v>#DIV/0!</v>
      </c>
      <c r="AJ25" s="159" t="e">
        <f t="shared" si="4"/>
        <v>#DIV/0!</v>
      </c>
      <c r="AK25" s="159" t="e">
        <f t="shared" si="4"/>
        <v>#DIV/0!</v>
      </c>
      <c r="AL25" s="159" t="e">
        <f t="shared" si="4"/>
        <v>#DIV/0!</v>
      </c>
      <c r="AM25" s="159" t="e">
        <f t="shared" si="4"/>
        <v>#DIV/0!</v>
      </c>
      <c r="AN25" s="159" t="e">
        <f t="shared" si="4"/>
        <v>#DIV/0!</v>
      </c>
      <c r="AO25" s="159" t="e">
        <f t="shared" si="4"/>
        <v>#DIV/0!</v>
      </c>
      <c r="AP25" s="159" t="e">
        <f t="shared" si="4"/>
        <v>#DIV/0!</v>
      </c>
      <c r="AQ25" s="159" t="e">
        <f t="shared" si="4"/>
        <v>#DIV/0!</v>
      </c>
      <c r="AR25" s="160" t="e">
        <f t="shared" si="4"/>
        <v>#DIV/0!</v>
      </c>
      <c r="AS25" s="148"/>
    </row>
    <row r="26" spans="5:45" x14ac:dyDescent="0.25">
      <c r="E26" s="135"/>
      <c r="F26" s="105"/>
      <c r="G26" s="105"/>
      <c r="H26" s="105" t="s">
        <v>609</v>
      </c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48"/>
      <c r="AB26" s="135"/>
      <c r="AC26" s="105"/>
      <c r="AD26" s="105"/>
      <c r="AE26" s="105" t="s">
        <v>609</v>
      </c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48"/>
    </row>
    <row r="27" spans="5:45" x14ac:dyDescent="0.25">
      <c r="E27" s="135"/>
      <c r="F27" s="105"/>
      <c r="G27" s="105"/>
      <c r="H27" s="70" t="s">
        <v>617</v>
      </c>
      <c r="I27" s="78" t="s">
        <v>613</v>
      </c>
      <c r="J27" s="78" t="s">
        <v>611</v>
      </c>
      <c r="K27" s="78" t="s">
        <v>610</v>
      </c>
      <c r="L27" s="78" t="s">
        <v>612</v>
      </c>
      <c r="M27" s="105"/>
      <c r="N27" s="105"/>
      <c r="O27" s="105"/>
      <c r="P27" s="105"/>
      <c r="Q27" s="105"/>
      <c r="R27" s="105"/>
      <c r="S27" s="105"/>
      <c r="T27" s="105"/>
      <c r="U27" s="105"/>
      <c r="V27" s="148"/>
      <c r="AB27" s="135"/>
      <c r="AC27" s="105"/>
      <c r="AD27" s="105"/>
      <c r="AE27" s="70" t="s">
        <v>617</v>
      </c>
      <c r="AF27" s="78" t="s">
        <v>613</v>
      </c>
      <c r="AG27" s="78" t="s">
        <v>611</v>
      </c>
      <c r="AH27" s="78" t="s">
        <v>610</v>
      </c>
      <c r="AI27" s="78" t="s">
        <v>612</v>
      </c>
      <c r="AJ27" s="105"/>
      <c r="AK27" s="105"/>
      <c r="AL27" s="105"/>
      <c r="AM27" s="105"/>
      <c r="AN27" s="105"/>
      <c r="AO27" s="105"/>
      <c r="AP27" s="105"/>
      <c r="AQ27" s="105"/>
      <c r="AR27" s="105"/>
      <c r="AS27" s="148"/>
    </row>
    <row r="28" spans="5:45" x14ac:dyDescent="0.25">
      <c r="E28" s="135"/>
      <c r="F28" s="105"/>
      <c r="G28" s="105"/>
      <c r="H28" s="70" t="s">
        <v>618</v>
      </c>
      <c r="I28" s="78">
        <f>$Z$34</f>
        <v>151</v>
      </c>
      <c r="J28" s="78">
        <f>$Z$31</f>
        <v>61</v>
      </c>
      <c r="K28" s="78">
        <f>$Z$32</f>
        <v>92</v>
      </c>
      <c r="L28" s="78">
        <f>$Z$33</f>
        <v>61</v>
      </c>
      <c r="M28" s="105"/>
      <c r="N28" s="105"/>
      <c r="O28" s="105"/>
      <c r="P28" s="105"/>
      <c r="Q28" s="105"/>
      <c r="R28" s="105"/>
      <c r="S28" s="105"/>
      <c r="T28" s="105"/>
      <c r="U28" s="105"/>
      <c r="V28" s="148"/>
      <c r="AB28" s="135"/>
      <c r="AC28" s="105"/>
      <c r="AD28" s="105"/>
      <c r="AE28" s="70" t="s">
        <v>618</v>
      </c>
      <c r="AF28" s="78">
        <f>$Z$34</f>
        <v>151</v>
      </c>
      <c r="AG28" s="78">
        <f>$Z$31</f>
        <v>61</v>
      </c>
      <c r="AH28" s="78">
        <f>$Z$32</f>
        <v>92</v>
      </c>
      <c r="AI28" s="78">
        <f>$Z$33</f>
        <v>61</v>
      </c>
      <c r="AJ28" s="105"/>
      <c r="AK28" s="105"/>
      <c r="AL28" s="105"/>
      <c r="AM28" s="105"/>
      <c r="AN28" s="105"/>
      <c r="AO28" s="105"/>
      <c r="AP28" s="105"/>
      <c r="AQ28" s="105"/>
      <c r="AR28" s="105"/>
      <c r="AS28" s="148"/>
    </row>
    <row r="29" spans="5:45" x14ac:dyDescent="0.25">
      <c r="E29" s="135"/>
      <c r="F29" s="105"/>
      <c r="G29" s="105"/>
      <c r="H29" s="105"/>
      <c r="I29" s="161"/>
      <c r="J29" s="161"/>
      <c r="K29" s="161"/>
      <c r="L29" s="161"/>
      <c r="M29" s="105"/>
      <c r="N29" s="105"/>
      <c r="O29" s="105"/>
      <c r="P29" s="105"/>
      <c r="Q29" s="105"/>
      <c r="R29" s="105"/>
      <c r="S29" s="105"/>
      <c r="T29" s="105"/>
      <c r="U29" s="105"/>
      <c r="V29" s="148"/>
      <c r="AB29" s="135"/>
      <c r="AC29" s="105"/>
      <c r="AD29" s="105"/>
      <c r="AE29" s="105"/>
      <c r="AF29" s="161"/>
      <c r="AG29" s="161"/>
      <c r="AH29" s="161"/>
      <c r="AI29" s="161"/>
      <c r="AJ29" s="105"/>
      <c r="AK29" s="105"/>
      <c r="AL29" s="105"/>
      <c r="AM29" s="105"/>
      <c r="AN29" s="105"/>
      <c r="AO29" s="105"/>
      <c r="AP29" s="105"/>
      <c r="AQ29" s="105"/>
      <c r="AR29" s="105"/>
      <c r="AS29" s="148"/>
    </row>
    <row r="30" spans="5:45" x14ac:dyDescent="0.25">
      <c r="E30" s="135"/>
      <c r="F30" s="105"/>
      <c r="G30" s="105"/>
      <c r="H30" s="105"/>
      <c r="I30" s="161"/>
      <c r="J30" s="161"/>
      <c r="K30" s="161"/>
      <c r="L30" s="161"/>
      <c r="M30" s="105"/>
      <c r="N30" s="105"/>
      <c r="O30" s="105"/>
      <c r="P30" s="105"/>
      <c r="Q30" s="105"/>
      <c r="R30" s="105"/>
      <c r="S30" s="105"/>
      <c r="T30" s="105"/>
      <c r="U30" s="105"/>
      <c r="V30" s="148"/>
      <c r="W30" s="77" t="s">
        <v>614</v>
      </c>
      <c r="X30" s="77" t="s">
        <v>615</v>
      </c>
      <c r="AB30" s="135"/>
      <c r="AC30" s="105"/>
      <c r="AD30" s="105"/>
      <c r="AE30" s="105"/>
      <c r="AF30" s="161"/>
      <c r="AG30" s="161"/>
      <c r="AH30" s="161"/>
      <c r="AI30" s="161"/>
      <c r="AJ30" s="105"/>
      <c r="AK30" s="105"/>
      <c r="AL30" s="105"/>
      <c r="AM30" s="105"/>
      <c r="AN30" s="105"/>
      <c r="AO30" s="105"/>
      <c r="AP30" s="105"/>
      <c r="AQ30" s="105"/>
      <c r="AR30" s="105"/>
      <c r="AS30" s="148"/>
    </row>
    <row r="31" spans="5:45" x14ac:dyDescent="0.25">
      <c r="E31" s="135"/>
      <c r="F31" s="105"/>
      <c r="G31" s="105"/>
      <c r="H31" s="105">
        <v>2014</v>
      </c>
      <c r="I31" s="161"/>
      <c r="J31" s="161"/>
      <c r="K31" s="161"/>
      <c r="L31" s="161"/>
      <c r="M31" s="105"/>
      <c r="N31" s="105"/>
      <c r="O31" s="105"/>
      <c r="P31" s="105"/>
      <c r="Q31" s="105"/>
      <c r="R31" s="105"/>
      <c r="S31" s="105"/>
      <c r="T31" s="105"/>
      <c r="U31" s="105"/>
      <c r="V31" s="148"/>
      <c r="W31" s="162" t="s">
        <v>611</v>
      </c>
      <c r="X31" s="139">
        <v>42826</v>
      </c>
      <c r="Y31" s="139">
        <v>42886</v>
      </c>
      <c r="Z31" s="77">
        <v>61</v>
      </c>
      <c r="AB31" s="135"/>
      <c r="AC31" s="105"/>
      <c r="AD31" s="105"/>
      <c r="AE31" s="105">
        <v>2014</v>
      </c>
      <c r="AF31" s="161"/>
      <c r="AG31" s="161"/>
      <c r="AH31" s="161"/>
      <c r="AI31" s="161"/>
      <c r="AJ31" s="105"/>
      <c r="AK31" s="105"/>
      <c r="AL31" s="105"/>
      <c r="AM31" s="105"/>
      <c r="AN31" s="105"/>
      <c r="AO31" s="105"/>
      <c r="AP31" s="105"/>
      <c r="AQ31" s="105"/>
      <c r="AR31" s="105"/>
      <c r="AS31" s="148"/>
    </row>
    <row r="32" spans="5:45" x14ac:dyDescent="0.25">
      <c r="E32" s="135"/>
      <c r="F32" s="105"/>
      <c r="G32" s="105"/>
      <c r="H32" s="105">
        <v>2015</v>
      </c>
      <c r="I32" s="161"/>
      <c r="J32" s="161"/>
      <c r="K32" s="161"/>
      <c r="L32" s="161"/>
      <c r="M32" s="105"/>
      <c r="N32" s="105"/>
      <c r="O32" s="105"/>
      <c r="P32" s="105"/>
      <c r="Q32" s="105"/>
      <c r="R32" s="105"/>
      <c r="S32" s="105"/>
      <c r="T32" s="105"/>
      <c r="U32" s="105"/>
      <c r="V32" s="148"/>
      <c r="W32" s="162" t="s">
        <v>610</v>
      </c>
      <c r="X32" s="139">
        <v>42887</v>
      </c>
      <c r="Y32" s="139">
        <v>42978</v>
      </c>
      <c r="Z32" s="77">
        <v>92</v>
      </c>
      <c r="AB32" s="135"/>
      <c r="AC32" s="105"/>
      <c r="AD32" s="105"/>
      <c r="AE32" s="105">
        <v>2015</v>
      </c>
      <c r="AF32" s="161"/>
      <c r="AG32" s="161"/>
      <c r="AH32" s="161"/>
      <c r="AI32" s="161"/>
      <c r="AJ32" s="105"/>
      <c r="AK32" s="105"/>
      <c r="AL32" s="105"/>
      <c r="AM32" s="105"/>
      <c r="AN32" s="105"/>
      <c r="AO32" s="105"/>
      <c r="AP32" s="105"/>
      <c r="AQ32" s="105"/>
      <c r="AR32" s="105"/>
      <c r="AS32" s="148"/>
    </row>
    <row r="33" spans="1:45" x14ac:dyDescent="0.25">
      <c r="E33" s="135"/>
      <c r="F33" s="105"/>
      <c r="G33" s="105"/>
      <c r="H33" s="105">
        <v>2016</v>
      </c>
      <c r="I33" s="161"/>
      <c r="J33" s="161"/>
      <c r="K33" s="161"/>
      <c r="L33" s="161"/>
      <c r="M33" s="105"/>
      <c r="N33" s="105"/>
      <c r="O33" s="105"/>
      <c r="P33" s="105"/>
      <c r="Q33" s="105"/>
      <c r="R33" s="105"/>
      <c r="S33" s="105"/>
      <c r="T33" s="105"/>
      <c r="U33" s="105"/>
      <c r="V33" s="148"/>
      <c r="W33" s="162" t="s">
        <v>612</v>
      </c>
      <c r="X33" s="139">
        <v>42979</v>
      </c>
      <c r="Y33" s="139">
        <v>43039</v>
      </c>
      <c r="Z33" s="77">
        <v>61</v>
      </c>
      <c r="AB33" s="135"/>
      <c r="AC33" s="105"/>
      <c r="AD33" s="105"/>
      <c r="AE33" s="105">
        <v>2016</v>
      </c>
      <c r="AF33" s="161"/>
      <c r="AG33" s="161"/>
      <c r="AH33" s="161"/>
      <c r="AI33" s="161"/>
      <c r="AJ33" s="105"/>
      <c r="AK33" s="105"/>
      <c r="AL33" s="105"/>
      <c r="AM33" s="105"/>
      <c r="AN33" s="105"/>
      <c r="AO33" s="105"/>
      <c r="AP33" s="105"/>
      <c r="AQ33" s="105"/>
      <c r="AR33" s="105"/>
      <c r="AS33" s="148"/>
    </row>
    <row r="34" spans="1:45" x14ac:dyDescent="0.25">
      <c r="E34" s="135"/>
      <c r="F34" s="105"/>
      <c r="G34" s="105"/>
      <c r="H34" s="105">
        <v>2017</v>
      </c>
      <c r="I34" s="161">
        <f>SUMIF($I$3:$T$3,I$27,$I10:$T10)/($J$16*I$28*24/1000)</f>
        <v>0.18233870158539031</v>
      </c>
      <c r="J34" s="161">
        <f>SUMIF($I$3:$T$3,J$27,$I10:$T10)/($J$16*J$28*24/1000)</f>
        <v>0.18054520615996025</v>
      </c>
      <c r="K34" s="161">
        <f>SUMIF($I$3:$T$3,K$27,$I10:$T10)/($J$16*K$28*24/1000)</f>
        <v>0.17956398221343872</v>
      </c>
      <c r="L34" s="161">
        <f>SUMIF($I$3:$T$3,L$27,$I10:$T10)/($J$16*L$28*24/1000)</f>
        <v>0.18054520615996025</v>
      </c>
      <c r="M34" s="105"/>
      <c r="N34" s="105"/>
      <c r="O34" s="105"/>
      <c r="P34" s="105"/>
      <c r="Q34" s="105"/>
      <c r="R34" s="105"/>
      <c r="S34" s="105"/>
      <c r="T34" s="105"/>
      <c r="U34" s="105"/>
      <c r="V34" s="148"/>
      <c r="W34" s="162" t="s">
        <v>613</v>
      </c>
      <c r="X34" s="139">
        <v>42675</v>
      </c>
      <c r="Y34" s="139">
        <v>42825</v>
      </c>
      <c r="Z34" s="77">
        <v>151</v>
      </c>
      <c r="AB34" s="135"/>
      <c r="AC34" s="105"/>
      <c r="AD34" s="105"/>
      <c r="AE34" s="105">
        <v>2017</v>
      </c>
      <c r="AF34" s="161" t="e">
        <f>SUMIF($AF$3:$AQ$3,AF$27,$AF10:$AQ10)/($AG$16*AF$28*24/1000)</f>
        <v>#DIV/0!</v>
      </c>
      <c r="AG34" s="161" t="e">
        <f t="shared" ref="AG34:AI34" si="5">SUMIF($AF$3:$AQ$3,AG$27,$AF10:$AQ10)/($AG$16*AG$28*24/1000)</f>
        <v>#DIV/0!</v>
      </c>
      <c r="AH34" s="161" t="e">
        <f t="shared" si="5"/>
        <v>#DIV/0!</v>
      </c>
      <c r="AI34" s="161" t="e">
        <f t="shared" si="5"/>
        <v>#DIV/0!</v>
      </c>
      <c r="AJ34" s="105"/>
      <c r="AK34" s="105"/>
      <c r="AL34" s="105"/>
      <c r="AM34" s="105"/>
      <c r="AN34" s="105"/>
      <c r="AO34" s="105"/>
      <c r="AP34" s="105"/>
      <c r="AQ34" s="105"/>
      <c r="AR34" s="105"/>
      <c r="AS34" s="148"/>
    </row>
    <row r="35" spans="1:45" x14ac:dyDescent="0.25">
      <c r="E35" s="135"/>
      <c r="F35" s="105"/>
      <c r="G35" s="105"/>
      <c r="H35" s="70" t="s">
        <v>619</v>
      </c>
      <c r="I35" s="161">
        <f>AVERAGE(I34)</f>
        <v>0.18233870158539031</v>
      </c>
      <c r="J35" s="161">
        <f t="shared" ref="J35:L35" si="6">AVERAGE(J34)</f>
        <v>0.18054520615996025</v>
      </c>
      <c r="K35" s="161">
        <f t="shared" si="6"/>
        <v>0.17956398221343872</v>
      </c>
      <c r="L35" s="161">
        <f t="shared" si="6"/>
        <v>0.18054520615996025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48"/>
      <c r="AB35" s="135"/>
      <c r="AC35" s="105"/>
      <c r="AD35" s="105"/>
      <c r="AE35" s="70" t="s">
        <v>619</v>
      </c>
      <c r="AF35" s="114" t="e">
        <f>AVERAGE(AF34)</f>
        <v>#DIV/0!</v>
      </c>
      <c r="AG35" s="114" t="e">
        <f t="shared" ref="AG35:AI35" si="7">AVERAGE(AG34)</f>
        <v>#DIV/0!</v>
      </c>
      <c r="AH35" s="114" t="e">
        <f t="shared" si="7"/>
        <v>#DIV/0!</v>
      </c>
      <c r="AI35" s="114" t="e">
        <f t="shared" si="7"/>
        <v>#DIV/0!</v>
      </c>
      <c r="AJ35" s="105"/>
      <c r="AK35" s="105"/>
      <c r="AL35" s="105"/>
      <c r="AM35" s="105"/>
      <c r="AN35" s="105"/>
      <c r="AO35" s="105"/>
      <c r="AP35" s="105"/>
      <c r="AQ35" s="105"/>
      <c r="AR35" s="105"/>
      <c r="AS35" s="148"/>
    </row>
    <row r="36" spans="1:45" ht="13.8" thickBot="1" x14ac:dyDescent="0.3">
      <c r="E36" s="154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63"/>
      <c r="AB36" s="154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63"/>
    </row>
    <row r="38" spans="1:45" ht="13.8" thickBot="1" x14ac:dyDescent="0.3"/>
    <row r="39" spans="1:45" x14ac:dyDescent="0.25">
      <c r="A39" s="132"/>
      <c r="B39" s="146"/>
      <c r="C39" s="146"/>
      <c r="D39" s="146"/>
      <c r="E39" s="147"/>
      <c r="G39" s="164" t="s">
        <v>766</v>
      </c>
      <c r="H39" s="165"/>
      <c r="I39" s="165"/>
      <c r="J39" s="165"/>
      <c r="K39" s="166"/>
    </row>
    <row r="40" spans="1:45" x14ac:dyDescent="0.25">
      <c r="A40" s="135" t="s">
        <v>709</v>
      </c>
      <c r="B40" s="105"/>
      <c r="C40" s="153">
        <f>SUM(C42:C46,C52:C53)</f>
        <v>0.64999999999999991</v>
      </c>
      <c r="D40" s="105"/>
      <c r="E40" s="148"/>
      <c r="G40" s="167"/>
      <c r="H40" s="168"/>
      <c r="I40" s="168"/>
      <c r="J40" s="168"/>
      <c r="K40" s="169"/>
    </row>
    <row r="41" spans="1:45" x14ac:dyDescent="0.25">
      <c r="A41" s="135"/>
      <c r="B41" s="133" t="s">
        <v>622</v>
      </c>
      <c r="C41" s="140" t="s">
        <v>729</v>
      </c>
      <c r="D41" s="133" t="s">
        <v>730</v>
      </c>
      <c r="E41" s="141" t="s">
        <v>568</v>
      </c>
      <c r="G41" s="16" t="s">
        <v>753</v>
      </c>
      <c r="H41" s="15" t="s">
        <v>754</v>
      </c>
      <c r="I41" s="15" t="s">
        <v>755</v>
      </c>
      <c r="J41" s="105"/>
      <c r="K41" s="108" t="s">
        <v>817</v>
      </c>
    </row>
    <row r="42" spans="1:45" x14ac:dyDescent="0.25">
      <c r="A42" s="135" t="s">
        <v>713</v>
      </c>
      <c r="B42" s="105" t="s">
        <v>127</v>
      </c>
      <c r="C42" s="142">
        <v>0.3</v>
      </c>
      <c r="D42" s="170">
        <v>0.35</v>
      </c>
      <c r="E42" s="171">
        <v>0.15</v>
      </c>
      <c r="G42" s="172">
        <f t="shared" ref="G42:G47" si="8">C42*E42*31.536/D42</f>
        <v>4.0546285714285712</v>
      </c>
      <c r="H42" s="157">
        <f>G42*(D42/(ELE_PPs!S11*ELE_PPs!V11+1))</f>
        <v>1.1584653061224488</v>
      </c>
      <c r="I42" s="157">
        <f>H42*ELE_PPs!S11</f>
        <v>1.7376979591836732</v>
      </c>
      <c r="J42" s="170">
        <f t="shared" ref="J42:J47" si="9">(H42+I42)/G42</f>
        <v>0.71428571428571419</v>
      </c>
      <c r="K42" s="173">
        <f>I42/H42</f>
        <v>1.5</v>
      </c>
    </row>
    <row r="43" spans="1:45" x14ac:dyDescent="0.25">
      <c r="A43" s="135" t="s">
        <v>714</v>
      </c>
      <c r="B43" s="105" t="s">
        <v>122</v>
      </c>
      <c r="C43" s="142">
        <v>0</v>
      </c>
      <c r="D43" s="170">
        <v>0.3</v>
      </c>
      <c r="E43" s="171">
        <v>0.35</v>
      </c>
      <c r="G43" s="172">
        <f t="shared" si="8"/>
        <v>0</v>
      </c>
      <c r="H43" s="157">
        <f>G43*(D43/(ELE_PPs!S16*ELE_PPs!V16+1))</f>
        <v>0</v>
      </c>
      <c r="I43" s="157">
        <f>H43*ELE_PPs!S16</f>
        <v>0</v>
      </c>
      <c r="J43" s="170" t="e">
        <f t="shared" si="9"/>
        <v>#DIV/0!</v>
      </c>
      <c r="K43" s="173" t="e">
        <f t="shared" ref="K43:K44" si="10">I43/H43</f>
        <v>#DIV/0!</v>
      </c>
    </row>
    <row r="44" spans="1:45" x14ac:dyDescent="0.25">
      <c r="A44" s="135" t="s">
        <v>715</v>
      </c>
      <c r="B44" s="105" t="s">
        <v>572</v>
      </c>
      <c r="C44" s="142"/>
      <c r="D44" s="170">
        <v>0.31</v>
      </c>
      <c r="E44" s="171">
        <v>0.75</v>
      </c>
      <c r="G44" s="172">
        <f t="shared" si="8"/>
        <v>0</v>
      </c>
      <c r="H44" s="157">
        <f>G44*(D44/(ELE_PPs!S21*ELE_PPs!V21+1))</f>
        <v>0</v>
      </c>
      <c r="I44" s="157">
        <f>H44*ELE_PPs!S21</f>
        <v>0</v>
      </c>
      <c r="J44" s="170" t="e">
        <f t="shared" si="9"/>
        <v>#DIV/0!</v>
      </c>
      <c r="K44" s="173" t="e">
        <f t="shared" si="10"/>
        <v>#DIV/0!</v>
      </c>
    </row>
    <row r="45" spans="1:45" x14ac:dyDescent="0.25">
      <c r="A45" s="135" t="s">
        <v>716</v>
      </c>
      <c r="B45" s="105" t="s">
        <v>728</v>
      </c>
      <c r="C45" s="142"/>
      <c r="D45" s="170">
        <v>0.27</v>
      </c>
      <c r="E45" s="171">
        <v>0.75</v>
      </c>
      <c r="G45" s="172">
        <f t="shared" si="8"/>
        <v>0</v>
      </c>
      <c r="H45" s="157">
        <f>G45*(D45/(ELE_PPs!S22*ELE_PPs!V22+1))</f>
        <v>0</v>
      </c>
      <c r="I45" s="157">
        <f>H45*ELE_PPs!S22</f>
        <v>0</v>
      </c>
      <c r="J45" s="170" t="e">
        <f t="shared" si="9"/>
        <v>#DIV/0!</v>
      </c>
      <c r="K45" s="173"/>
    </row>
    <row r="46" spans="1:45" x14ac:dyDescent="0.25">
      <c r="A46" s="174" t="s">
        <v>806</v>
      </c>
      <c r="B46" s="175" t="s">
        <v>127</v>
      </c>
      <c r="C46" s="176"/>
      <c r="D46" s="177">
        <v>0.33</v>
      </c>
      <c r="E46" s="178">
        <v>0.72</v>
      </c>
      <c r="G46" s="172">
        <f t="shared" si="8"/>
        <v>0</v>
      </c>
      <c r="H46" s="157">
        <f>G46*(D46/(ELE_PPs!S11*ELE_PPs!V11+1))</f>
        <v>0</v>
      </c>
      <c r="I46" s="157">
        <f>H46*L46</f>
        <v>0</v>
      </c>
      <c r="J46" s="170" t="e">
        <f t="shared" si="9"/>
        <v>#DIV/0!</v>
      </c>
      <c r="K46" s="173" t="e">
        <f>I46/H46</f>
        <v>#DIV/0!</v>
      </c>
      <c r="L46" s="77">
        <v>2</v>
      </c>
    </row>
    <row r="47" spans="1:45" x14ac:dyDescent="0.25">
      <c r="A47" s="179" t="s">
        <v>807</v>
      </c>
      <c r="B47" s="175" t="str">
        <f>B45</f>
        <v>Brown coal/Lignite</v>
      </c>
      <c r="C47" s="176"/>
      <c r="D47" s="177">
        <v>0.32</v>
      </c>
      <c r="E47" s="178">
        <v>0.72</v>
      </c>
      <c r="G47" s="172">
        <f t="shared" si="8"/>
        <v>0</v>
      </c>
      <c r="H47" s="157">
        <f>G47*(D47/(ELE_PPs!S21*ELE_PPs!V21+1))</f>
        <v>0</v>
      </c>
      <c r="I47" s="157">
        <f>H47*L47</f>
        <v>0</v>
      </c>
      <c r="J47" s="170" t="e">
        <f t="shared" si="9"/>
        <v>#DIV/0!</v>
      </c>
      <c r="K47" s="173" t="e">
        <f>I47/H47</f>
        <v>#DIV/0!</v>
      </c>
      <c r="L47" s="77">
        <v>2</v>
      </c>
    </row>
    <row r="48" spans="1:45" x14ac:dyDescent="0.25">
      <c r="A48" s="135" t="s">
        <v>717</v>
      </c>
      <c r="B48" s="105"/>
      <c r="C48" s="142"/>
      <c r="D48" s="105"/>
      <c r="E48" s="148"/>
      <c r="G48" s="180"/>
      <c r="H48" s="157"/>
      <c r="I48" s="157"/>
      <c r="J48" s="157"/>
      <c r="K48" s="173"/>
    </row>
    <row r="49" spans="1:11" x14ac:dyDescent="0.25">
      <c r="A49" s="135" t="s">
        <v>718</v>
      </c>
      <c r="B49" s="105"/>
      <c r="C49" s="142"/>
      <c r="D49" s="105"/>
      <c r="E49" s="148"/>
      <c r="G49" s="172"/>
      <c r="H49" s="157"/>
      <c r="I49" s="157"/>
      <c r="J49" s="157"/>
      <c r="K49" s="173"/>
    </row>
    <row r="50" spans="1:11" x14ac:dyDescent="0.25">
      <c r="A50" s="135"/>
      <c r="B50" s="105"/>
      <c r="C50" s="142"/>
      <c r="D50" s="105"/>
      <c r="E50" s="148"/>
      <c r="G50" s="172"/>
      <c r="H50" s="157"/>
      <c r="I50" s="157"/>
      <c r="J50" s="157"/>
      <c r="K50" s="173"/>
    </row>
    <row r="51" spans="1:11" x14ac:dyDescent="0.25">
      <c r="A51" s="135" t="s">
        <v>719</v>
      </c>
      <c r="B51" s="105" t="s">
        <v>127</v>
      </c>
      <c r="C51" s="142">
        <v>4.4000000000000004</v>
      </c>
      <c r="D51" s="170">
        <v>0.42</v>
      </c>
      <c r="E51" s="171">
        <v>0.56999999999999995</v>
      </c>
      <c r="G51" s="172">
        <f>C51*E51*31.536/D51</f>
        <v>188.31497142857145</v>
      </c>
      <c r="H51" s="157">
        <f>G51*D51</f>
        <v>79.092288000000011</v>
      </c>
      <c r="I51" s="157"/>
      <c r="J51" s="157"/>
      <c r="K51" s="173"/>
    </row>
    <row r="52" spans="1:11" x14ac:dyDescent="0.25">
      <c r="A52" s="135" t="s">
        <v>720</v>
      </c>
      <c r="B52" s="105" t="s">
        <v>122</v>
      </c>
      <c r="C52" s="142">
        <v>0.35</v>
      </c>
      <c r="D52" s="170">
        <v>0.31</v>
      </c>
      <c r="E52" s="171">
        <v>0.35</v>
      </c>
      <c r="G52" s="172">
        <f>C52*E52*31.536/D52</f>
        <v>12.461806451612903</v>
      </c>
      <c r="H52" s="157">
        <f>G52*D52</f>
        <v>3.8631599999999997</v>
      </c>
      <c r="I52" s="157"/>
      <c r="J52" s="157"/>
      <c r="K52" s="173"/>
    </row>
    <row r="53" spans="1:11" x14ac:dyDescent="0.25">
      <c r="A53" s="174" t="s">
        <v>805</v>
      </c>
      <c r="B53" s="175" t="str">
        <f>B51</f>
        <v>Natural gas</v>
      </c>
      <c r="C53" s="176"/>
      <c r="D53" s="181">
        <v>0.36</v>
      </c>
      <c r="E53" s="178">
        <f>E51</f>
        <v>0.56999999999999995</v>
      </c>
      <c r="G53" s="172">
        <f>C53*E53*31.536/D53</f>
        <v>0</v>
      </c>
      <c r="H53" s="157">
        <f>G53*D53</f>
        <v>0</v>
      </c>
      <c r="I53" s="157"/>
      <c r="J53" s="157"/>
      <c r="K53" s="173"/>
    </row>
    <row r="54" spans="1:11" x14ac:dyDescent="0.25">
      <c r="A54" s="135" t="s">
        <v>808</v>
      </c>
      <c r="B54" s="105"/>
      <c r="C54" s="142"/>
      <c r="D54" s="182"/>
      <c r="E54" s="183"/>
      <c r="G54" s="172"/>
      <c r="H54" s="157"/>
      <c r="I54" s="157"/>
      <c r="J54" s="157"/>
      <c r="K54" s="173"/>
    </row>
    <row r="55" spans="1:11" x14ac:dyDescent="0.25">
      <c r="A55" s="135" t="s">
        <v>721</v>
      </c>
      <c r="B55" s="105"/>
      <c r="C55" s="142"/>
      <c r="D55" s="105"/>
      <c r="E55" s="148"/>
      <c r="G55" s="172"/>
      <c r="H55" s="157"/>
      <c r="I55" s="157"/>
      <c r="J55" s="157"/>
      <c r="K55" s="173"/>
    </row>
    <row r="56" spans="1:11" x14ac:dyDescent="0.25">
      <c r="A56" s="135"/>
      <c r="B56" s="105"/>
      <c r="C56" s="142"/>
      <c r="D56" s="105"/>
      <c r="E56" s="148"/>
      <c r="G56" s="172"/>
      <c r="H56" s="157"/>
      <c r="I56" s="157"/>
      <c r="J56" s="157"/>
      <c r="K56" s="173"/>
    </row>
    <row r="57" spans="1:11" ht="13.8" thickBot="1" x14ac:dyDescent="0.3">
      <c r="A57" s="135"/>
      <c r="B57" s="143" t="s">
        <v>767</v>
      </c>
      <c r="C57" s="144">
        <f>SUM(C4:C7)/1000</f>
        <v>1.1000000000000001</v>
      </c>
      <c r="D57" s="105"/>
      <c r="E57" s="148"/>
      <c r="G57" s="172"/>
      <c r="H57" s="157">
        <f>C4/1000*31.536*D4+C5/1000*31.536*D5+C7/1000*31.536*D7</f>
        <v>6.2802000000000007</v>
      </c>
      <c r="I57" s="157"/>
      <c r="J57" s="157"/>
      <c r="K57" s="173"/>
    </row>
    <row r="58" spans="1:11" ht="13.8" thickTop="1" x14ac:dyDescent="0.25">
      <c r="A58" s="135" t="s">
        <v>819</v>
      </c>
      <c r="B58" s="105"/>
      <c r="C58" s="153">
        <f>SUM(C42:C57)</f>
        <v>6.15</v>
      </c>
      <c r="D58" s="105"/>
      <c r="E58" s="148"/>
      <c r="G58" s="172"/>
      <c r="H58" s="157"/>
      <c r="I58" s="157"/>
      <c r="J58" s="157"/>
      <c r="K58" s="173"/>
    </row>
    <row r="59" spans="1:11" x14ac:dyDescent="0.25">
      <c r="A59" s="135"/>
      <c r="B59" s="105"/>
      <c r="C59" s="105"/>
      <c r="D59" s="105"/>
      <c r="E59" s="148"/>
      <c r="G59" s="172"/>
      <c r="H59" s="157"/>
      <c r="I59" s="157"/>
      <c r="J59" s="157"/>
      <c r="K59" s="173"/>
    </row>
    <row r="60" spans="1:11" x14ac:dyDescent="0.25">
      <c r="A60" s="135"/>
      <c r="B60" s="105"/>
      <c r="C60" s="105"/>
      <c r="D60" s="105"/>
      <c r="E60" s="148"/>
      <c r="G60" s="172"/>
      <c r="H60" s="157"/>
      <c r="I60" s="157"/>
      <c r="J60" s="157"/>
      <c r="K60" s="173"/>
    </row>
    <row r="61" spans="1:11" x14ac:dyDescent="0.25">
      <c r="A61" s="135" t="s">
        <v>722</v>
      </c>
      <c r="B61" s="105" t="s">
        <v>127</v>
      </c>
      <c r="C61" s="153">
        <f>I61/31.536/E61</f>
        <v>0.74028401826484025</v>
      </c>
      <c r="D61" s="170">
        <v>0.82</v>
      </c>
      <c r="E61" s="148">
        <v>0.25</v>
      </c>
      <c r="G61" s="172">
        <f>K61</f>
        <v>7.117560000000001</v>
      </c>
      <c r="H61" s="157"/>
      <c r="I61" s="157">
        <f>G61*D61</f>
        <v>5.8363992000000007</v>
      </c>
      <c r="J61" s="157"/>
      <c r="K61" s="173">
        <f>'En.Bal-Primary-Transf.'!AU33/1000*41.868</f>
        <v>7.117560000000001</v>
      </c>
    </row>
    <row r="62" spans="1:11" x14ac:dyDescent="0.25">
      <c r="A62" s="135" t="s">
        <v>723</v>
      </c>
      <c r="B62" s="105" t="s">
        <v>572</v>
      </c>
      <c r="C62" s="153">
        <f>I62/31.536/E62</f>
        <v>0</v>
      </c>
      <c r="D62" s="170">
        <v>0.75</v>
      </c>
      <c r="E62" s="148">
        <v>0.25</v>
      </c>
      <c r="G62" s="172">
        <f>K62</f>
        <v>0</v>
      </c>
      <c r="H62" s="157"/>
      <c r="I62" s="157">
        <f>G62*D62</f>
        <v>0</v>
      </c>
      <c r="J62" s="157"/>
      <c r="K62" s="173">
        <f>'En.Bal-Primary-Transf.'!M33/1000*41.868</f>
        <v>0</v>
      </c>
    </row>
    <row r="63" spans="1:11" x14ac:dyDescent="0.25">
      <c r="A63" s="135" t="s">
        <v>724</v>
      </c>
      <c r="B63" s="105" t="s">
        <v>728</v>
      </c>
      <c r="C63" s="153">
        <f>I63/31.536/E63</f>
        <v>0</v>
      </c>
      <c r="D63" s="182">
        <v>0.7</v>
      </c>
      <c r="E63" s="148">
        <v>0.25</v>
      </c>
      <c r="G63" s="172">
        <f>K63</f>
        <v>0</v>
      </c>
      <c r="H63" s="157"/>
      <c r="I63" s="157">
        <f>G63*D63</f>
        <v>0</v>
      </c>
      <c r="J63" s="157"/>
      <c r="K63" s="173">
        <f>'En.Bal-Primary-Transf.'!N33/1000*41.868</f>
        <v>0</v>
      </c>
    </row>
    <row r="64" spans="1:11" x14ac:dyDescent="0.25">
      <c r="A64" s="135" t="s">
        <v>725</v>
      </c>
      <c r="B64" s="105"/>
      <c r="C64" s="105"/>
      <c r="D64" s="105"/>
      <c r="E64" s="148"/>
      <c r="G64" s="184"/>
      <c r="H64" s="105"/>
      <c r="I64" s="105"/>
      <c r="J64" s="105"/>
      <c r="K64" s="91"/>
    </row>
    <row r="65" spans="1:16" x14ac:dyDescent="0.25">
      <c r="A65" s="135" t="s">
        <v>726</v>
      </c>
      <c r="B65" s="105"/>
      <c r="C65" s="105"/>
      <c r="D65" s="105"/>
      <c r="E65" s="148"/>
      <c r="G65" s="184"/>
      <c r="H65" s="105"/>
      <c r="I65" s="105"/>
      <c r="J65" s="105"/>
      <c r="K65" s="91"/>
    </row>
    <row r="66" spans="1:16" ht="13.8" thickBot="1" x14ac:dyDescent="0.3">
      <c r="A66" s="154"/>
      <c r="B66" s="155"/>
      <c r="C66" s="155"/>
      <c r="D66" s="155"/>
      <c r="E66" s="163"/>
      <c r="G66" s="145"/>
      <c r="H66" s="86"/>
      <c r="I66" s="86"/>
      <c r="J66" s="86"/>
      <c r="K66" s="185"/>
    </row>
    <row r="67" spans="1:16" x14ac:dyDescent="0.25">
      <c r="H67" s="77" t="str">
        <f>H41</f>
        <v>Elc-Output</v>
      </c>
      <c r="I67" s="77" t="str">
        <f>CONCATENATE(I41,"CHP")</f>
        <v>Heat-OutputCHP</v>
      </c>
      <c r="J67" s="77" t="str">
        <f>CONCATENATE(I41,"DH")</f>
        <v>Heat-OutputDH</v>
      </c>
    </row>
    <row r="68" spans="1:16" x14ac:dyDescent="0.25">
      <c r="A68" s="186"/>
      <c r="H68" s="127">
        <f>SUM(H42:H67)</f>
        <v>90.394113306122449</v>
      </c>
      <c r="I68" s="127">
        <f>SUM(I42:I47)</f>
        <v>1.7376979591836732</v>
      </c>
      <c r="J68" s="127">
        <f>SUM(I61:I63)</f>
        <v>5.8363992000000007</v>
      </c>
    </row>
    <row r="69" spans="1:16" x14ac:dyDescent="0.25">
      <c r="N69" s="167"/>
      <c r="O69" s="168" t="s">
        <v>813</v>
      </c>
      <c r="P69" s="169" t="s">
        <v>812</v>
      </c>
    </row>
    <row r="70" spans="1:16" x14ac:dyDescent="0.25">
      <c r="H70" s="187">
        <f>('En.Bal-Primary-Transf.'!BX48+'En.Bal-Primary-Transf.'!BX49+'En.Bal-Primary-Transf.'!BX52)/1000*41.868</f>
        <v>87.545988000000008</v>
      </c>
      <c r="I70" s="188">
        <f>('En.Bal-Primary-Transf.'!BW46+'En.Bal-Primary-Transf.'!BW61)/1000*41.868</f>
        <v>0.58615200000000001</v>
      </c>
      <c r="J70" s="189">
        <f>'En.Bal-Primary-Transf.'!BW93/1000*41.868</f>
        <v>5.9871239999999997</v>
      </c>
      <c r="N70" s="184" t="s">
        <v>127</v>
      </c>
      <c r="O70" s="157">
        <f>G42+G46+G53+G51</f>
        <v>192.36960000000002</v>
      </c>
      <c r="P70" s="173">
        <f>('En.Bal-Primary-Transf.'!AT21+'En.Bal-Primary-Transf.'!AT22+'En.Bal-Primary-Transf.'!AT24+'En.Bal-Primary-Transf.'!AT25)/1000*41.868</f>
        <v>192.00664800000001</v>
      </c>
    </row>
    <row r="71" spans="1:16" x14ac:dyDescent="0.25">
      <c r="G71" s="105"/>
      <c r="H71" s="145"/>
      <c r="I71" s="86" t="s">
        <v>785</v>
      </c>
      <c r="J71" s="185" t="s">
        <v>785</v>
      </c>
      <c r="N71" s="145" t="s">
        <v>122</v>
      </c>
      <c r="O71" s="190">
        <f>G43+G52</f>
        <v>12.461806451612903</v>
      </c>
      <c r="P71" s="191">
        <f>'En.Bal-Primary-Transf.'!AM22/1000*41.868</f>
        <v>12.225455999999999</v>
      </c>
    </row>
    <row r="72" spans="1:16" x14ac:dyDescent="0.25">
      <c r="H72" s="127"/>
      <c r="J72" s="77" t="s">
        <v>784</v>
      </c>
    </row>
    <row r="74" spans="1:16" x14ac:dyDescent="0.25">
      <c r="H74" s="127">
        <f>H70/41.868*1000</f>
        <v>2091</v>
      </c>
      <c r="J74" s="77">
        <f>SUM(I70:J70)/41.868*1000</f>
        <v>157</v>
      </c>
    </row>
    <row r="77" spans="1:16" x14ac:dyDescent="0.25">
      <c r="I77" s="77" t="s">
        <v>809</v>
      </c>
      <c r="J77" s="127">
        <f>I42+I43+I44+I61+I62+I63</f>
        <v>7.5740971591836743</v>
      </c>
    </row>
    <row r="78" spans="1:16" x14ac:dyDescent="0.25">
      <c r="I78" s="77" t="s">
        <v>810</v>
      </c>
      <c r="J78" s="127">
        <f>SUM(H42:H45)+SUM(H51,H52,H57)</f>
        <v>90.394113306122449</v>
      </c>
    </row>
    <row r="80" spans="1:16" x14ac:dyDescent="0.25">
      <c r="I80" s="77" t="s">
        <v>811</v>
      </c>
      <c r="J80" s="127">
        <f>H53+H47+H46</f>
        <v>0</v>
      </c>
    </row>
    <row r="81" spans="9:10" x14ac:dyDescent="0.25">
      <c r="I81" s="77" t="s">
        <v>811</v>
      </c>
      <c r="J81" s="127">
        <f>I46+I47</f>
        <v>0</v>
      </c>
    </row>
  </sheetData>
  <mergeCells count="1">
    <mergeCell ref="G39:K39"/>
  </mergeCells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BX233"/>
  <sheetViews>
    <sheetView zoomScale="85" zoomScaleNormal="85" workbookViewId="0">
      <pane xSplit="7" ySplit="3" topLeftCell="AF4" activePane="bottomRight" state="frozen"/>
      <selection pane="topRight"/>
      <selection pane="bottomLeft"/>
      <selection pane="bottomRight" sqref="A1:XFD1048576"/>
    </sheetView>
  </sheetViews>
  <sheetFormatPr defaultRowHeight="13.2" x14ac:dyDescent="0.25"/>
  <cols>
    <col min="1" max="3" width="2" style="283" customWidth="1"/>
    <col min="4" max="4" width="2.44140625" style="283" customWidth="1"/>
    <col min="5" max="5" width="45.5546875" style="283" customWidth="1"/>
    <col min="6" max="6" width="7.109375" style="284" customWidth="1"/>
    <col min="7" max="7" width="0.5546875" style="284" customWidth="1"/>
    <col min="8" max="8" width="16.6640625" style="284" bestFit="1" customWidth="1"/>
    <col min="9" max="15" width="10.6640625" style="284" customWidth="1"/>
    <col min="16" max="37" width="10.6640625" style="283" customWidth="1"/>
    <col min="38" max="41" width="9.6640625" style="283" customWidth="1"/>
    <col min="42" max="42" width="10.6640625" style="284" customWidth="1"/>
    <col min="43" max="46" width="9.6640625" style="283" customWidth="1"/>
    <col min="47" max="76" width="9.109375" style="283"/>
    <col min="77" max="16384" width="8.88671875" style="77"/>
  </cols>
  <sheetData>
    <row r="1" spans="1:76" ht="16.5" customHeight="1" x14ac:dyDescent="0.25">
      <c r="A1" s="192"/>
      <c r="B1" s="192"/>
      <c r="C1" s="192"/>
      <c r="D1" s="192"/>
      <c r="E1" s="192" t="s">
        <v>752</v>
      </c>
      <c r="F1" s="193"/>
      <c r="G1" s="193"/>
      <c r="H1" s="194" t="s">
        <v>569</v>
      </c>
      <c r="I1" s="194">
        <v>2000</v>
      </c>
      <c r="J1" s="194">
        <v>2115</v>
      </c>
      <c r="K1" s="194">
        <v>2116</v>
      </c>
      <c r="L1" s="194">
        <v>2117</v>
      </c>
      <c r="M1" s="194">
        <v>2118</v>
      </c>
      <c r="N1" s="194">
        <v>2210</v>
      </c>
      <c r="O1" s="194">
        <v>2112</v>
      </c>
      <c r="P1" s="194">
        <v>2121</v>
      </c>
      <c r="Q1" s="194">
        <v>2122</v>
      </c>
      <c r="R1" s="194">
        <v>2130</v>
      </c>
      <c r="S1" s="194">
        <v>2230</v>
      </c>
      <c r="T1" s="194">
        <v>2310</v>
      </c>
      <c r="U1" s="194">
        <v>2330</v>
      </c>
      <c r="V1" s="194">
        <v>2410</v>
      </c>
      <c r="W1" s="194">
        <v>3000</v>
      </c>
      <c r="X1" s="194">
        <v>3105</v>
      </c>
      <c r="Y1" s="194">
        <v>3106</v>
      </c>
      <c r="Z1" s="194">
        <v>3191</v>
      </c>
      <c r="AA1" s="194">
        <v>3192</v>
      </c>
      <c r="AB1" s="194">
        <v>3193</v>
      </c>
      <c r="AC1" s="194">
        <v>3214</v>
      </c>
      <c r="AD1" s="194">
        <v>3215</v>
      </c>
      <c r="AE1" s="194">
        <v>3220</v>
      </c>
      <c r="AF1" s="194">
        <v>3234</v>
      </c>
      <c r="AG1" s="194">
        <v>3235</v>
      </c>
      <c r="AH1" s="194">
        <v>3246</v>
      </c>
      <c r="AI1" s="194">
        <v>3247</v>
      </c>
      <c r="AJ1" s="194">
        <v>3244</v>
      </c>
      <c r="AK1" s="194">
        <v>3250</v>
      </c>
      <c r="AL1" s="194">
        <v>3260</v>
      </c>
      <c r="AM1" s="194" t="s">
        <v>570</v>
      </c>
      <c r="AN1" s="194">
        <v>3281</v>
      </c>
      <c r="AO1" s="194">
        <v>3282</v>
      </c>
      <c r="AP1" s="194">
        <v>3283</v>
      </c>
      <c r="AQ1" s="194">
        <v>3285</v>
      </c>
      <c r="AR1" s="194">
        <v>3286</v>
      </c>
      <c r="AS1" s="194">
        <v>3295</v>
      </c>
      <c r="AT1" s="194">
        <v>4000</v>
      </c>
      <c r="AU1" s="194">
        <v>4100</v>
      </c>
      <c r="AV1" s="194">
        <v>4210</v>
      </c>
      <c r="AW1" s="194">
        <v>4220</v>
      </c>
      <c r="AX1" s="194">
        <v>4230</v>
      </c>
      <c r="AY1" s="194">
        <v>4240</v>
      </c>
      <c r="AZ1" s="194">
        <v>5500</v>
      </c>
      <c r="BA1" s="194">
        <v>5510</v>
      </c>
      <c r="BB1" s="194">
        <v>5520</v>
      </c>
      <c r="BC1" s="194">
        <v>5535</v>
      </c>
      <c r="BD1" s="194">
        <v>5532</v>
      </c>
      <c r="BE1" s="194">
        <v>5534</v>
      </c>
      <c r="BF1" s="194">
        <v>5541</v>
      </c>
      <c r="BG1" s="195" t="s">
        <v>627</v>
      </c>
      <c r="BH1" s="196"/>
      <c r="BI1" s="196"/>
      <c r="BJ1" s="197"/>
      <c r="BK1" s="194">
        <v>5544</v>
      </c>
      <c r="BL1" s="194">
        <v>5542</v>
      </c>
      <c r="BM1" s="194">
        <v>55431</v>
      </c>
      <c r="BN1" s="194">
        <v>5546</v>
      </c>
      <c r="BO1" s="194">
        <v>5547</v>
      </c>
      <c r="BP1" s="194">
        <v>5549</v>
      </c>
      <c r="BQ1" s="194">
        <v>5548</v>
      </c>
      <c r="BR1" s="194">
        <v>5550</v>
      </c>
      <c r="BS1" s="194">
        <v>7200</v>
      </c>
      <c r="BT1" s="194">
        <v>7100</v>
      </c>
      <c r="BU1" s="194">
        <v>55432</v>
      </c>
      <c r="BV1" s="194">
        <v>5100</v>
      </c>
      <c r="BW1" s="194">
        <v>5200</v>
      </c>
      <c r="BX1" s="194">
        <v>6000</v>
      </c>
    </row>
    <row r="2" spans="1:76" ht="16.5" customHeight="1" x14ac:dyDescent="0.25">
      <c r="A2" s="198"/>
      <c r="B2" s="198"/>
      <c r="C2" s="198"/>
      <c r="D2" s="198"/>
      <c r="E2" s="199" t="s">
        <v>818</v>
      </c>
      <c r="F2" s="200" t="s">
        <v>751</v>
      </c>
      <c r="G2" s="201"/>
      <c r="H2" s="202" t="s">
        <v>109</v>
      </c>
      <c r="I2" s="203" t="s">
        <v>110</v>
      </c>
      <c r="J2" s="201" t="s">
        <v>53</v>
      </c>
      <c r="K2" s="201" t="s">
        <v>571</v>
      </c>
      <c r="L2" s="202" t="s">
        <v>72</v>
      </c>
      <c r="M2" s="202" t="s">
        <v>572</v>
      </c>
      <c r="N2" s="202" t="s">
        <v>97</v>
      </c>
      <c r="O2" s="202" t="s">
        <v>573</v>
      </c>
      <c r="P2" s="202" t="s">
        <v>73</v>
      </c>
      <c r="Q2" s="201" t="s">
        <v>574</v>
      </c>
      <c r="R2" s="201" t="s">
        <v>74</v>
      </c>
      <c r="S2" s="201" t="s">
        <v>75</v>
      </c>
      <c r="T2" s="201" t="s">
        <v>575</v>
      </c>
      <c r="U2" s="202" t="s">
        <v>576</v>
      </c>
      <c r="V2" s="202" t="s">
        <v>577</v>
      </c>
      <c r="W2" s="203" t="s">
        <v>111</v>
      </c>
      <c r="X2" s="202" t="s">
        <v>112</v>
      </c>
      <c r="Y2" s="202" t="s">
        <v>113</v>
      </c>
      <c r="Z2" s="202" t="s">
        <v>114</v>
      </c>
      <c r="AA2" s="202" t="s">
        <v>115</v>
      </c>
      <c r="AB2" s="202" t="s">
        <v>116</v>
      </c>
      <c r="AC2" s="202" t="s">
        <v>76</v>
      </c>
      <c r="AD2" s="202" t="s">
        <v>578</v>
      </c>
      <c r="AE2" s="202" t="s">
        <v>57</v>
      </c>
      <c r="AF2" s="202" t="s">
        <v>117</v>
      </c>
      <c r="AG2" s="202" t="s">
        <v>77</v>
      </c>
      <c r="AH2" s="202" t="s">
        <v>118</v>
      </c>
      <c r="AI2" s="202" t="s">
        <v>119</v>
      </c>
      <c r="AJ2" s="202" t="s">
        <v>120</v>
      </c>
      <c r="AK2" s="202" t="s">
        <v>58</v>
      </c>
      <c r="AL2" s="202" t="s">
        <v>121</v>
      </c>
      <c r="AM2" s="202" t="s">
        <v>122</v>
      </c>
      <c r="AN2" s="202" t="s">
        <v>123</v>
      </c>
      <c r="AO2" s="202" t="s">
        <v>81</v>
      </c>
      <c r="AP2" s="202" t="s">
        <v>80</v>
      </c>
      <c r="AQ2" s="202" t="s">
        <v>79</v>
      </c>
      <c r="AR2" s="202" t="s">
        <v>124</v>
      </c>
      <c r="AS2" s="202" t="s">
        <v>125</v>
      </c>
      <c r="AT2" s="203" t="s">
        <v>126</v>
      </c>
      <c r="AU2" s="202" t="s">
        <v>127</v>
      </c>
      <c r="AV2" s="202" t="s">
        <v>128</v>
      </c>
      <c r="AW2" s="202" t="s">
        <v>107</v>
      </c>
      <c r="AX2" s="202" t="s">
        <v>579</v>
      </c>
      <c r="AY2" s="202" t="s">
        <v>580</v>
      </c>
      <c r="AZ2" s="204" t="s">
        <v>129</v>
      </c>
      <c r="BA2" s="202" t="s">
        <v>130</v>
      </c>
      <c r="BB2" s="202" t="s">
        <v>131</v>
      </c>
      <c r="BC2" s="202" t="s">
        <v>581</v>
      </c>
      <c r="BD2" s="202" t="s">
        <v>132</v>
      </c>
      <c r="BE2" s="202" t="s">
        <v>133</v>
      </c>
      <c r="BF2" s="202" t="s">
        <v>134</v>
      </c>
      <c r="BG2" s="204" t="s">
        <v>628</v>
      </c>
      <c r="BH2" s="202" t="s">
        <v>629</v>
      </c>
      <c r="BI2" s="202" t="s">
        <v>630</v>
      </c>
      <c r="BJ2" s="205" t="s">
        <v>631</v>
      </c>
      <c r="BK2" s="202" t="s">
        <v>67</v>
      </c>
      <c r="BL2" s="202" t="s">
        <v>135</v>
      </c>
      <c r="BM2" s="202" t="s">
        <v>136</v>
      </c>
      <c r="BN2" s="202" t="s">
        <v>582</v>
      </c>
      <c r="BO2" s="202" t="s">
        <v>63</v>
      </c>
      <c r="BP2" s="202" t="s">
        <v>583</v>
      </c>
      <c r="BQ2" s="202" t="s">
        <v>584</v>
      </c>
      <c r="BR2" s="202" t="s">
        <v>137</v>
      </c>
      <c r="BS2" s="204" t="s">
        <v>138</v>
      </c>
      <c r="BT2" s="202" t="s">
        <v>139</v>
      </c>
      <c r="BU2" s="202" t="s">
        <v>140</v>
      </c>
      <c r="BV2" s="204" t="s">
        <v>585</v>
      </c>
      <c r="BW2" s="204" t="s">
        <v>141</v>
      </c>
      <c r="BX2" s="204" t="s">
        <v>86</v>
      </c>
    </row>
    <row r="3" spans="1:76" ht="11.25" customHeight="1" x14ac:dyDescent="0.25">
      <c r="A3" s="206"/>
      <c r="B3" s="206"/>
      <c r="C3" s="206"/>
      <c r="D3" s="206"/>
      <c r="E3" s="206"/>
      <c r="F3" s="207"/>
      <c r="G3" s="207"/>
      <c r="H3" s="208"/>
      <c r="I3" s="209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9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09"/>
      <c r="AU3" s="208"/>
      <c r="AV3" s="208"/>
      <c r="AW3" s="208"/>
      <c r="AX3" s="208"/>
      <c r="AY3" s="208"/>
      <c r="AZ3" s="209"/>
      <c r="BA3" s="208"/>
      <c r="BB3" s="208"/>
      <c r="BC3" s="208"/>
      <c r="BD3" s="208"/>
      <c r="BE3" s="208"/>
      <c r="BF3" s="208"/>
      <c r="BG3" s="209"/>
      <c r="BH3" s="208"/>
      <c r="BI3" s="208"/>
      <c r="BJ3" s="211"/>
      <c r="BK3" s="208"/>
      <c r="BL3" s="208"/>
      <c r="BM3" s="208"/>
      <c r="BN3" s="208"/>
      <c r="BO3" s="208"/>
      <c r="BP3" s="208"/>
      <c r="BQ3" s="208"/>
      <c r="BR3" s="208"/>
      <c r="BS3" s="209"/>
      <c r="BT3" s="208"/>
      <c r="BU3" s="208"/>
      <c r="BV3" s="209"/>
      <c r="BW3" s="209"/>
      <c r="BX3" s="209"/>
    </row>
    <row r="4" spans="1:76" ht="11.25" customHeight="1" x14ac:dyDescent="0.25">
      <c r="A4" s="212" t="s">
        <v>142</v>
      </c>
      <c r="B4" s="213" t="s">
        <v>143</v>
      </c>
      <c r="C4" s="213"/>
      <c r="D4" s="213"/>
      <c r="E4" s="213"/>
      <c r="F4" s="214" t="s">
        <v>144</v>
      </c>
      <c r="G4" s="214"/>
      <c r="H4" s="215"/>
      <c r="I4" s="216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6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6"/>
      <c r="AU4" s="215"/>
      <c r="AV4" s="215"/>
      <c r="AW4" s="215"/>
      <c r="AX4" s="215"/>
      <c r="AY4" s="215"/>
      <c r="AZ4" s="216"/>
      <c r="BA4" s="215"/>
      <c r="BB4" s="217"/>
      <c r="BC4" s="215"/>
      <c r="BD4" s="215"/>
      <c r="BE4" s="217"/>
      <c r="BF4" s="215"/>
      <c r="BG4" s="216"/>
      <c r="BH4" s="215"/>
      <c r="BI4" s="215"/>
      <c r="BJ4" s="218"/>
      <c r="BK4" s="215"/>
      <c r="BL4" s="215"/>
      <c r="BM4" s="215"/>
      <c r="BN4" s="215"/>
      <c r="BO4" s="215"/>
      <c r="BP4" s="215"/>
      <c r="BQ4" s="215"/>
      <c r="BR4" s="215"/>
      <c r="BS4" s="216"/>
      <c r="BT4" s="215"/>
      <c r="BU4" s="215"/>
      <c r="BV4" s="216"/>
      <c r="BW4" s="216"/>
      <c r="BX4" s="216"/>
    </row>
    <row r="5" spans="1:76" ht="11.25" customHeight="1" x14ac:dyDescent="0.25">
      <c r="A5" s="219" t="s">
        <v>142</v>
      </c>
      <c r="B5" s="220" t="s">
        <v>145</v>
      </c>
      <c r="C5" s="220"/>
      <c r="D5" s="220"/>
      <c r="E5" s="220"/>
      <c r="F5" s="221" t="s">
        <v>146</v>
      </c>
      <c r="G5" s="221"/>
      <c r="H5" s="222"/>
      <c r="I5" s="223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3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3"/>
      <c r="AU5" s="222"/>
      <c r="AV5" s="222"/>
      <c r="AW5" s="222"/>
      <c r="AX5" s="222"/>
      <c r="AY5" s="222"/>
      <c r="AZ5" s="223"/>
      <c r="BA5" s="222"/>
      <c r="BB5" s="222"/>
      <c r="BC5" s="222"/>
      <c r="BD5" s="222"/>
      <c r="BE5" s="222"/>
      <c r="BF5" s="222"/>
      <c r="BG5" s="223"/>
      <c r="BH5" s="222"/>
      <c r="BI5" s="222"/>
      <c r="BJ5" s="224"/>
      <c r="BK5" s="222"/>
      <c r="BL5" s="222"/>
      <c r="BM5" s="222"/>
      <c r="BN5" s="222"/>
      <c r="BO5" s="222"/>
      <c r="BP5" s="222"/>
      <c r="BQ5" s="222"/>
      <c r="BR5" s="222"/>
      <c r="BS5" s="223"/>
      <c r="BT5" s="222"/>
      <c r="BU5" s="222"/>
      <c r="BV5" s="223"/>
      <c r="BW5" s="223"/>
      <c r="BX5" s="223"/>
    </row>
    <row r="6" spans="1:76" ht="11.25" customHeight="1" x14ac:dyDescent="0.25">
      <c r="A6" s="219" t="s">
        <v>142</v>
      </c>
      <c r="B6" s="220" t="s">
        <v>147</v>
      </c>
      <c r="C6" s="220"/>
      <c r="D6" s="220"/>
      <c r="E6" s="220"/>
      <c r="F6" s="221" t="s">
        <v>148</v>
      </c>
      <c r="G6" s="221"/>
      <c r="H6" s="222"/>
      <c r="I6" s="223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3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3"/>
      <c r="AU6" s="222"/>
      <c r="AV6" s="222"/>
      <c r="AW6" s="222"/>
      <c r="AX6" s="222"/>
      <c r="AY6" s="222"/>
      <c r="AZ6" s="223"/>
      <c r="BA6" s="222"/>
      <c r="BB6" s="222"/>
      <c r="BC6" s="222"/>
      <c r="BD6" s="222"/>
      <c r="BE6" s="222"/>
      <c r="BF6" s="222"/>
      <c r="BG6" s="223"/>
      <c r="BH6" s="222"/>
      <c r="BI6" s="222"/>
      <c r="BJ6" s="224"/>
      <c r="BK6" s="222"/>
      <c r="BL6" s="222"/>
      <c r="BM6" s="222"/>
      <c r="BN6" s="222"/>
      <c r="BO6" s="222"/>
      <c r="BP6" s="222"/>
      <c r="BQ6" s="222"/>
      <c r="BR6" s="222"/>
      <c r="BS6" s="223"/>
      <c r="BT6" s="222"/>
      <c r="BU6" s="222"/>
      <c r="BV6" s="223"/>
      <c r="BW6" s="223"/>
      <c r="BX6" s="223"/>
    </row>
    <row r="7" spans="1:76" ht="11.25" customHeight="1" x14ac:dyDescent="0.25">
      <c r="A7" s="225"/>
      <c r="B7" s="219" t="s">
        <v>142</v>
      </c>
      <c r="C7" s="220" t="s">
        <v>149</v>
      </c>
      <c r="D7" s="220"/>
      <c r="E7" s="220"/>
      <c r="F7" s="221" t="s">
        <v>150</v>
      </c>
      <c r="G7" s="221"/>
      <c r="H7" s="222"/>
      <c r="I7" s="223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3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3"/>
      <c r="AU7" s="222"/>
      <c r="AV7" s="222"/>
      <c r="AW7" s="222"/>
      <c r="AX7" s="222"/>
      <c r="AY7" s="222"/>
      <c r="AZ7" s="223"/>
      <c r="BA7" s="222"/>
      <c r="BB7" s="222"/>
      <c r="BC7" s="222"/>
      <c r="BD7" s="222"/>
      <c r="BE7" s="222"/>
      <c r="BF7" s="222"/>
      <c r="BG7" s="223"/>
      <c r="BH7" s="222"/>
      <c r="BI7" s="222"/>
      <c r="BJ7" s="224"/>
      <c r="BK7" s="222"/>
      <c r="BL7" s="222"/>
      <c r="BM7" s="222"/>
      <c r="BN7" s="222"/>
      <c r="BO7" s="222"/>
      <c r="BP7" s="222"/>
      <c r="BQ7" s="222"/>
      <c r="BR7" s="222"/>
      <c r="BS7" s="223"/>
      <c r="BT7" s="222"/>
      <c r="BU7" s="222"/>
      <c r="BV7" s="223"/>
      <c r="BW7" s="223"/>
      <c r="BX7" s="223"/>
    </row>
    <row r="8" spans="1:76" ht="11.25" customHeight="1" x14ac:dyDescent="0.25">
      <c r="A8" s="225"/>
      <c r="B8" s="219" t="s">
        <v>142</v>
      </c>
      <c r="C8" s="220" t="s">
        <v>151</v>
      </c>
      <c r="D8" s="220"/>
      <c r="E8" s="220"/>
      <c r="F8" s="221" t="s">
        <v>152</v>
      </c>
      <c r="G8" s="221"/>
      <c r="H8" s="222"/>
      <c r="I8" s="223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3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3"/>
      <c r="AU8" s="222"/>
      <c r="AV8" s="222"/>
      <c r="AW8" s="222"/>
      <c r="AX8" s="222"/>
      <c r="AY8" s="222"/>
      <c r="AZ8" s="223"/>
      <c r="BA8" s="222"/>
      <c r="BB8" s="222"/>
      <c r="BC8" s="222"/>
      <c r="BD8" s="222"/>
      <c r="BE8" s="222"/>
      <c r="BF8" s="222"/>
      <c r="BG8" s="223"/>
      <c r="BH8" s="222"/>
      <c r="BI8" s="222"/>
      <c r="BJ8" s="224"/>
      <c r="BK8" s="222"/>
      <c r="BL8" s="222"/>
      <c r="BM8" s="222"/>
      <c r="BN8" s="222"/>
      <c r="BO8" s="222"/>
      <c r="BP8" s="222"/>
      <c r="BQ8" s="222"/>
      <c r="BR8" s="222"/>
      <c r="BS8" s="223"/>
      <c r="BT8" s="222"/>
      <c r="BU8" s="222"/>
      <c r="BV8" s="223"/>
      <c r="BW8" s="223"/>
      <c r="BX8" s="223"/>
    </row>
    <row r="9" spans="1:76" ht="11.25" customHeight="1" x14ac:dyDescent="0.25">
      <c r="A9" s="225"/>
      <c r="B9" s="219" t="s">
        <v>142</v>
      </c>
      <c r="C9" s="220" t="s">
        <v>153</v>
      </c>
      <c r="D9" s="220"/>
      <c r="E9" s="220"/>
      <c r="F9" s="221" t="s">
        <v>154</v>
      </c>
      <c r="G9" s="221"/>
      <c r="H9" s="222"/>
      <c r="I9" s="223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3"/>
      <c r="AU9" s="222"/>
      <c r="AV9" s="222"/>
      <c r="AW9" s="222"/>
      <c r="AX9" s="222"/>
      <c r="AY9" s="222"/>
      <c r="AZ9" s="223"/>
      <c r="BA9" s="222"/>
      <c r="BB9" s="222"/>
      <c r="BC9" s="222"/>
      <c r="BD9" s="222"/>
      <c r="BE9" s="222"/>
      <c r="BF9" s="222"/>
      <c r="BG9" s="223"/>
      <c r="BH9" s="222"/>
      <c r="BI9" s="222"/>
      <c r="BJ9" s="224"/>
      <c r="BK9" s="222"/>
      <c r="BL9" s="222"/>
      <c r="BM9" s="222"/>
      <c r="BN9" s="222"/>
      <c r="BO9" s="222"/>
      <c r="BP9" s="222"/>
      <c r="BQ9" s="222"/>
      <c r="BR9" s="222"/>
      <c r="BS9" s="223"/>
      <c r="BT9" s="222"/>
      <c r="BU9" s="222"/>
      <c r="BV9" s="223"/>
      <c r="BW9" s="223"/>
      <c r="BX9" s="223"/>
    </row>
    <row r="10" spans="1:76" ht="11.25" customHeight="1" x14ac:dyDescent="0.25">
      <c r="A10" s="225"/>
      <c r="B10" s="219" t="s">
        <v>142</v>
      </c>
      <c r="C10" s="220" t="s">
        <v>155</v>
      </c>
      <c r="D10" s="220"/>
      <c r="E10" s="220"/>
      <c r="F10" s="221" t="s">
        <v>156</v>
      </c>
      <c r="G10" s="221"/>
      <c r="H10" s="222"/>
      <c r="I10" s="223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3"/>
      <c r="AU10" s="222"/>
      <c r="AV10" s="222"/>
      <c r="AW10" s="222"/>
      <c r="AX10" s="222"/>
      <c r="AY10" s="222"/>
      <c r="AZ10" s="223"/>
      <c r="BA10" s="222"/>
      <c r="BB10" s="222"/>
      <c r="BC10" s="222"/>
      <c r="BD10" s="222"/>
      <c r="BE10" s="222"/>
      <c r="BF10" s="222"/>
      <c r="BG10" s="223"/>
      <c r="BH10" s="222"/>
      <c r="BI10" s="222"/>
      <c r="BJ10" s="224"/>
      <c r="BK10" s="222"/>
      <c r="BL10" s="222"/>
      <c r="BM10" s="222"/>
      <c r="BN10" s="222"/>
      <c r="BO10" s="222"/>
      <c r="BP10" s="222"/>
      <c r="BQ10" s="222"/>
      <c r="BR10" s="222"/>
      <c r="BS10" s="223"/>
      <c r="BT10" s="222"/>
      <c r="BU10" s="222"/>
      <c r="BV10" s="223"/>
      <c r="BW10" s="223"/>
      <c r="BX10" s="223"/>
    </row>
    <row r="11" spans="1:76" ht="11.25" customHeight="1" x14ac:dyDescent="0.25">
      <c r="A11" s="219" t="s">
        <v>142</v>
      </c>
      <c r="B11" s="220" t="s">
        <v>157</v>
      </c>
      <c r="C11" s="220"/>
      <c r="D11" s="220"/>
      <c r="E11" s="220"/>
      <c r="F11" s="221" t="s">
        <v>158</v>
      </c>
      <c r="G11" s="221"/>
      <c r="H11" s="222"/>
      <c r="I11" s="223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3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3"/>
      <c r="AU11" s="222"/>
      <c r="AV11" s="222"/>
      <c r="AW11" s="222"/>
      <c r="AX11" s="222"/>
      <c r="AY11" s="222"/>
      <c r="AZ11" s="223"/>
      <c r="BA11" s="222"/>
      <c r="BB11" s="222"/>
      <c r="BC11" s="222"/>
      <c r="BD11" s="222"/>
      <c r="BE11" s="222"/>
      <c r="BF11" s="222"/>
      <c r="BG11" s="223"/>
      <c r="BH11" s="222"/>
      <c r="BI11" s="222"/>
      <c r="BJ11" s="224"/>
      <c r="BK11" s="222"/>
      <c r="BL11" s="222"/>
      <c r="BM11" s="222"/>
      <c r="BN11" s="222"/>
      <c r="BO11" s="222"/>
      <c r="BP11" s="222"/>
      <c r="BQ11" s="222"/>
      <c r="BR11" s="222"/>
      <c r="BS11" s="223"/>
      <c r="BT11" s="222"/>
      <c r="BU11" s="222"/>
      <c r="BV11" s="223"/>
      <c r="BW11" s="223"/>
      <c r="BX11" s="223"/>
    </row>
    <row r="12" spans="1:76" ht="11.25" customHeight="1" x14ac:dyDescent="0.25">
      <c r="A12" s="219" t="s">
        <v>142</v>
      </c>
      <c r="B12" s="220" t="s">
        <v>159</v>
      </c>
      <c r="C12" s="220"/>
      <c r="D12" s="220"/>
      <c r="E12" s="220"/>
      <c r="F12" s="221" t="s">
        <v>160</v>
      </c>
      <c r="G12" s="221"/>
      <c r="H12" s="222"/>
      <c r="I12" s="223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3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3"/>
      <c r="AU12" s="222"/>
      <c r="AV12" s="222"/>
      <c r="AW12" s="222"/>
      <c r="AX12" s="222"/>
      <c r="AY12" s="222"/>
      <c r="AZ12" s="223"/>
      <c r="BA12" s="222"/>
      <c r="BB12" s="222"/>
      <c r="BC12" s="222"/>
      <c r="BD12" s="222"/>
      <c r="BE12" s="222"/>
      <c r="BF12" s="222"/>
      <c r="BG12" s="223"/>
      <c r="BH12" s="222"/>
      <c r="BI12" s="222"/>
      <c r="BJ12" s="224"/>
      <c r="BK12" s="222"/>
      <c r="BL12" s="222"/>
      <c r="BM12" s="222"/>
      <c r="BN12" s="222"/>
      <c r="BO12" s="222"/>
      <c r="BP12" s="222"/>
      <c r="BQ12" s="222"/>
      <c r="BR12" s="222"/>
      <c r="BS12" s="223"/>
      <c r="BT12" s="222"/>
      <c r="BU12" s="222"/>
      <c r="BV12" s="223"/>
      <c r="BW12" s="223"/>
      <c r="BX12" s="223">
        <v>9</v>
      </c>
    </row>
    <row r="13" spans="1:76" ht="11.25" customHeight="1" x14ac:dyDescent="0.25">
      <c r="A13" s="219" t="s">
        <v>142</v>
      </c>
      <c r="B13" s="220" t="s">
        <v>161</v>
      </c>
      <c r="C13" s="220"/>
      <c r="D13" s="220"/>
      <c r="E13" s="220"/>
      <c r="F13" s="221" t="s">
        <v>162</v>
      </c>
      <c r="G13" s="221"/>
      <c r="H13" s="222"/>
      <c r="I13" s="223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3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3"/>
      <c r="AU13" s="222"/>
      <c r="AV13" s="222"/>
      <c r="AW13" s="222"/>
      <c r="AX13" s="222"/>
      <c r="AY13" s="222"/>
      <c r="AZ13" s="223"/>
      <c r="BA13" s="222"/>
      <c r="BB13" s="222"/>
      <c r="BC13" s="222"/>
      <c r="BD13" s="222"/>
      <c r="BE13" s="222"/>
      <c r="BF13" s="222"/>
      <c r="BG13" s="223"/>
      <c r="BH13" s="222"/>
      <c r="BI13" s="222"/>
      <c r="BJ13" s="224"/>
      <c r="BK13" s="222"/>
      <c r="BL13" s="222"/>
      <c r="BM13" s="222"/>
      <c r="BN13" s="222"/>
      <c r="BO13" s="222"/>
      <c r="BP13" s="222"/>
      <c r="BQ13" s="222"/>
      <c r="BR13" s="222"/>
      <c r="BS13" s="223"/>
      <c r="BT13" s="222"/>
      <c r="BU13" s="222"/>
      <c r="BV13" s="223"/>
      <c r="BW13" s="223"/>
      <c r="BX13" s="223"/>
    </row>
    <row r="14" spans="1:76" ht="11.25" customHeight="1" x14ac:dyDescent="0.25">
      <c r="A14" s="219" t="s">
        <v>163</v>
      </c>
      <c r="B14" s="220" t="s">
        <v>98</v>
      </c>
      <c r="C14" s="220"/>
      <c r="D14" s="220"/>
      <c r="E14" s="220"/>
      <c r="F14" s="221" t="s">
        <v>164</v>
      </c>
      <c r="G14" s="221"/>
      <c r="H14" s="222"/>
      <c r="I14" s="223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3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3"/>
      <c r="AU14" s="222"/>
      <c r="AV14" s="222"/>
      <c r="AW14" s="222"/>
      <c r="AX14" s="222"/>
      <c r="AY14" s="222"/>
      <c r="AZ14" s="223"/>
      <c r="BA14" s="222"/>
      <c r="BB14" s="222"/>
      <c r="BC14" s="222"/>
      <c r="BD14" s="222"/>
      <c r="BE14" s="222"/>
      <c r="BF14" s="222"/>
      <c r="BG14" s="223"/>
      <c r="BH14" s="222"/>
      <c r="BI14" s="222"/>
      <c r="BJ14" s="224"/>
      <c r="BK14" s="222"/>
      <c r="BL14" s="222"/>
      <c r="BM14" s="222"/>
      <c r="BN14" s="222"/>
      <c r="BO14" s="222"/>
      <c r="BP14" s="222"/>
      <c r="BQ14" s="222"/>
      <c r="BR14" s="222"/>
      <c r="BS14" s="223"/>
      <c r="BT14" s="222"/>
      <c r="BU14" s="222"/>
      <c r="BV14" s="223"/>
      <c r="BW14" s="223"/>
      <c r="BX14" s="223">
        <v>110</v>
      </c>
    </row>
    <row r="15" spans="1:76" ht="11.25" customHeight="1" x14ac:dyDescent="0.25">
      <c r="A15" s="219" t="s">
        <v>163</v>
      </c>
      <c r="B15" s="220" t="s">
        <v>165</v>
      </c>
      <c r="C15" s="220"/>
      <c r="D15" s="220"/>
      <c r="E15" s="220"/>
      <c r="F15" s="221" t="s">
        <v>166</v>
      </c>
      <c r="G15" s="221"/>
      <c r="H15" s="222"/>
      <c r="I15" s="223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3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3"/>
      <c r="AU15" s="222"/>
      <c r="AV15" s="222"/>
      <c r="AW15" s="222"/>
      <c r="AX15" s="222"/>
      <c r="AY15" s="222"/>
      <c r="AZ15" s="223"/>
      <c r="BA15" s="222"/>
      <c r="BB15" s="222"/>
      <c r="BC15" s="222"/>
      <c r="BD15" s="222"/>
      <c r="BE15" s="222"/>
      <c r="BF15" s="222"/>
      <c r="BG15" s="223"/>
      <c r="BH15" s="222"/>
      <c r="BI15" s="222"/>
      <c r="BJ15" s="224"/>
      <c r="BK15" s="222"/>
      <c r="BL15" s="222"/>
      <c r="BM15" s="222"/>
      <c r="BN15" s="222"/>
      <c r="BO15" s="222"/>
      <c r="BP15" s="222"/>
      <c r="BQ15" s="222"/>
      <c r="BR15" s="222"/>
      <c r="BS15" s="223"/>
      <c r="BT15" s="222"/>
      <c r="BU15" s="222"/>
      <c r="BV15" s="223"/>
      <c r="BW15" s="223"/>
      <c r="BX15" s="223"/>
    </row>
    <row r="16" spans="1:76" ht="11.25" customHeight="1" x14ac:dyDescent="0.25">
      <c r="A16" s="226" t="s">
        <v>163</v>
      </c>
      <c r="B16" s="227" t="s">
        <v>167</v>
      </c>
      <c r="C16" s="227"/>
      <c r="D16" s="227"/>
      <c r="E16" s="227"/>
      <c r="F16" s="228" t="s">
        <v>168</v>
      </c>
      <c r="G16" s="228"/>
      <c r="H16" s="229"/>
      <c r="I16" s="230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30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30"/>
      <c r="AU16" s="229"/>
      <c r="AV16" s="229"/>
      <c r="AW16" s="229"/>
      <c r="AX16" s="229"/>
      <c r="AY16" s="229"/>
      <c r="AZ16" s="230"/>
      <c r="BA16" s="229"/>
      <c r="BB16" s="229"/>
      <c r="BC16" s="229"/>
      <c r="BD16" s="229"/>
      <c r="BE16" s="229"/>
      <c r="BF16" s="229"/>
      <c r="BG16" s="230"/>
      <c r="BH16" s="229"/>
      <c r="BI16" s="229"/>
      <c r="BJ16" s="231"/>
      <c r="BK16" s="229"/>
      <c r="BL16" s="229"/>
      <c r="BM16" s="229"/>
      <c r="BN16" s="229"/>
      <c r="BO16" s="229"/>
      <c r="BP16" s="229"/>
      <c r="BQ16" s="229"/>
      <c r="BR16" s="229"/>
      <c r="BS16" s="230"/>
      <c r="BT16" s="229"/>
      <c r="BU16" s="229"/>
      <c r="BV16" s="230"/>
      <c r="BW16" s="230"/>
      <c r="BX16" s="230"/>
    </row>
    <row r="17" spans="1:76" ht="11.25" customHeight="1" x14ac:dyDescent="0.25">
      <c r="A17" s="232" t="s">
        <v>270</v>
      </c>
      <c r="B17" s="232"/>
      <c r="C17" s="232"/>
      <c r="D17" s="232"/>
      <c r="E17" s="232"/>
      <c r="F17" s="233" t="s">
        <v>271</v>
      </c>
      <c r="G17" s="233"/>
      <c r="H17" s="234"/>
      <c r="I17" s="235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5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5"/>
      <c r="AU17" s="234"/>
      <c r="AV17" s="234"/>
      <c r="AW17" s="234"/>
      <c r="AX17" s="234"/>
      <c r="AY17" s="234"/>
      <c r="AZ17" s="235"/>
      <c r="BA17" s="234"/>
      <c r="BB17" s="234"/>
      <c r="BC17" s="234"/>
      <c r="BD17" s="234"/>
      <c r="BE17" s="234"/>
      <c r="BF17" s="234"/>
      <c r="BG17" s="235"/>
      <c r="BH17" s="234"/>
      <c r="BI17" s="234"/>
      <c r="BJ17" s="236"/>
      <c r="BK17" s="234"/>
      <c r="BL17" s="237"/>
      <c r="BM17" s="234"/>
      <c r="BN17" s="234"/>
      <c r="BO17" s="234"/>
      <c r="BP17" s="234"/>
      <c r="BQ17" s="234"/>
      <c r="BR17" s="234"/>
      <c r="BS17" s="235"/>
      <c r="BT17" s="234"/>
      <c r="BU17" s="234"/>
      <c r="BV17" s="235"/>
      <c r="BW17" s="235"/>
      <c r="BX17" s="235"/>
    </row>
    <row r="18" spans="1:76" ht="11.25" customHeight="1" x14ac:dyDescent="0.25">
      <c r="A18" s="232" t="s">
        <v>272</v>
      </c>
      <c r="B18" s="232"/>
      <c r="C18" s="232"/>
      <c r="D18" s="232"/>
      <c r="E18" s="232"/>
      <c r="F18" s="233" t="s">
        <v>273</v>
      </c>
      <c r="G18" s="233"/>
      <c r="H18" s="234"/>
      <c r="I18" s="235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5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8"/>
      <c r="AU18" s="234"/>
      <c r="AV18" s="234"/>
      <c r="AW18" s="234"/>
      <c r="AX18" s="234"/>
      <c r="AY18" s="234"/>
      <c r="AZ18" s="235"/>
      <c r="BA18" s="234"/>
      <c r="BB18" s="234"/>
      <c r="BC18" s="234"/>
      <c r="BD18" s="234"/>
      <c r="BE18" s="234"/>
      <c r="BF18" s="234"/>
      <c r="BG18" s="235"/>
      <c r="BH18" s="234"/>
      <c r="BI18" s="234"/>
      <c r="BJ18" s="236"/>
      <c r="BK18" s="234"/>
      <c r="BL18" s="237"/>
      <c r="BM18" s="234"/>
      <c r="BN18" s="234"/>
      <c r="BO18" s="234"/>
      <c r="BP18" s="234"/>
      <c r="BQ18" s="234"/>
      <c r="BR18" s="234"/>
      <c r="BS18" s="235"/>
      <c r="BT18" s="234"/>
      <c r="BU18" s="234"/>
      <c r="BV18" s="235"/>
      <c r="BW18" s="235"/>
      <c r="BX18" s="235"/>
    </row>
    <row r="19" spans="1:76" ht="11.25" customHeight="1" x14ac:dyDescent="0.25">
      <c r="A19" s="239" t="s">
        <v>142</v>
      </c>
      <c r="B19" s="240" t="s">
        <v>274</v>
      </c>
      <c r="C19" s="240"/>
      <c r="D19" s="240"/>
      <c r="E19" s="240"/>
      <c r="F19" s="241" t="s">
        <v>275</v>
      </c>
      <c r="G19" s="241"/>
      <c r="H19" s="242"/>
      <c r="I19" s="243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3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5"/>
      <c r="AU19" s="244"/>
      <c r="AV19" s="244"/>
      <c r="AW19" s="244"/>
      <c r="AX19" s="244"/>
      <c r="AY19" s="244"/>
      <c r="AZ19" s="243"/>
      <c r="BA19" s="244"/>
      <c r="BB19" s="244"/>
      <c r="BC19" s="244"/>
      <c r="BD19" s="244"/>
      <c r="BE19" s="244"/>
      <c r="BF19" s="244"/>
      <c r="BG19" s="243"/>
      <c r="BH19" s="244"/>
      <c r="BI19" s="244"/>
      <c r="BJ19" s="246"/>
      <c r="BK19" s="244"/>
      <c r="BL19" s="242"/>
      <c r="BM19" s="244"/>
      <c r="BN19" s="244"/>
      <c r="BO19" s="244"/>
      <c r="BP19" s="244"/>
      <c r="BQ19" s="244"/>
      <c r="BR19" s="244"/>
      <c r="BS19" s="243"/>
      <c r="BT19" s="244"/>
      <c r="BU19" s="244"/>
      <c r="BV19" s="243"/>
      <c r="BW19" s="243"/>
      <c r="BX19" s="243"/>
    </row>
    <row r="20" spans="1:76" ht="11.25" customHeight="1" x14ac:dyDescent="0.25">
      <c r="A20" s="225"/>
      <c r="B20" s="219" t="s">
        <v>142</v>
      </c>
      <c r="C20" s="220" t="s">
        <v>276</v>
      </c>
      <c r="D20" s="220"/>
      <c r="E20" s="220"/>
      <c r="F20" s="221" t="s">
        <v>277</v>
      </c>
      <c r="G20" s="221"/>
      <c r="H20" s="247"/>
      <c r="I20" s="223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3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3"/>
      <c r="AU20" s="222"/>
      <c r="AV20" s="222"/>
      <c r="AW20" s="222"/>
      <c r="AX20" s="222"/>
      <c r="AY20" s="222"/>
      <c r="AZ20" s="223"/>
      <c r="BA20" s="222"/>
      <c r="BB20" s="222"/>
      <c r="BC20" s="222"/>
      <c r="BD20" s="222"/>
      <c r="BE20" s="222"/>
      <c r="BF20" s="222"/>
      <c r="BG20" s="223"/>
      <c r="BH20" s="222"/>
      <c r="BI20" s="222"/>
      <c r="BJ20" s="224"/>
      <c r="BK20" s="222"/>
      <c r="BL20" s="247"/>
      <c r="BM20" s="222"/>
      <c r="BN20" s="222"/>
      <c r="BO20" s="222"/>
      <c r="BP20" s="222"/>
      <c r="BQ20" s="222"/>
      <c r="BR20" s="222"/>
      <c r="BS20" s="223"/>
      <c r="BT20" s="222"/>
      <c r="BU20" s="222"/>
      <c r="BV20" s="223"/>
      <c r="BW20" s="223"/>
      <c r="BX20" s="223"/>
    </row>
    <row r="21" spans="1:76" ht="11.25" customHeight="1" x14ac:dyDescent="0.25">
      <c r="A21" s="225"/>
      <c r="B21" s="219"/>
      <c r="C21" s="219" t="s">
        <v>142</v>
      </c>
      <c r="D21" s="220" t="s">
        <v>278</v>
      </c>
      <c r="E21" s="220"/>
      <c r="F21" s="221" t="s">
        <v>279</v>
      </c>
      <c r="G21" s="221"/>
      <c r="H21" s="247"/>
      <c r="I21" s="223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3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>
        <v>10</v>
      </c>
      <c r="AM21" s="222">
        <v>20</v>
      </c>
      <c r="AN21" s="222"/>
      <c r="AO21" s="222"/>
      <c r="AP21" s="222"/>
      <c r="AQ21" s="222"/>
      <c r="AR21" s="222"/>
      <c r="AS21" s="222"/>
      <c r="AT21" s="223">
        <f>SUM(AU21:AY21)</f>
        <v>2750</v>
      </c>
      <c r="AU21" s="222">
        <v>2750</v>
      </c>
      <c r="AV21" s="222"/>
      <c r="AW21" s="222"/>
      <c r="AX21" s="222"/>
      <c r="AY21" s="222"/>
      <c r="AZ21" s="248"/>
      <c r="BA21" s="249"/>
      <c r="BB21" s="249"/>
      <c r="BC21" s="249"/>
      <c r="BD21" s="249"/>
      <c r="BE21" s="249"/>
      <c r="BF21" s="249"/>
      <c r="BG21" s="223"/>
      <c r="BH21" s="222"/>
      <c r="BI21" s="222"/>
      <c r="BJ21" s="224"/>
      <c r="BK21" s="222"/>
      <c r="BL21" s="247"/>
      <c r="BM21" s="222"/>
      <c r="BN21" s="222"/>
      <c r="BO21" s="222"/>
      <c r="BP21" s="222"/>
      <c r="BQ21" s="222"/>
      <c r="BR21" s="222"/>
      <c r="BS21" s="223"/>
      <c r="BT21" s="222"/>
      <c r="BU21" s="222"/>
      <c r="BV21" s="223"/>
      <c r="BW21" s="223"/>
      <c r="BX21" s="223"/>
    </row>
    <row r="22" spans="1:76" ht="11.25" customHeight="1" x14ac:dyDescent="0.25">
      <c r="A22" s="225"/>
      <c r="B22" s="219"/>
      <c r="C22" s="219" t="s">
        <v>142</v>
      </c>
      <c r="D22" s="220" t="s">
        <v>280</v>
      </c>
      <c r="E22" s="220"/>
      <c r="F22" s="221" t="s">
        <v>281</v>
      </c>
      <c r="G22" s="221"/>
      <c r="H22" s="247"/>
      <c r="I22" s="223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3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>
        <v>292</v>
      </c>
      <c r="AN22" s="222"/>
      <c r="AO22" s="222"/>
      <c r="AP22" s="222"/>
      <c r="AQ22" s="222"/>
      <c r="AR22" s="222"/>
      <c r="AS22" s="222"/>
      <c r="AT22" s="223">
        <f>SUM(AU22:AY22)</f>
        <v>1836</v>
      </c>
      <c r="AU22" s="249">
        <v>1836</v>
      </c>
      <c r="AV22" s="222"/>
      <c r="AW22" s="222"/>
      <c r="AX22" s="222"/>
      <c r="AY22" s="222"/>
      <c r="AZ22" s="223"/>
      <c r="BA22" s="222"/>
      <c r="BB22" s="222"/>
      <c r="BC22" s="222"/>
      <c r="BD22" s="222"/>
      <c r="BE22" s="222"/>
      <c r="BF22" s="222"/>
      <c r="BG22" s="223"/>
      <c r="BH22" s="222"/>
      <c r="BI22" s="222"/>
      <c r="BJ22" s="224"/>
      <c r="BK22" s="222"/>
      <c r="BL22" s="222"/>
      <c r="BM22" s="222"/>
      <c r="BN22" s="222"/>
      <c r="BO22" s="222"/>
      <c r="BP22" s="222"/>
      <c r="BQ22" s="222"/>
      <c r="BR22" s="222"/>
      <c r="BS22" s="223"/>
      <c r="BT22" s="222"/>
      <c r="BU22" s="222"/>
      <c r="BV22" s="223"/>
      <c r="BW22" s="223"/>
      <c r="BX22" s="223"/>
    </row>
    <row r="23" spans="1:76" ht="11.25" customHeight="1" x14ac:dyDescent="0.25">
      <c r="A23" s="225"/>
      <c r="B23" s="219" t="s">
        <v>142</v>
      </c>
      <c r="C23" s="220" t="s">
        <v>282</v>
      </c>
      <c r="D23" s="220"/>
      <c r="E23" s="220"/>
      <c r="F23" s="221" t="s">
        <v>283</v>
      </c>
      <c r="G23" s="221"/>
      <c r="H23" s="247"/>
      <c r="I23" s="223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3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47"/>
      <c r="AN23" s="222"/>
      <c r="AO23" s="222"/>
      <c r="AP23" s="222"/>
      <c r="AQ23" s="222"/>
      <c r="AR23" s="222"/>
      <c r="AS23" s="222"/>
      <c r="AT23" s="250"/>
      <c r="AU23" s="251"/>
      <c r="AV23" s="222"/>
      <c r="AW23" s="222"/>
      <c r="AX23" s="222"/>
      <c r="AY23" s="222"/>
      <c r="AZ23" s="252"/>
      <c r="BA23" s="222"/>
      <c r="BB23" s="222"/>
      <c r="BC23" s="222"/>
      <c r="BD23" s="222"/>
      <c r="BE23" s="222"/>
      <c r="BF23" s="222"/>
      <c r="BG23" s="223"/>
      <c r="BH23" s="222"/>
      <c r="BI23" s="222"/>
      <c r="BJ23" s="224"/>
      <c r="BK23" s="222"/>
      <c r="BL23" s="247"/>
      <c r="BM23" s="222"/>
      <c r="BN23" s="222"/>
      <c r="BO23" s="222"/>
      <c r="BP23" s="222"/>
      <c r="BQ23" s="222"/>
      <c r="BR23" s="222"/>
      <c r="BS23" s="223"/>
      <c r="BT23" s="222"/>
      <c r="BU23" s="222"/>
      <c r="BV23" s="223"/>
      <c r="BW23" s="223"/>
      <c r="BX23" s="223"/>
    </row>
    <row r="24" spans="1:76" ht="11.25" customHeight="1" x14ac:dyDescent="0.25">
      <c r="A24" s="225"/>
      <c r="B24" s="219"/>
      <c r="C24" s="219" t="s">
        <v>142</v>
      </c>
      <c r="D24" s="220" t="s">
        <v>284</v>
      </c>
      <c r="E24" s="220"/>
      <c r="F24" s="221" t="s">
        <v>285</v>
      </c>
      <c r="G24" s="221"/>
      <c r="H24" s="247"/>
      <c r="I24" s="223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3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50"/>
      <c r="AU24" s="251"/>
      <c r="AV24" s="222"/>
      <c r="AW24" s="222"/>
      <c r="AX24" s="222"/>
      <c r="AY24" s="222"/>
      <c r="AZ24" s="252"/>
      <c r="BA24" s="222"/>
      <c r="BB24" s="222"/>
      <c r="BC24" s="222"/>
      <c r="BD24" s="222"/>
      <c r="BE24" s="222"/>
      <c r="BF24" s="222"/>
      <c r="BG24" s="223"/>
      <c r="BH24" s="222"/>
      <c r="BI24" s="222"/>
      <c r="BJ24" s="224"/>
      <c r="BK24" s="222"/>
      <c r="BL24" s="247"/>
      <c r="BM24" s="222"/>
      <c r="BN24" s="222"/>
      <c r="BO24" s="222"/>
      <c r="BP24" s="222"/>
      <c r="BQ24" s="222"/>
      <c r="BR24" s="222"/>
      <c r="BS24" s="223"/>
      <c r="BT24" s="222"/>
      <c r="BU24" s="222"/>
      <c r="BV24" s="223"/>
      <c r="BW24" s="223"/>
      <c r="BX24" s="223"/>
    </row>
    <row r="25" spans="1:76" ht="11.25" customHeight="1" x14ac:dyDescent="0.25">
      <c r="A25" s="225"/>
      <c r="B25" s="219"/>
      <c r="C25" s="219" t="s">
        <v>142</v>
      </c>
      <c r="D25" s="220" t="s">
        <v>286</v>
      </c>
      <c r="E25" s="220"/>
      <c r="F25" s="221" t="s">
        <v>287</v>
      </c>
      <c r="G25" s="221"/>
      <c r="H25" s="247"/>
      <c r="I25" s="223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50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47"/>
      <c r="AN25" s="222"/>
      <c r="AO25" s="222"/>
      <c r="AP25" s="222"/>
      <c r="AQ25" s="222"/>
      <c r="AR25" s="222"/>
      <c r="AS25" s="222"/>
      <c r="AT25" s="250"/>
      <c r="AU25" s="251"/>
      <c r="AV25" s="222"/>
      <c r="AW25" s="222"/>
      <c r="AX25" s="222"/>
      <c r="AY25" s="222"/>
      <c r="AZ25" s="252"/>
      <c r="BA25" s="222"/>
      <c r="BB25" s="222"/>
      <c r="BC25" s="222"/>
      <c r="BD25" s="222"/>
      <c r="BE25" s="222"/>
      <c r="BF25" s="222"/>
      <c r="BG25" s="223"/>
      <c r="BH25" s="222"/>
      <c r="BI25" s="222"/>
      <c r="BJ25" s="224"/>
      <c r="BK25" s="222"/>
      <c r="BL25" s="247"/>
      <c r="BM25" s="222"/>
      <c r="BN25" s="222"/>
      <c r="BO25" s="222"/>
      <c r="BP25" s="222"/>
      <c r="BQ25" s="222"/>
      <c r="BR25" s="222"/>
      <c r="BS25" s="223"/>
      <c r="BT25" s="222"/>
      <c r="BU25" s="222"/>
      <c r="BV25" s="223"/>
      <c r="BW25" s="223"/>
      <c r="BX25" s="223"/>
    </row>
    <row r="26" spans="1:76" ht="11.25" customHeight="1" x14ac:dyDescent="0.25">
      <c r="A26" s="225"/>
      <c r="B26" s="219" t="s">
        <v>142</v>
      </c>
      <c r="C26" s="220" t="s">
        <v>288</v>
      </c>
      <c r="D26" s="220"/>
      <c r="E26" s="220"/>
      <c r="F26" s="221" t="s">
        <v>289</v>
      </c>
      <c r="G26" s="221"/>
      <c r="H26" s="247"/>
      <c r="I26" s="223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3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3"/>
      <c r="AU26" s="222"/>
      <c r="AV26" s="222"/>
      <c r="AW26" s="222"/>
      <c r="AX26" s="222"/>
      <c r="AY26" s="222"/>
      <c r="AZ26" s="223"/>
      <c r="BA26" s="222"/>
      <c r="BB26" s="222"/>
      <c r="BC26" s="222"/>
      <c r="BD26" s="222"/>
      <c r="BE26" s="222"/>
      <c r="BF26" s="222"/>
      <c r="BG26" s="223"/>
      <c r="BH26" s="222"/>
      <c r="BI26" s="222"/>
      <c r="BJ26" s="224"/>
      <c r="BK26" s="222"/>
      <c r="BL26" s="222"/>
      <c r="BM26" s="222"/>
      <c r="BN26" s="222"/>
      <c r="BO26" s="222"/>
      <c r="BP26" s="222"/>
      <c r="BQ26" s="222"/>
      <c r="BR26" s="222"/>
      <c r="BS26" s="223"/>
      <c r="BT26" s="222"/>
      <c r="BU26" s="222"/>
      <c r="BV26" s="223"/>
      <c r="BW26" s="223"/>
      <c r="BX26" s="223"/>
    </row>
    <row r="27" spans="1:76" ht="11.25" customHeight="1" x14ac:dyDescent="0.25">
      <c r="A27" s="219" t="s">
        <v>142</v>
      </c>
      <c r="B27" s="220" t="s">
        <v>290</v>
      </c>
      <c r="C27" s="220"/>
      <c r="D27" s="220"/>
      <c r="E27" s="220"/>
      <c r="F27" s="221" t="s">
        <v>291</v>
      </c>
      <c r="G27" s="221"/>
      <c r="H27" s="247"/>
      <c r="I27" s="223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3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3"/>
      <c r="AU27" s="222"/>
      <c r="AV27" s="222"/>
      <c r="AW27" s="222"/>
      <c r="AX27" s="222"/>
      <c r="AY27" s="222"/>
      <c r="AZ27" s="223"/>
      <c r="BA27" s="222"/>
      <c r="BB27" s="222"/>
      <c r="BC27" s="222"/>
      <c r="BD27" s="222"/>
      <c r="BE27" s="222"/>
      <c r="BF27" s="222"/>
      <c r="BG27" s="223"/>
      <c r="BH27" s="222"/>
      <c r="BI27" s="222"/>
      <c r="BJ27" s="224"/>
      <c r="BK27" s="222"/>
      <c r="BL27" s="222"/>
      <c r="BM27" s="222"/>
      <c r="BN27" s="222"/>
      <c r="BO27" s="222"/>
      <c r="BP27" s="222"/>
      <c r="BQ27" s="222"/>
      <c r="BR27" s="222"/>
      <c r="BS27" s="223"/>
      <c r="BT27" s="222"/>
      <c r="BU27" s="222"/>
      <c r="BV27" s="223"/>
      <c r="BW27" s="223"/>
      <c r="BX27" s="223"/>
    </row>
    <row r="28" spans="1:76" ht="11.25" customHeight="1" x14ac:dyDescent="0.25">
      <c r="A28" s="219" t="s">
        <v>142</v>
      </c>
      <c r="B28" s="220" t="s">
        <v>292</v>
      </c>
      <c r="C28" s="220"/>
      <c r="D28" s="220"/>
      <c r="E28" s="220"/>
      <c r="F28" s="221" t="s">
        <v>293</v>
      </c>
      <c r="G28" s="221"/>
      <c r="H28" s="222"/>
      <c r="I28" s="223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3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3"/>
      <c r="AU28" s="222"/>
      <c r="AV28" s="222"/>
      <c r="AW28" s="222"/>
      <c r="AX28" s="222"/>
      <c r="AY28" s="222"/>
      <c r="AZ28" s="223"/>
      <c r="BA28" s="222"/>
      <c r="BB28" s="222"/>
      <c r="BC28" s="222"/>
      <c r="BD28" s="222"/>
      <c r="BE28" s="222"/>
      <c r="BF28" s="222"/>
      <c r="BG28" s="223"/>
      <c r="BH28" s="222"/>
      <c r="BI28" s="222"/>
      <c r="BJ28" s="224"/>
      <c r="BK28" s="222"/>
      <c r="BL28" s="222"/>
      <c r="BM28" s="222"/>
      <c r="BN28" s="222"/>
      <c r="BO28" s="222"/>
      <c r="BP28" s="222"/>
      <c r="BQ28" s="222"/>
      <c r="BR28" s="222"/>
      <c r="BS28" s="223"/>
      <c r="BT28" s="222"/>
      <c r="BU28" s="222"/>
      <c r="BV28" s="223"/>
      <c r="BW28" s="223"/>
      <c r="BX28" s="223"/>
    </row>
    <row r="29" spans="1:76" ht="11.25" customHeight="1" x14ac:dyDescent="0.25">
      <c r="A29" s="219" t="s">
        <v>142</v>
      </c>
      <c r="B29" s="220" t="s">
        <v>294</v>
      </c>
      <c r="C29" s="220"/>
      <c r="D29" s="220"/>
      <c r="E29" s="220"/>
      <c r="F29" s="221" t="s">
        <v>295</v>
      </c>
      <c r="G29" s="221"/>
      <c r="H29" s="222"/>
      <c r="I29" s="223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3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3"/>
      <c r="AU29" s="222"/>
      <c r="AV29" s="222"/>
      <c r="AW29" s="222"/>
      <c r="AX29" s="222"/>
      <c r="AY29" s="222"/>
      <c r="AZ29" s="223"/>
      <c r="BA29" s="222"/>
      <c r="BB29" s="222"/>
      <c r="BC29" s="222"/>
      <c r="BD29" s="222"/>
      <c r="BE29" s="222"/>
      <c r="BF29" s="222"/>
      <c r="BG29" s="223"/>
      <c r="BH29" s="222"/>
      <c r="BI29" s="222"/>
      <c r="BJ29" s="224"/>
      <c r="BK29" s="222"/>
      <c r="BL29" s="222"/>
      <c r="BM29" s="222"/>
      <c r="BN29" s="222"/>
      <c r="BO29" s="222"/>
      <c r="BP29" s="222"/>
      <c r="BQ29" s="222"/>
      <c r="BR29" s="222"/>
      <c r="BS29" s="223"/>
      <c r="BT29" s="222"/>
      <c r="BU29" s="222"/>
      <c r="BV29" s="223"/>
      <c r="BW29" s="223"/>
      <c r="BX29" s="223"/>
    </row>
    <row r="30" spans="1:76" ht="11.25" customHeight="1" x14ac:dyDescent="0.25">
      <c r="A30" s="219" t="s">
        <v>142</v>
      </c>
      <c r="B30" s="220" t="s">
        <v>296</v>
      </c>
      <c r="C30" s="220"/>
      <c r="D30" s="220"/>
      <c r="E30" s="220"/>
      <c r="F30" s="221" t="s">
        <v>297</v>
      </c>
      <c r="G30" s="221"/>
      <c r="H30" s="222"/>
      <c r="I30" s="223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3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3"/>
      <c r="AU30" s="222"/>
      <c r="AV30" s="222"/>
      <c r="AW30" s="222"/>
      <c r="AX30" s="222"/>
      <c r="AY30" s="222"/>
      <c r="AZ30" s="223"/>
      <c r="BA30" s="222"/>
      <c r="BB30" s="222"/>
      <c r="BC30" s="222"/>
      <c r="BD30" s="222"/>
      <c r="BE30" s="222"/>
      <c r="BF30" s="222"/>
      <c r="BG30" s="223"/>
      <c r="BH30" s="222"/>
      <c r="BI30" s="222"/>
      <c r="BJ30" s="224"/>
      <c r="BK30" s="222"/>
      <c r="BL30" s="222"/>
      <c r="BM30" s="222"/>
      <c r="BN30" s="222"/>
      <c r="BO30" s="222"/>
      <c r="BP30" s="222"/>
      <c r="BQ30" s="222"/>
      <c r="BR30" s="222"/>
      <c r="BS30" s="223"/>
      <c r="BT30" s="222"/>
      <c r="BU30" s="222"/>
      <c r="BV30" s="223"/>
      <c r="BW30" s="223"/>
      <c r="BX30" s="223"/>
    </row>
    <row r="31" spans="1:76" ht="11.25" customHeight="1" x14ac:dyDescent="0.25">
      <c r="A31" s="219" t="s">
        <v>142</v>
      </c>
      <c r="B31" s="220" t="s">
        <v>298</v>
      </c>
      <c r="C31" s="220"/>
      <c r="D31" s="220"/>
      <c r="E31" s="220"/>
      <c r="F31" s="221" t="s">
        <v>299</v>
      </c>
      <c r="G31" s="221"/>
      <c r="H31" s="253"/>
      <c r="I31" s="223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54"/>
      <c r="X31" s="253"/>
      <c r="Y31" s="222"/>
      <c r="Z31" s="253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3"/>
      <c r="AU31" s="222"/>
      <c r="AV31" s="222"/>
      <c r="AW31" s="222"/>
      <c r="AX31" s="222"/>
      <c r="AY31" s="222"/>
      <c r="AZ31" s="223"/>
      <c r="BA31" s="222"/>
      <c r="BB31" s="222"/>
      <c r="BC31" s="222"/>
      <c r="BD31" s="222"/>
      <c r="BE31" s="222"/>
      <c r="BF31" s="222"/>
      <c r="BG31" s="223"/>
      <c r="BH31" s="222"/>
      <c r="BI31" s="222"/>
      <c r="BJ31" s="224"/>
      <c r="BK31" s="222"/>
      <c r="BL31" s="222"/>
      <c r="BM31" s="222"/>
      <c r="BN31" s="222"/>
      <c r="BO31" s="222"/>
      <c r="BP31" s="222"/>
      <c r="BQ31" s="222"/>
      <c r="BR31" s="222"/>
      <c r="BS31" s="223"/>
      <c r="BT31" s="222"/>
      <c r="BU31" s="222"/>
      <c r="BV31" s="223"/>
      <c r="BW31" s="223"/>
      <c r="BX31" s="223"/>
    </row>
    <row r="32" spans="1:76" ht="11.25" customHeight="1" x14ac:dyDescent="0.25">
      <c r="A32" s="219" t="s">
        <v>142</v>
      </c>
      <c r="B32" s="220" t="s">
        <v>300</v>
      </c>
      <c r="C32" s="220"/>
      <c r="D32" s="220"/>
      <c r="E32" s="220"/>
      <c r="F32" s="221" t="s">
        <v>301</v>
      </c>
      <c r="G32" s="221"/>
      <c r="H32" s="253"/>
      <c r="I32" s="254"/>
      <c r="J32" s="253"/>
      <c r="K32" s="253"/>
      <c r="L32" s="253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54"/>
      <c r="X32" s="253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51"/>
      <c r="AN32" s="222"/>
      <c r="AO32" s="222"/>
      <c r="AP32" s="222"/>
      <c r="AQ32" s="222"/>
      <c r="AR32" s="222"/>
      <c r="AS32" s="222"/>
      <c r="AT32" s="223"/>
      <c r="AU32" s="253"/>
      <c r="AV32" s="222"/>
      <c r="AW32" s="222"/>
      <c r="AX32" s="222"/>
      <c r="AY32" s="222"/>
      <c r="AZ32" s="254"/>
      <c r="BA32" s="222"/>
      <c r="BB32" s="222"/>
      <c r="BC32" s="222"/>
      <c r="BD32" s="222"/>
      <c r="BE32" s="222"/>
      <c r="BF32" s="251"/>
      <c r="BG32" s="250"/>
      <c r="BH32" s="251"/>
      <c r="BI32" s="251"/>
      <c r="BJ32" s="255"/>
      <c r="BK32" s="222"/>
      <c r="BL32" s="222"/>
      <c r="BM32" s="222"/>
      <c r="BN32" s="222"/>
      <c r="BO32" s="222"/>
      <c r="BP32" s="222"/>
      <c r="BQ32" s="222"/>
      <c r="BR32" s="222"/>
      <c r="BS32" s="223"/>
      <c r="BT32" s="222"/>
      <c r="BU32" s="222"/>
      <c r="BV32" s="223"/>
      <c r="BW32" s="223"/>
      <c r="BX32" s="223"/>
    </row>
    <row r="33" spans="1:76" ht="11.25" customHeight="1" x14ac:dyDescent="0.25">
      <c r="A33" s="225"/>
      <c r="B33" s="219" t="s">
        <v>142</v>
      </c>
      <c r="C33" s="220" t="s">
        <v>302</v>
      </c>
      <c r="D33" s="220"/>
      <c r="E33" s="220"/>
      <c r="F33" s="221" t="s">
        <v>303</v>
      </c>
      <c r="G33" s="221"/>
      <c r="H33" s="253"/>
      <c r="I33" s="254"/>
      <c r="J33" s="253"/>
      <c r="K33" s="253"/>
      <c r="L33" s="253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54"/>
      <c r="X33" s="253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51"/>
      <c r="AN33" s="222"/>
      <c r="AO33" s="222"/>
      <c r="AP33" s="222"/>
      <c r="AQ33" s="222"/>
      <c r="AR33" s="222"/>
      <c r="AS33" s="222"/>
      <c r="AT33" s="223">
        <f>SUM(AU33:AY33)</f>
        <v>170</v>
      </c>
      <c r="AU33" s="253">
        <v>170</v>
      </c>
      <c r="AV33" s="222"/>
      <c r="AW33" s="222"/>
      <c r="AX33" s="222"/>
      <c r="AY33" s="222"/>
      <c r="AZ33" s="254"/>
      <c r="BA33" s="222"/>
      <c r="BB33" s="222"/>
      <c r="BC33" s="222"/>
      <c r="BD33" s="222"/>
      <c r="BE33" s="222"/>
      <c r="BF33" s="251"/>
      <c r="BG33" s="250"/>
      <c r="BH33" s="251"/>
      <c r="BI33" s="251"/>
      <c r="BJ33" s="255"/>
      <c r="BK33" s="222"/>
      <c r="BL33" s="222"/>
      <c r="BM33" s="222"/>
      <c r="BN33" s="222"/>
      <c r="BO33" s="222"/>
      <c r="BP33" s="222"/>
      <c r="BQ33" s="222"/>
      <c r="BR33" s="222"/>
      <c r="BS33" s="223"/>
      <c r="BT33" s="222"/>
      <c r="BU33" s="222"/>
      <c r="BV33" s="223"/>
      <c r="BW33" s="223"/>
      <c r="BX33" s="223"/>
    </row>
    <row r="34" spans="1:76" ht="11.25" customHeight="1" x14ac:dyDescent="0.25">
      <c r="A34" s="225"/>
      <c r="B34" s="219" t="s">
        <v>142</v>
      </c>
      <c r="C34" s="220" t="s">
        <v>304</v>
      </c>
      <c r="D34" s="220"/>
      <c r="E34" s="220"/>
      <c r="F34" s="221" t="s">
        <v>305</v>
      </c>
      <c r="G34" s="221"/>
      <c r="H34" s="253"/>
      <c r="I34" s="254"/>
      <c r="J34" s="253"/>
      <c r="K34" s="253"/>
      <c r="L34" s="253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54"/>
      <c r="X34" s="253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51"/>
      <c r="AN34" s="222"/>
      <c r="AO34" s="222"/>
      <c r="AP34" s="222"/>
      <c r="AQ34" s="222"/>
      <c r="AR34" s="222"/>
      <c r="AS34" s="222"/>
      <c r="AT34" s="223"/>
      <c r="AU34" s="253"/>
      <c r="AV34" s="222"/>
      <c r="AW34" s="222"/>
      <c r="AX34" s="222"/>
      <c r="AY34" s="222"/>
      <c r="AZ34" s="254"/>
      <c r="BA34" s="222"/>
      <c r="BB34" s="222"/>
      <c r="BC34" s="222"/>
      <c r="BD34" s="222"/>
      <c r="BE34" s="222"/>
      <c r="BF34" s="251"/>
      <c r="BG34" s="250"/>
      <c r="BH34" s="251"/>
      <c r="BI34" s="251"/>
      <c r="BJ34" s="255"/>
      <c r="BK34" s="222"/>
      <c r="BL34" s="222"/>
      <c r="BM34" s="222"/>
      <c r="BN34" s="222"/>
      <c r="BO34" s="222"/>
      <c r="BP34" s="222"/>
      <c r="BQ34" s="222"/>
      <c r="BR34" s="222"/>
      <c r="BS34" s="223"/>
      <c r="BT34" s="222"/>
      <c r="BU34" s="222"/>
      <c r="BV34" s="223"/>
      <c r="BW34" s="223"/>
      <c r="BX34" s="223"/>
    </row>
    <row r="35" spans="1:76" ht="11.25" customHeight="1" x14ac:dyDescent="0.25">
      <c r="A35" s="225"/>
      <c r="B35" s="219" t="s">
        <v>142</v>
      </c>
      <c r="C35" s="220" t="s">
        <v>306</v>
      </c>
      <c r="D35" s="220"/>
      <c r="E35" s="220"/>
      <c r="F35" s="221" t="s">
        <v>307</v>
      </c>
      <c r="G35" s="221"/>
      <c r="H35" s="253"/>
      <c r="I35" s="223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3"/>
      <c r="AU35" s="222"/>
      <c r="AV35" s="222"/>
      <c r="AW35" s="222"/>
      <c r="AX35" s="222"/>
      <c r="AY35" s="222"/>
      <c r="AZ35" s="223"/>
      <c r="BA35" s="222"/>
      <c r="BB35" s="222"/>
      <c r="BC35" s="222"/>
      <c r="BD35" s="222"/>
      <c r="BE35" s="222"/>
      <c r="BF35" s="222"/>
      <c r="BG35" s="223"/>
      <c r="BH35" s="222"/>
      <c r="BI35" s="222"/>
      <c r="BJ35" s="224"/>
      <c r="BK35" s="222"/>
      <c r="BL35" s="222"/>
      <c r="BM35" s="222"/>
      <c r="BN35" s="222"/>
      <c r="BO35" s="222"/>
      <c r="BP35" s="222"/>
      <c r="BQ35" s="222"/>
      <c r="BR35" s="222"/>
      <c r="BS35" s="223"/>
      <c r="BT35" s="222"/>
      <c r="BU35" s="222"/>
      <c r="BV35" s="223"/>
      <c r="BW35" s="223"/>
      <c r="BX35" s="223"/>
    </row>
    <row r="36" spans="1:76" ht="11.25" customHeight="1" x14ac:dyDescent="0.25">
      <c r="A36" s="225"/>
      <c r="B36" s="219" t="s">
        <v>142</v>
      </c>
      <c r="C36" s="220" t="s">
        <v>308</v>
      </c>
      <c r="D36" s="220"/>
      <c r="E36" s="220"/>
      <c r="F36" s="221" t="s">
        <v>309</v>
      </c>
      <c r="G36" s="221"/>
      <c r="H36" s="222"/>
      <c r="I36" s="223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3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3"/>
      <c r="AU36" s="222"/>
      <c r="AV36" s="222"/>
      <c r="AW36" s="222"/>
      <c r="AX36" s="222"/>
      <c r="AY36" s="222"/>
      <c r="AZ36" s="223"/>
      <c r="BA36" s="222"/>
      <c r="BB36" s="222"/>
      <c r="BC36" s="222"/>
      <c r="BD36" s="222"/>
      <c r="BE36" s="222"/>
      <c r="BF36" s="222"/>
      <c r="BG36" s="223"/>
      <c r="BH36" s="222"/>
      <c r="BI36" s="222"/>
      <c r="BJ36" s="224"/>
      <c r="BK36" s="222"/>
      <c r="BL36" s="222"/>
      <c r="BM36" s="222"/>
      <c r="BN36" s="222"/>
      <c r="BO36" s="222"/>
      <c r="BP36" s="222"/>
      <c r="BQ36" s="222"/>
      <c r="BR36" s="222"/>
      <c r="BS36" s="223"/>
      <c r="BT36" s="222"/>
      <c r="BU36" s="222"/>
      <c r="BV36" s="223"/>
      <c r="BW36" s="223"/>
      <c r="BX36" s="223"/>
    </row>
    <row r="37" spans="1:76" ht="11.25" customHeight="1" x14ac:dyDescent="0.25">
      <c r="A37" s="219" t="s">
        <v>142</v>
      </c>
      <c r="B37" s="220" t="s">
        <v>310</v>
      </c>
      <c r="C37" s="220"/>
      <c r="D37" s="220"/>
      <c r="E37" s="220"/>
      <c r="F37" s="221" t="s">
        <v>311</v>
      </c>
      <c r="G37" s="221"/>
      <c r="H37" s="222"/>
      <c r="I37" s="223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3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3"/>
      <c r="AU37" s="222"/>
      <c r="AV37" s="222"/>
      <c r="AW37" s="222"/>
      <c r="AX37" s="222"/>
      <c r="AY37" s="222"/>
      <c r="AZ37" s="223"/>
      <c r="BA37" s="222"/>
      <c r="BB37" s="222"/>
      <c r="BC37" s="222"/>
      <c r="BD37" s="222"/>
      <c r="BE37" s="222"/>
      <c r="BF37" s="222"/>
      <c r="BG37" s="223"/>
      <c r="BH37" s="222"/>
      <c r="BI37" s="222"/>
      <c r="BJ37" s="224"/>
      <c r="BK37" s="222"/>
      <c r="BL37" s="222"/>
      <c r="BM37" s="222"/>
      <c r="BN37" s="222"/>
      <c r="BO37" s="222"/>
      <c r="BP37" s="222"/>
      <c r="BQ37" s="222"/>
      <c r="BR37" s="222"/>
      <c r="BS37" s="223"/>
      <c r="BT37" s="222"/>
      <c r="BU37" s="222"/>
      <c r="BV37" s="223"/>
      <c r="BW37" s="223"/>
      <c r="BX37" s="223"/>
    </row>
    <row r="38" spans="1:76" ht="11.25" customHeight="1" x14ac:dyDescent="0.25">
      <c r="A38" s="219" t="s">
        <v>142</v>
      </c>
      <c r="B38" s="220" t="s">
        <v>312</v>
      </c>
      <c r="C38" s="220"/>
      <c r="D38" s="220"/>
      <c r="E38" s="220"/>
      <c r="F38" s="221" t="s">
        <v>313</v>
      </c>
      <c r="G38" s="221"/>
      <c r="H38" s="222"/>
      <c r="I38" s="223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3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3"/>
      <c r="AU38" s="222"/>
      <c r="AV38" s="222"/>
      <c r="AW38" s="222"/>
      <c r="AX38" s="222"/>
      <c r="AY38" s="222"/>
      <c r="AZ38" s="223"/>
      <c r="BA38" s="222"/>
      <c r="BB38" s="222"/>
      <c r="BC38" s="222"/>
      <c r="BD38" s="222"/>
      <c r="BE38" s="222"/>
      <c r="BF38" s="222"/>
      <c r="BG38" s="223"/>
      <c r="BH38" s="222"/>
      <c r="BI38" s="222"/>
      <c r="BJ38" s="224"/>
      <c r="BK38" s="222"/>
      <c r="BL38" s="222"/>
      <c r="BM38" s="222"/>
      <c r="BN38" s="222"/>
      <c r="BO38" s="222"/>
      <c r="BP38" s="222"/>
      <c r="BQ38" s="222"/>
      <c r="BR38" s="222"/>
      <c r="BS38" s="223"/>
      <c r="BT38" s="222"/>
      <c r="BU38" s="222"/>
      <c r="BV38" s="223"/>
      <c r="BW38" s="223"/>
      <c r="BX38" s="223"/>
    </row>
    <row r="39" spans="1:76" ht="11.25" customHeight="1" x14ac:dyDescent="0.25">
      <c r="A39" s="219" t="s">
        <v>142</v>
      </c>
      <c r="B39" s="220" t="s">
        <v>314</v>
      </c>
      <c r="C39" s="220"/>
      <c r="D39" s="220"/>
      <c r="E39" s="220"/>
      <c r="F39" s="221" t="s">
        <v>315</v>
      </c>
      <c r="G39" s="221"/>
      <c r="H39" s="222"/>
      <c r="I39" s="223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3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3"/>
      <c r="AU39" s="222"/>
      <c r="AV39" s="222"/>
      <c r="AW39" s="222"/>
      <c r="AX39" s="222"/>
      <c r="AY39" s="222"/>
      <c r="AZ39" s="223"/>
      <c r="BA39" s="222"/>
      <c r="BB39" s="222"/>
      <c r="BC39" s="222"/>
      <c r="BD39" s="222"/>
      <c r="BE39" s="222"/>
      <c r="BF39" s="222"/>
      <c r="BG39" s="223"/>
      <c r="BH39" s="222"/>
      <c r="BI39" s="222"/>
      <c r="BJ39" s="224"/>
      <c r="BK39" s="222"/>
      <c r="BL39" s="222"/>
      <c r="BM39" s="222"/>
      <c r="BN39" s="222"/>
      <c r="BO39" s="222"/>
      <c r="BP39" s="222"/>
      <c r="BQ39" s="222"/>
      <c r="BR39" s="222"/>
      <c r="BS39" s="223"/>
      <c r="BT39" s="222"/>
      <c r="BU39" s="222"/>
      <c r="BV39" s="223"/>
      <c r="BW39" s="223"/>
      <c r="BX39" s="223"/>
    </row>
    <row r="40" spans="1:76" ht="11.25" customHeight="1" x14ac:dyDescent="0.25">
      <c r="A40" s="219" t="s">
        <v>142</v>
      </c>
      <c r="B40" s="220" t="s">
        <v>316</v>
      </c>
      <c r="C40" s="220"/>
      <c r="D40" s="220"/>
      <c r="E40" s="220"/>
      <c r="F40" s="221" t="s">
        <v>317</v>
      </c>
      <c r="G40" s="221"/>
      <c r="H40" s="222"/>
      <c r="I40" s="223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3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3"/>
      <c r="AU40" s="222"/>
      <c r="AV40" s="222"/>
      <c r="AW40" s="222"/>
      <c r="AX40" s="222"/>
      <c r="AY40" s="222"/>
      <c r="AZ40" s="223"/>
      <c r="BA40" s="222"/>
      <c r="BB40" s="222"/>
      <c r="BC40" s="222"/>
      <c r="BD40" s="222"/>
      <c r="BE40" s="222"/>
      <c r="BF40" s="222"/>
      <c r="BG40" s="223"/>
      <c r="BH40" s="222"/>
      <c r="BI40" s="222"/>
      <c r="BJ40" s="224"/>
      <c r="BK40" s="222"/>
      <c r="BL40" s="222"/>
      <c r="BM40" s="222"/>
      <c r="BN40" s="222"/>
      <c r="BO40" s="222"/>
      <c r="BP40" s="222"/>
      <c r="BQ40" s="222"/>
      <c r="BR40" s="222"/>
      <c r="BS40" s="223"/>
      <c r="BT40" s="222"/>
      <c r="BU40" s="222"/>
      <c r="BV40" s="223"/>
      <c r="BW40" s="223"/>
      <c r="BX40" s="223"/>
    </row>
    <row r="41" spans="1:76" ht="11.25" customHeight="1" x14ac:dyDescent="0.25">
      <c r="A41" s="219" t="s">
        <v>142</v>
      </c>
      <c r="B41" s="220" t="s">
        <v>318</v>
      </c>
      <c r="C41" s="220"/>
      <c r="D41" s="220"/>
      <c r="E41" s="220"/>
      <c r="F41" s="221" t="s">
        <v>319</v>
      </c>
      <c r="G41" s="221"/>
      <c r="H41" s="222"/>
      <c r="I41" s="223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3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3"/>
      <c r="AU41" s="222"/>
      <c r="AV41" s="222"/>
      <c r="AW41" s="222"/>
      <c r="AX41" s="222"/>
      <c r="AY41" s="222"/>
      <c r="AZ41" s="223"/>
      <c r="BA41" s="222"/>
      <c r="BB41" s="222"/>
      <c r="BC41" s="222"/>
      <c r="BD41" s="222"/>
      <c r="BE41" s="222"/>
      <c r="BF41" s="222"/>
      <c r="BG41" s="223"/>
      <c r="BH41" s="222"/>
      <c r="BI41" s="222"/>
      <c r="BJ41" s="224"/>
      <c r="BK41" s="222"/>
      <c r="BL41" s="222"/>
      <c r="BM41" s="222"/>
      <c r="BN41" s="222"/>
      <c r="BO41" s="222"/>
      <c r="BP41" s="222"/>
      <c r="BQ41" s="222"/>
      <c r="BR41" s="222"/>
      <c r="BS41" s="223"/>
      <c r="BT41" s="222"/>
      <c r="BU41" s="222"/>
      <c r="BV41" s="223"/>
      <c r="BW41" s="223"/>
      <c r="BX41" s="223"/>
    </row>
    <row r="42" spans="1:76" ht="11.25" customHeight="1" x14ac:dyDescent="0.25">
      <c r="A42" s="219" t="s">
        <v>142</v>
      </c>
      <c r="B42" s="220" t="s">
        <v>320</v>
      </c>
      <c r="C42" s="220"/>
      <c r="D42" s="220"/>
      <c r="E42" s="220"/>
      <c r="F42" s="221" t="s">
        <v>321</v>
      </c>
      <c r="G42" s="221"/>
      <c r="H42" s="222"/>
      <c r="I42" s="223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3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3"/>
      <c r="AU42" s="222"/>
      <c r="AV42" s="222"/>
      <c r="AW42" s="222"/>
      <c r="AX42" s="222"/>
      <c r="AY42" s="222"/>
      <c r="AZ42" s="223"/>
      <c r="BA42" s="222"/>
      <c r="BB42" s="222"/>
      <c r="BC42" s="222"/>
      <c r="BD42" s="222"/>
      <c r="BE42" s="222"/>
      <c r="BF42" s="222"/>
      <c r="BG42" s="223"/>
      <c r="BH42" s="222"/>
      <c r="BI42" s="222"/>
      <c r="BJ42" s="224"/>
      <c r="BK42" s="222"/>
      <c r="BL42" s="222"/>
      <c r="BM42" s="222"/>
      <c r="BN42" s="222"/>
      <c r="BO42" s="222"/>
      <c r="BP42" s="222"/>
      <c r="BQ42" s="222"/>
      <c r="BR42" s="222"/>
      <c r="BS42" s="223"/>
      <c r="BT42" s="222"/>
      <c r="BU42" s="222"/>
      <c r="BV42" s="223"/>
      <c r="BW42" s="223"/>
      <c r="BX42" s="223"/>
    </row>
    <row r="43" spans="1:76" ht="11.25" customHeight="1" x14ac:dyDescent="0.25">
      <c r="A43" s="226" t="s">
        <v>142</v>
      </c>
      <c r="B43" s="227" t="s">
        <v>322</v>
      </c>
      <c r="C43" s="227"/>
      <c r="D43" s="227"/>
      <c r="E43" s="227"/>
      <c r="F43" s="228" t="s">
        <v>323</v>
      </c>
      <c r="G43" s="228"/>
      <c r="H43" s="229"/>
      <c r="I43" s="230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30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29"/>
      <c r="AP43" s="229"/>
      <c r="AQ43" s="229"/>
      <c r="AR43" s="229"/>
      <c r="AS43" s="229"/>
      <c r="AT43" s="230"/>
      <c r="AU43" s="229"/>
      <c r="AV43" s="229"/>
      <c r="AW43" s="229"/>
      <c r="AX43" s="229"/>
      <c r="AY43" s="229"/>
      <c r="AZ43" s="230"/>
      <c r="BA43" s="229"/>
      <c r="BB43" s="229"/>
      <c r="BC43" s="229"/>
      <c r="BD43" s="229"/>
      <c r="BE43" s="229"/>
      <c r="BF43" s="229"/>
      <c r="BG43" s="230"/>
      <c r="BH43" s="229"/>
      <c r="BI43" s="229"/>
      <c r="BJ43" s="231"/>
      <c r="BK43" s="229"/>
      <c r="BL43" s="229"/>
      <c r="BM43" s="229"/>
      <c r="BN43" s="229"/>
      <c r="BO43" s="229"/>
      <c r="BP43" s="229"/>
      <c r="BQ43" s="229"/>
      <c r="BR43" s="229"/>
      <c r="BS43" s="230"/>
      <c r="BT43" s="229"/>
      <c r="BU43" s="229"/>
      <c r="BV43" s="230"/>
      <c r="BW43" s="230"/>
      <c r="BX43" s="230"/>
    </row>
    <row r="44" spans="1:76" ht="11.25" customHeight="1" x14ac:dyDescent="0.25">
      <c r="A44" s="256" t="s">
        <v>324</v>
      </c>
      <c r="B44" s="256"/>
      <c r="C44" s="256"/>
      <c r="D44" s="256"/>
      <c r="E44" s="256"/>
      <c r="F44" s="257" t="s">
        <v>325</v>
      </c>
      <c r="G44" s="257"/>
      <c r="H44" s="258"/>
      <c r="I44" s="259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9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9"/>
      <c r="AU44" s="258"/>
      <c r="AV44" s="258"/>
      <c r="AW44" s="258"/>
      <c r="AX44" s="258"/>
      <c r="AY44" s="258"/>
      <c r="AZ44" s="259"/>
      <c r="BA44" s="258"/>
      <c r="BB44" s="258"/>
      <c r="BC44" s="258"/>
      <c r="BD44" s="258"/>
      <c r="BE44" s="258"/>
      <c r="BF44" s="258"/>
      <c r="BG44" s="259"/>
      <c r="BH44" s="258"/>
      <c r="BI44" s="258"/>
      <c r="BJ44" s="260"/>
      <c r="BK44" s="258"/>
      <c r="BL44" s="258"/>
      <c r="BM44" s="258"/>
      <c r="BN44" s="258"/>
      <c r="BO44" s="258"/>
      <c r="BP44" s="258"/>
      <c r="BQ44" s="258"/>
      <c r="BR44" s="258"/>
      <c r="BS44" s="259"/>
      <c r="BT44" s="258"/>
      <c r="BU44" s="258"/>
      <c r="BV44" s="259"/>
      <c r="BW44" s="259"/>
      <c r="BX44" s="259"/>
    </row>
    <row r="45" spans="1:76" ht="11.25" customHeight="1" x14ac:dyDescent="0.25">
      <c r="A45" s="239" t="s">
        <v>142</v>
      </c>
      <c r="B45" s="240" t="s">
        <v>274</v>
      </c>
      <c r="C45" s="240"/>
      <c r="D45" s="240"/>
      <c r="E45" s="240"/>
      <c r="F45" s="241" t="s">
        <v>326</v>
      </c>
      <c r="G45" s="241"/>
      <c r="H45" s="244"/>
      <c r="I45" s="243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3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3"/>
      <c r="AU45" s="244"/>
      <c r="AV45" s="244"/>
      <c r="AW45" s="244"/>
      <c r="AX45" s="244"/>
      <c r="AY45" s="244"/>
      <c r="AZ45" s="243"/>
      <c r="BA45" s="244"/>
      <c r="BB45" s="244"/>
      <c r="BC45" s="244"/>
      <c r="BD45" s="244"/>
      <c r="BE45" s="244"/>
      <c r="BF45" s="244"/>
      <c r="BG45" s="243"/>
      <c r="BH45" s="244"/>
      <c r="BI45" s="244"/>
      <c r="BJ45" s="246"/>
      <c r="BK45" s="244"/>
      <c r="BL45" s="244"/>
      <c r="BM45" s="244"/>
      <c r="BN45" s="244"/>
      <c r="BO45" s="244"/>
      <c r="BP45" s="244"/>
      <c r="BQ45" s="244"/>
      <c r="BR45" s="244"/>
      <c r="BS45" s="243"/>
      <c r="BT45" s="244"/>
      <c r="BU45" s="244"/>
      <c r="BV45" s="243"/>
      <c r="BW45" s="243"/>
      <c r="BX45" s="243"/>
    </row>
    <row r="46" spans="1:76" ht="11.25" customHeight="1" x14ac:dyDescent="0.25">
      <c r="A46" s="225"/>
      <c r="B46" s="219" t="s">
        <v>142</v>
      </c>
      <c r="C46" s="220" t="s">
        <v>276</v>
      </c>
      <c r="D46" s="220"/>
      <c r="E46" s="220"/>
      <c r="F46" s="221" t="s">
        <v>327</v>
      </c>
      <c r="G46" s="221"/>
      <c r="H46" s="222"/>
      <c r="I46" s="223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3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3"/>
      <c r="AU46" s="222"/>
      <c r="AV46" s="222"/>
      <c r="AW46" s="222"/>
      <c r="AX46" s="222"/>
      <c r="AY46" s="222"/>
      <c r="AZ46" s="223"/>
      <c r="BA46" s="222"/>
      <c r="BB46" s="222"/>
      <c r="BC46" s="222"/>
      <c r="BD46" s="222"/>
      <c r="BE46" s="222"/>
      <c r="BF46" s="222"/>
      <c r="BG46" s="223"/>
      <c r="BH46" s="222"/>
      <c r="BI46" s="222"/>
      <c r="BJ46" s="224"/>
      <c r="BK46" s="222"/>
      <c r="BL46" s="222"/>
      <c r="BM46" s="222"/>
      <c r="BN46" s="222"/>
      <c r="BO46" s="222"/>
      <c r="BP46" s="222"/>
      <c r="BQ46" s="222"/>
      <c r="BR46" s="222"/>
      <c r="BS46" s="223"/>
      <c r="BT46" s="222"/>
      <c r="BU46" s="222"/>
      <c r="BV46" s="223"/>
      <c r="BW46" s="223">
        <f>BW52</f>
        <v>14</v>
      </c>
      <c r="BX46" s="223">
        <f>SUM(BX47:BX52)</f>
        <v>2091</v>
      </c>
    </row>
    <row r="47" spans="1:76" ht="11.25" customHeight="1" x14ac:dyDescent="0.25">
      <c r="A47" s="225"/>
      <c r="B47" s="220"/>
      <c r="C47" s="219" t="s">
        <v>142</v>
      </c>
      <c r="D47" s="220" t="s">
        <v>328</v>
      </c>
      <c r="E47" s="220"/>
      <c r="F47" s="221" t="s">
        <v>329</v>
      </c>
      <c r="G47" s="221"/>
      <c r="H47" s="222"/>
      <c r="I47" s="223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3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3"/>
      <c r="AU47" s="222"/>
      <c r="AV47" s="222"/>
      <c r="AW47" s="222"/>
      <c r="AX47" s="222"/>
      <c r="AY47" s="222"/>
      <c r="AZ47" s="223"/>
      <c r="BA47" s="222"/>
      <c r="BB47" s="222"/>
      <c r="BC47" s="222"/>
      <c r="BD47" s="222"/>
      <c r="BE47" s="222"/>
      <c r="BF47" s="222"/>
      <c r="BG47" s="223"/>
      <c r="BH47" s="222"/>
      <c r="BI47" s="222"/>
      <c r="BJ47" s="224"/>
      <c r="BK47" s="222"/>
      <c r="BL47" s="222"/>
      <c r="BM47" s="222"/>
      <c r="BN47" s="222"/>
      <c r="BO47" s="222"/>
      <c r="BP47" s="222"/>
      <c r="BQ47" s="222"/>
      <c r="BR47" s="222"/>
      <c r="BS47" s="223"/>
      <c r="BT47" s="222"/>
      <c r="BU47" s="222"/>
      <c r="BV47" s="223"/>
      <c r="BW47" s="223"/>
      <c r="BX47" s="223"/>
    </row>
    <row r="48" spans="1:76" ht="11.25" customHeight="1" x14ac:dyDescent="0.25">
      <c r="A48" s="225"/>
      <c r="B48" s="220"/>
      <c r="C48" s="219" t="s">
        <v>142</v>
      </c>
      <c r="D48" s="220" t="s">
        <v>330</v>
      </c>
      <c r="E48" s="220"/>
      <c r="F48" s="221" t="s">
        <v>331</v>
      </c>
      <c r="G48" s="221"/>
      <c r="H48" s="222"/>
      <c r="I48" s="223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3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3"/>
      <c r="AU48" s="222"/>
      <c r="AV48" s="222"/>
      <c r="AW48" s="222"/>
      <c r="AX48" s="222"/>
      <c r="AY48" s="222"/>
      <c r="AZ48" s="223"/>
      <c r="BA48" s="222"/>
      <c r="BB48" s="222"/>
      <c r="BC48" s="222"/>
      <c r="BD48" s="222"/>
      <c r="BE48" s="222"/>
      <c r="BF48" s="222"/>
      <c r="BG48" s="223"/>
      <c r="BH48" s="222"/>
      <c r="BI48" s="222"/>
      <c r="BJ48" s="224"/>
      <c r="BK48" s="222"/>
      <c r="BL48" s="222"/>
      <c r="BM48" s="222"/>
      <c r="BN48" s="222"/>
      <c r="BO48" s="222"/>
      <c r="BP48" s="222"/>
      <c r="BQ48" s="222"/>
      <c r="BR48" s="222"/>
      <c r="BS48" s="223"/>
      <c r="BT48" s="222"/>
      <c r="BU48" s="222"/>
      <c r="BV48" s="223"/>
      <c r="BW48" s="223"/>
      <c r="BX48" s="223">
        <f>1331-BX49</f>
        <v>1175.93</v>
      </c>
    </row>
    <row r="49" spans="1:76" ht="11.25" customHeight="1" x14ac:dyDescent="0.25">
      <c r="A49" s="225"/>
      <c r="B49" s="220"/>
      <c r="C49" s="219" t="s">
        <v>142</v>
      </c>
      <c r="D49" s="220" t="s">
        <v>332</v>
      </c>
      <c r="E49" s="220"/>
      <c r="F49" s="221" t="s">
        <v>333</v>
      </c>
      <c r="G49" s="221"/>
      <c r="H49" s="222"/>
      <c r="I49" s="223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3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3"/>
      <c r="AU49" s="222"/>
      <c r="AV49" s="222"/>
      <c r="AW49" s="222"/>
      <c r="AX49" s="222"/>
      <c r="AY49" s="222"/>
      <c r="AZ49" s="248">
        <f>SUM(BA49:BF49)</f>
        <v>155.07</v>
      </c>
      <c r="BA49" s="249">
        <v>150</v>
      </c>
      <c r="BB49" s="249">
        <v>1.89</v>
      </c>
      <c r="BC49" s="249"/>
      <c r="BD49" s="249"/>
      <c r="BE49" s="249">
        <v>3.18</v>
      </c>
      <c r="BF49" s="222"/>
      <c r="BG49" s="223"/>
      <c r="BH49" s="222"/>
      <c r="BI49" s="222"/>
      <c r="BJ49" s="224"/>
      <c r="BK49" s="222"/>
      <c r="BL49" s="222"/>
      <c r="BM49" s="222"/>
      <c r="BN49" s="222"/>
      <c r="BO49" s="222"/>
      <c r="BP49" s="222"/>
      <c r="BQ49" s="222"/>
      <c r="BR49" s="222"/>
      <c r="BS49" s="223"/>
      <c r="BT49" s="222"/>
      <c r="BU49" s="222"/>
      <c r="BV49" s="223"/>
      <c r="BW49" s="223"/>
      <c r="BX49" s="223">
        <f>AZ49</f>
        <v>155.07</v>
      </c>
    </row>
    <row r="50" spans="1:76" ht="11.25" customHeight="1" x14ac:dyDescent="0.25">
      <c r="A50" s="225"/>
      <c r="B50" s="220"/>
      <c r="C50" s="219" t="s">
        <v>142</v>
      </c>
      <c r="D50" s="220" t="s">
        <v>334</v>
      </c>
      <c r="E50" s="220"/>
      <c r="F50" s="221" t="s">
        <v>335</v>
      </c>
      <c r="G50" s="221"/>
      <c r="H50" s="222"/>
      <c r="I50" s="223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3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3"/>
      <c r="AU50" s="222"/>
      <c r="AV50" s="222"/>
      <c r="AW50" s="222"/>
      <c r="AX50" s="222"/>
      <c r="AY50" s="222"/>
      <c r="AZ50" s="223"/>
      <c r="BA50" s="222"/>
      <c r="BB50" s="222"/>
      <c r="BC50" s="222"/>
      <c r="BD50" s="222"/>
      <c r="BE50" s="222"/>
      <c r="BF50" s="222"/>
      <c r="BG50" s="223"/>
      <c r="BH50" s="222"/>
      <c r="BI50" s="222"/>
      <c r="BJ50" s="224"/>
      <c r="BK50" s="222"/>
      <c r="BL50" s="222"/>
      <c r="BM50" s="222"/>
      <c r="BN50" s="222"/>
      <c r="BO50" s="222"/>
      <c r="BP50" s="222"/>
      <c r="BQ50" s="222"/>
      <c r="BR50" s="222"/>
      <c r="BS50" s="223"/>
      <c r="BT50" s="222"/>
      <c r="BU50" s="222"/>
      <c r="BV50" s="223"/>
      <c r="BW50" s="223"/>
      <c r="BX50" s="223"/>
    </row>
    <row r="51" spans="1:76" ht="11.25" customHeight="1" x14ac:dyDescent="0.25">
      <c r="A51" s="225"/>
      <c r="B51" s="220"/>
      <c r="C51" s="219" t="s">
        <v>142</v>
      </c>
      <c r="D51" s="220" t="s">
        <v>336</v>
      </c>
      <c r="E51" s="220"/>
      <c r="F51" s="221" t="s">
        <v>337</v>
      </c>
      <c r="G51" s="221"/>
      <c r="H51" s="222"/>
      <c r="I51" s="223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3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3"/>
      <c r="AU51" s="222"/>
      <c r="AV51" s="222"/>
      <c r="AW51" s="222"/>
      <c r="AX51" s="222"/>
      <c r="AY51" s="222"/>
      <c r="AZ51" s="223"/>
      <c r="BA51" s="222"/>
      <c r="BB51" s="222"/>
      <c r="BC51" s="222"/>
      <c r="BD51" s="222"/>
      <c r="BE51" s="222"/>
      <c r="BF51" s="222"/>
      <c r="BG51" s="223"/>
      <c r="BH51" s="222"/>
      <c r="BI51" s="222"/>
      <c r="BJ51" s="224"/>
      <c r="BK51" s="222"/>
      <c r="BL51" s="222"/>
      <c r="BM51" s="222"/>
      <c r="BN51" s="222"/>
      <c r="BO51" s="222"/>
      <c r="BP51" s="222"/>
      <c r="BQ51" s="222"/>
      <c r="BR51" s="222"/>
      <c r="BS51" s="223"/>
      <c r="BT51" s="222"/>
      <c r="BU51" s="222"/>
      <c r="BV51" s="223"/>
      <c r="BW51" s="223"/>
      <c r="BX51" s="223"/>
    </row>
    <row r="52" spans="1:76" ht="11.25" customHeight="1" x14ac:dyDescent="0.25">
      <c r="A52" s="225"/>
      <c r="B52" s="220"/>
      <c r="C52" s="219" t="s">
        <v>142</v>
      </c>
      <c r="D52" s="220" t="s">
        <v>338</v>
      </c>
      <c r="E52" s="220"/>
      <c r="F52" s="221" t="s">
        <v>339</v>
      </c>
      <c r="G52" s="221"/>
      <c r="H52" s="222"/>
      <c r="I52" s="223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3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3"/>
      <c r="AU52" s="222"/>
      <c r="AV52" s="222"/>
      <c r="AW52" s="222"/>
      <c r="AX52" s="222"/>
      <c r="AY52" s="222"/>
      <c r="AZ52" s="223"/>
      <c r="BA52" s="222"/>
      <c r="BB52" s="222"/>
      <c r="BC52" s="222"/>
      <c r="BD52" s="222"/>
      <c r="BE52" s="222"/>
      <c r="BF52" s="222"/>
      <c r="BG52" s="223"/>
      <c r="BH52" s="222"/>
      <c r="BI52" s="222"/>
      <c r="BJ52" s="224"/>
      <c r="BK52" s="222"/>
      <c r="BL52" s="222"/>
      <c r="BM52" s="222"/>
      <c r="BN52" s="222"/>
      <c r="BO52" s="222"/>
      <c r="BP52" s="222"/>
      <c r="BQ52" s="222"/>
      <c r="BR52" s="222"/>
      <c r="BS52" s="223"/>
      <c r="BT52" s="222"/>
      <c r="BU52" s="222"/>
      <c r="BV52" s="223"/>
      <c r="BW52" s="223">
        <v>14</v>
      </c>
      <c r="BX52" s="223">
        <v>760</v>
      </c>
    </row>
    <row r="53" spans="1:76" ht="11.25" customHeight="1" x14ac:dyDescent="0.25">
      <c r="A53" s="225"/>
      <c r="B53" s="220"/>
      <c r="C53" s="219" t="s">
        <v>142</v>
      </c>
      <c r="D53" s="220" t="s">
        <v>340</v>
      </c>
      <c r="E53" s="220"/>
      <c r="F53" s="221" t="s">
        <v>341</v>
      </c>
      <c r="G53" s="221"/>
      <c r="H53" s="222"/>
      <c r="I53" s="223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3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3"/>
      <c r="AU53" s="222"/>
      <c r="AV53" s="222"/>
      <c r="AW53" s="222"/>
      <c r="AX53" s="222"/>
      <c r="AY53" s="222"/>
      <c r="AZ53" s="223"/>
      <c r="BA53" s="222"/>
      <c r="BB53" s="222"/>
      <c r="BC53" s="222"/>
      <c r="BD53" s="222"/>
      <c r="BE53" s="222"/>
      <c r="BF53" s="222"/>
      <c r="BG53" s="223"/>
      <c r="BH53" s="222"/>
      <c r="BI53" s="222"/>
      <c r="BJ53" s="224"/>
      <c r="BK53" s="222"/>
      <c r="BL53" s="222"/>
      <c r="BM53" s="222"/>
      <c r="BN53" s="222"/>
      <c r="BO53" s="222"/>
      <c r="BP53" s="222"/>
      <c r="BQ53" s="222"/>
      <c r="BR53" s="222"/>
      <c r="BS53" s="223"/>
      <c r="BT53" s="222"/>
      <c r="BU53" s="222"/>
      <c r="BV53" s="223"/>
      <c r="BW53" s="223"/>
      <c r="BX53" s="223"/>
    </row>
    <row r="54" spans="1:76" ht="11.25" customHeight="1" x14ac:dyDescent="0.25">
      <c r="A54" s="225"/>
      <c r="B54" s="220"/>
      <c r="C54" s="219" t="s">
        <v>142</v>
      </c>
      <c r="D54" s="220" t="s">
        <v>342</v>
      </c>
      <c r="E54" s="220"/>
      <c r="F54" s="221" t="s">
        <v>343</v>
      </c>
      <c r="G54" s="221"/>
      <c r="H54" s="222"/>
      <c r="I54" s="223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3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3"/>
      <c r="AU54" s="222"/>
      <c r="AV54" s="222"/>
      <c r="AW54" s="222"/>
      <c r="AX54" s="222"/>
      <c r="AY54" s="222"/>
      <c r="AZ54" s="223"/>
      <c r="BA54" s="222"/>
      <c r="BB54" s="222"/>
      <c r="BC54" s="222"/>
      <c r="BD54" s="222"/>
      <c r="BE54" s="222"/>
      <c r="BF54" s="222"/>
      <c r="BG54" s="223"/>
      <c r="BH54" s="222"/>
      <c r="BI54" s="222"/>
      <c r="BJ54" s="224"/>
      <c r="BK54" s="222"/>
      <c r="BL54" s="222"/>
      <c r="BM54" s="222"/>
      <c r="BN54" s="222"/>
      <c r="BO54" s="222"/>
      <c r="BP54" s="222"/>
      <c r="BQ54" s="222"/>
      <c r="BR54" s="222"/>
      <c r="BS54" s="223"/>
      <c r="BT54" s="222"/>
      <c r="BU54" s="222"/>
      <c r="BV54" s="223"/>
      <c r="BW54" s="223"/>
      <c r="BX54" s="223"/>
    </row>
    <row r="55" spans="1:76" ht="11.25" customHeight="1" x14ac:dyDescent="0.25">
      <c r="A55" s="225"/>
      <c r="B55" s="220"/>
      <c r="C55" s="219" t="s">
        <v>142</v>
      </c>
      <c r="D55" s="220" t="s">
        <v>344</v>
      </c>
      <c r="E55" s="220"/>
      <c r="F55" s="221" t="s">
        <v>345</v>
      </c>
      <c r="G55" s="221"/>
      <c r="H55" s="222"/>
      <c r="I55" s="223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3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3"/>
      <c r="AU55" s="222"/>
      <c r="AV55" s="222"/>
      <c r="AW55" s="222"/>
      <c r="AX55" s="222"/>
      <c r="AY55" s="222"/>
      <c r="AZ55" s="223"/>
      <c r="BA55" s="222"/>
      <c r="BB55" s="222"/>
      <c r="BC55" s="222"/>
      <c r="BD55" s="222"/>
      <c r="BE55" s="222"/>
      <c r="BF55" s="222"/>
      <c r="BG55" s="223"/>
      <c r="BH55" s="222"/>
      <c r="BI55" s="222"/>
      <c r="BJ55" s="224"/>
      <c r="BK55" s="222"/>
      <c r="BL55" s="222"/>
      <c r="BM55" s="222"/>
      <c r="BN55" s="222"/>
      <c r="BO55" s="222"/>
      <c r="BP55" s="222"/>
      <c r="BQ55" s="222"/>
      <c r="BR55" s="222"/>
      <c r="BS55" s="223"/>
      <c r="BT55" s="222"/>
      <c r="BU55" s="222"/>
      <c r="BV55" s="223"/>
      <c r="BW55" s="223"/>
      <c r="BX55" s="223"/>
    </row>
    <row r="56" spans="1:76" ht="11.25" customHeight="1" x14ac:dyDescent="0.25">
      <c r="A56" s="225"/>
      <c r="B56" s="220"/>
      <c r="C56" s="219" t="s">
        <v>142</v>
      </c>
      <c r="D56" s="220" t="s">
        <v>346</v>
      </c>
      <c r="E56" s="220"/>
      <c r="F56" s="221" t="s">
        <v>347</v>
      </c>
      <c r="G56" s="221"/>
      <c r="H56" s="222"/>
      <c r="I56" s="223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3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3"/>
      <c r="AU56" s="222"/>
      <c r="AV56" s="222"/>
      <c r="AW56" s="222"/>
      <c r="AX56" s="222"/>
      <c r="AY56" s="222"/>
      <c r="AZ56" s="223"/>
      <c r="BA56" s="222"/>
      <c r="BB56" s="222"/>
      <c r="BC56" s="222"/>
      <c r="BD56" s="222"/>
      <c r="BE56" s="222"/>
      <c r="BF56" s="222"/>
      <c r="BG56" s="223"/>
      <c r="BH56" s="222"/>
      <c r="BI56" s="222"/>
      <c r="BJ56" s="224"/>
      <c r="BK56" s="222"/>
      <c r="BL56" s="222"/>
      <c r="BM56" s="222"/>
      <c r="BN56" s="222"/>
      <c r="BO56" s="222"/>
      <c r="BP56" s="222"/>
      <c r="BQ56" s="222"/>
      <c r="BR56" s="222"/>
      <c r="BS56" s="223"/>
      <c r="BT56" s="222"/>
      <c r="BU56" s="222"/>
      <c r="BV56" s="223"/>
      <c r="BW56" s="223"/>
      <c r="BX56" s="223"/>
    </row>
    <row r="57" spans="1:76" ht="11.25" customHeight="1" x14ac:dyDescent="0.25">
      <c r="A57" s="225"/>
      <c r="B57" s="220"/>
      <c r="C57" s="219" t="s">
        <v>142</v>
      </c>
      <c r="D57" s="220" t="s">
        <v>348</v>
      </c>
      <c r="E57" s="220"/>
      <c r="F57" s="221" t="s">
        <v>349</v>
      </c>
      <c r="G57" s="221"/>
      <c r="H57" s="222"/>
      <c r="I57" s="223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3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3"/>
      <c r="AU57" s="222"/>
      <c r="AV57" s="222"/>
      <c r="AW57" s="222"/>
      <c r="AX57" s="222"/>
      <c r="AY57" s="222"/>
      <c r="AZ57" s="223"/>
      <c r="BA57" s="222"/>
      <c r="BB57" s="222"/>
      <c r="BC57" s="222"/>
      <c r="BD57" s="222"/>
      <c r="BE57" s="222"/>
      <c r="BF57" s="222"/>
      <c r="BG57" s="223"/>
      <c r="BH57" s="222"/>
      <c r="BI57" s="222"/>
      <c r="BJ57" s="224"/>
      <c r="BK57" s="222"/>
      <c r="BL57" s="222"/>
      <c r="BM57" s="222"/>
      <c r="BN57" s="222"/>
      <c r="BO57" s="222"/>
      <c r="BP57" s="222"/>
      <c r="BQ57" s="222"/>
      <c r="BR57" s="222"/>
      <c r="BS57" s="223"/>
      <c r="BT57" s="222"/>
      <c r="BU57" s="222"/>
      <c r="BV57" s="223"/>
      <c r="BW57" s="223"/>
      <c r="BX57" s="223"/>
    </row>
    <row r="58" spans="1:76" ht="11.25" customHeight="1" x14ac:dyDescent="0.25">
      <c r="A58" s="225"/>
      <c r="B58" s="220"/>
      <c r="C58" s="219" t="s">
        <v>142</v>
      </c>
      <c r="D58" s="220" t="s">
        <v>350</v>
      </c>
      <c r="E58" s="220"/>
      <c r="F58" s="221" t="s">
        <v>351</v>
      </c>
      <c r="G58" s="221"/>
      <c r="H58" s="222"/>
      <c r="I58" s="223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3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3"/>
      <c r="AU58" s="222"/>
      <c r="AV58" s="222"/>
      <c r="AW58" s="222"/>
      <c r="AX58" s="222"/>
      <c r="AY58" s="222"/>
      <c r="AZ58" s="223"/>
      <c r="BA58" s="222"/>
      <c r="BB58" s="222"/>
      <c r="BC58" s="222"/>
      <c r="BD58" s="222"/>
      <c r="BE58" s="222"/>
      <c r="BF58" s="222"/>
      <c r="BG58" s="223"/>
      <c r="BH58" s="222"/>
      <c r="BI58" s="222"/>
      <c r="BJ58" s="224"/>
      <c r="BK58" s="222"/>
      <c r="BL58" s="222"/>
      <c r="BM58" s="222"/>
      <c r="BN58" s="222"/>
      <c r="BO58" s="222"/>
      <c r="BP58" s="222"/>
      <c r="BQ58" s="222"/>
      <c r="BR58" s="222"/>
      <c r="BS58" s="223"/>
      <c r="BT58" s="222"/>
      <c r="BU58" s="222"/>
      <c r="BV58" s="223"/>
      <c r="BW58" s="223"/>
      <c r="BX58" s="223"/>
    </row>
    <row r="59" spans="1:76" ht="11.25" customHeight="1" x14ac:dyDescent="0.25">
      <c r="A59" s="225"/>
      <c r="B59" s="220"/>
      <c r="C59" s="219" t="s">
        <v>142</v>
      </c>
      <c r="D59" s="220" t="s">
        <v>352</v>
      </c>
      <c r="E59" s="220"/>
      <c r="F59" s="221" t="s">
        <v>353</v>
      </c>
      <c r="G59" s="221"/>
      <c r="H59" s="222"/>
      <c r="I59" s="223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3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3"/>
      <c r="AU59" s="222"/>
      <c r="AV59" s="222"/>
      <c r="AW59" s="222"/>
      <c r="AX59" s="222"/>
      <c r="AY59" s="222"/>
      <c r="AZ59" s="223"/>
      <c r="BA59" s="222"/>
      <c r="BB59" s="222"/>
      <c r="BC59" s="222"/>
      <c r="BD59" s="222"/>
      <c r="BE59" s="222"/>
      <c r="BF59" s="222"/>
      <c r="BG59" s="223"/>
      <c r="BH59" s="222"/>
      <c r="BI59" s="222"/>
      <c r="BJ59" s="224"/>
      <c r="BK59" s="222"/>
      <c r="BL59" s="222"/>
      <c r="BM59" s="222"/>
      <c r="BN59" s="222"/>
      <c r="BO59" s="222"/>
      <c r="BP59" s="222"/>
      <c r="BQ59" s="222"/>
      <c r="BR59" s="222"/>
      <c r="BS59" s="223"/>
      <c r="BT59" s="222"/>
      <c r="BU59" s="222"/>
      <c r="BV59" s="223"/>
      <c r="BW59" s="223"/>
      <c r="BX59" s="223"/>
    </row>
    <row r="60" spans="1:76" ht="11.25" customHeight="1" x14ac:dyDescent="0.25">
      <c r="A60" s="225"/>
      <c r="B60" s="220"/>
      <c r="C60" s="219" t="s">
        <v>142</v>
      </c>
      <c r="D60" s="220" t="s">
        <v>354</v>
      </c>
      <c r="E60" s="220"/>
      <c r="F60" s="221" t="s">
        <v>355</v>
      </c>
      <c r="G60" s="221"/>
      <c r="H60" s="222"/>
      <c r="I60" s="223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3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3"/>
      <c r="AU60" s="222"/>
      <c r="AV60" s="222"/>
      <c r="AW60" s="222"/>
      <c r="AX60" s="222"/>
      <c r="AY60" s="222"/>
      <c r="AZ60" s="223"/>
      <c r="BA60" s="222"/>
      <c r="BB60" s="222"/>
      <c r="BC60" s="222"/>
      <c r="BD60" s="222"/>
      <c r="BE60" s="222"/>
      <c r="BF60" s="222"/>
      <c r="BG60" s="223"/>
      <c r="BH60" s="222"/>
      <c r="BI60" s="222"/>
      <c r="BJ60" s="224"/>
      <c r="BK60" s="222"/>
      <c r="BL60" s="222"/>
      <c r="BM60" s="222"/>
      <c r="BN60" s="222"/>
      <c r="BO60" s="222"/>
      <c r="BP60" s="222"/>
      <c r="BQ60" s="222"/>
      <c r="BR60" s="222"/>
      <c r="BS60" s="223"/>
      <c r="BT60" s="222"/>
      <c r="BU60" s="222"/>
      <c r="BV60" s="223"/>
      <c r="BW60" s="223"/>
      <c r="BX60" s="223"/>
    </row>
    <row r="61" spans="1:76" ht="11.25" customHeight="1" x14ac:dyDescent="0.25">
      <c r="A61" s="225"/>
      <c r="B61" s="219" t="s">
        <v>142</v>
      </c>
      <c r="C61" s="220" t="s">
        <v>282</v>
      </c>
      <c r="D61" s="220"/>
      <c r="E61" s="220"/>
      <c r="F61" s="221" t="s">
        <v>356</v>
      </c>
      <c r="G61" s="221"/>
      <c r="H61" s="222"/>
      <c r="I61" s="223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3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3"/>
      <c r="AU61" s="222"/>
      <c r="AV61" s="222"/>
      <c r="AW61" s="222"/>
      <c r="AX61" s="222"/>
      <c r="AY61" s="222"/>
      <c r="AZ61" s="223"/>
      <c r="BA61" s="222"/>
      <c r="BB61" s="222"/>
      <c r="BC61" s="222"/>
      <c r="BD61" s="222"/>
      <c r="BE61" s="222"/>
      <c r="BF61" s="222"/>
      <c r="BG61" s="223"/>
      <c r="BH61" s="222"/>
      <c r="BI61" s="222"/>
      <c r="BJ61" s="224"/>
      <c r="BK61" s="222"/>
      <c r="BL61" s="222"/>
      <c r="BM61" s="222"/>
      <c r="BN61" s="222"/>
      <c r="BO61" s="222"/>
      <c r="BP61" s="222"/>
      <c r="BQ61" s="222"/>
      <c r="BR61" s="222"/>
      <c r="BS61" s="223"/>
      <c r="BT61" s="222"/>
      <c r="BU61" s="222"/>
      <c r="BV61" s="223"/>
      <c r="BW61" s="223"/>
      <c r="BX61" s="223"/>
    </row>
    <row r="62" spans="1:76" ht="11.25" customHeight="1" x14ac:dyDescent="0.25">
      <c r="A62" s="225"/>
      <c r="B62" s="220"/>
      <c r="C62" s="219" t="s">
        <v>142</v>
      </c>
      <c r="D62" s="220" t="s">
        <v>357</v>
      </c>
      <c r="E62" s="220"/>
      <c r="F62" s="221" t="s">
        <v>358</v>
      </c>
      <c r="G62" s="221"/>
      <c r="H62" s="222"/>
      <c r="I62" s="223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3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3"/>
      <c r="AU62" s="222"/>
      <c r="AV62" s="222"/>
      <c r="AW62" s="222"/>
      <c r="AX62" s="222"/>
      <c r="AY62" s="222"/>
      <c r="AZ62" s="223"/>
      <c r="BA62" s="222"/>
      <c r="BB62" s="222"/>
      <c r="BC62" s="222"/>
      <c r="BD62" s="222"/>
      <c r="BE62" s="222"/>
      <c r="BF62" s="222"/>
      <c r="BG62" s="223"/>
      <c r="BH62" s="222"/>
      <c r="BI62" s="222"/>
      <c r="BJ62" s="224"/>
      <c r="BK62" s="222"/>
      <c r="BL62" s="222"/>
      <c r="BM62" s="222"/>
      <c r="BN62" s="222"/>
      <c r="BO62" s="222"/>
      <c r="BP62" s="222"/>
      <c r="BQ62" s="222"/>
      <c r="BR62" s="222"/>
      <c r="BS62" s="223"/>
      <c r="BT62" s="222"/>
      <c r="BU62" s="222"/>
      <c r="BV62" s="223"/>
      <c r="BW62" s="223"/>
      <c r="BX62" s="223"/>
    </row>
    <row r="63" spans="1:76" ht="11.25" customHeight="1" x14ac:dyDescent="0.25">
      <c r="A63" s="225"/>
      <c r="B63" s="220"/>
      <c r="C63" s="219" t="s">
        <v>142</v>
      </c>
      <c r="D63" s="220" t="s">
        <v>359</v>
      </c>
      <c r="E63" s="220"/>
      <c r="F63" s="221" t="s">
        <v>360</v>
      </c>
      <c r="G63" s="221"/>
      <c r="H63" s="222"/>
      <c r="I63" s="223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3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3"/>
      <c r="AU63" s="222"/>
      <c r="AV63" s="222"/>
      <c r="AW63" s="222"/>
      <c r="AX63" s="222"/>
      <c r="AY63" s="222"/>
      <c r="AZ63" s="223"/>
      <c r="BA63" s="222"/>
      <c r="BB63" s="222"/>
      <c r="BC63" s="222"/>
      <c r="BD63" s="222"/>
      <c r="BE63" s="222"/>
      <c r="BF63" s="222"/>
      <c r="BG63" s="223"/>
      <c r="BH63" s="222"/>
      <c r="BI63" s="222"/>
      <c r="BJ63" s="224"/>
      <c r="BK63" s="222"/>
      <c r="BL63" s="222"/>
      <c r="BM63" s="222"/>
      <c r="BN63" s="222"/>
      <c r="BO63" s="222"/>
      <c r="BP63" s="222"/>
      <c r="BQ63" s="222"/>
      <c r="BR63" s="222"/>
      <c r="BS63" s="223"/>
      <c r="BT63" s="222"/>
      <c r="BU63" s="222"/>
      <c r="BV63" s="223"/>
      <c r="BW63" s="223"/>
      <c r="BX63" s="223"/>
    </row>
    <row r="64" spans="1:76" ht="11.25" customHeight="1" x14ac:dyDescent="0.25">
      <c r="A64" s="225"/>
      <c r="B64" s="220"/>
      <c r="C64" s="219" t="s">
        <v>142</v>
      </c>
      <c r="D64" s="220" t="s">
        <v>361</v>
      </c>
      <c r="E64" s="220"/>
      <c r="F64" s="221" t="s">
        <v>362</v>
      </c>
      <c r="G64" s="221"/>
      <c r="H64" s="222"/>
      <c r="I64" s="223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3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3"/>
      <c r="AU64" s="222"/>
      <c r="AV64" s="222"/>
      <c r="AW64" s="222"/>
      <c r="AX64" s="222"/>
      <c r="AY64" s="222"/>
      <c r="AZ64" s="223"/>
      <c r="BA64" s="222"/>
      <c r="BB64" s="222"/>
      <c r="BC64" s="222"/>
      <c r="BD64" s="222"/>
      <c r="BE64" s="222"/>
      <c r="BF64" s="222"/>
      <c r="BG64" s="223"/>
      <c r="BH64" s="222"/>
      <c r="BI64" s="222"/>
      <c r="BJ64" s="224"/>
      <c r="BK64" s="222"/>
      <c r="BL64" s="222"/>
      <c r="BM64" s="222"/>
      <c r="BN64" s="222"/>
      <c r="BO64" s="222"/>
      <c r="BP64" s="222"/>
      <c r="BQ64" s="222"/>
      <c r="BR64" s="222"/>
      <c r="BS64" s="223"/>
      <c r="BT64" s="222"/>
      <c r="BU64" s="222"/>
      <c r="BV64" s="223"/>
      <c r="BW64" s="223"/>
      <c r="BX64" s="223"/>
    </row>
    <row r="65" spans="1:76" ht="11.25" customHeight="1" x14ac:dyDescent="0.25">
      <c r="A65" s="225"/>
      <c r="B65" s="220"/>
      <c r="C65" s="219" t="s">
        <v>142</v>
      </c>
      <c r="D65" s="220" t="s">
        <v>363</v>
      </c>
      <c r="E65" s="220"/>
      <c r="F65" s="221" t="s">
        <v>364</v>
      </c>
      <c r="G65" s="221"/>
      <c r="H65" s="222"/>
      <c r="I65" s="223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3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3"/>
      <c r="AU65" s="222"/>
      <c r="AV65" s="222"/>
      <c r="AW65" s="222"/>
      <c r="AX65" s="222"/>
      <c r="AY65" s="222"/>
      <c r="AZ65" s="223"/>
      <c r="BA65" s="222"/>
      <c r="BB65" s="222"/>
      <c r="BC65" s="222"/>
      <c r="BD65" s="222"/>
      <c r="BE65" s="222"/>
      <c r="BF65" s="222"/>
      <c r="BG65" s="223"/>
      <c r="BH65" s="222"/>
      <c r="BI65" s="222"/>
      <c r="BJ65" s="224"/>
      <c r="BK65" s="222"/>
      <c r="BL65" s="222"/>
      <c r="BM65" s="222"/>
      <c r="BN65" s="222"/>
      <c r="BO65" s="222"/>
      <c r="BP65" s="222"/>
      <c r="BQ65" s="222"/>
      <c r="BR65" s="222"/>
      <c r="BS65" s="223"/>
      <c r="BT65" s="222"/>
      <c r="BU65" s="222"/>
      <c r="BV65" s="223"/>
      <c r="BW65" s="223"/>
      <c r="BX65" s="223"/>
    </row>
    <row r="66" spans="1:76" ht="11.25" customHeight="1" x14ac:dyDescent="0.25">
      <c r="A66" s="225"/>
      <c r="B66" s="220"/>
      <c r="C66" s="219" t="s">
        <v>142</v>
      </c>
      <c r="D66" s="220" t="s">
        <v>365</v>
      </c>
      <c r="E66" s="220"/>
      <c r="F66" s="221" t="s">
        <v>366</v>
      </c>
      <c r="G66" s="221"/>
      <c r="H66" s="222"/>
      <c r="I66" s="223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3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3"/>
      <c r="AU66" s="222"/>
      <c r="AV66" s="222"/>
      <c r="AW66" s="222"/>
      <c r="AX66" s="222"/>
      <c r="AY66" s="222"/>
      <c r="AZ66" s="223"/>
      <c r="BA66" s="222"/>
      <c r="BB66" s="222"/>
      <c r="BC66" s="222"/>
      <c r="BD66" s="222"/>
      <c r="BE66" s="222"/>
      <c r="BF66" s="222"/>
      <c r="BG66" s="223"/>
      <c r="BH66" s="222"/>
      <c r="BI66" s="222"/>
      <c r="BJ66" s="224"/>
      <c r="BK66" s="222"/>
      <c r="BL66" s="222"/>
      <c r="BM66" s="222"/>
      <c r="BN66" s="222"/>
      <c r="BO66" s="222"/>
      <c r="BP66" s="222"/>
      <c r="BQ66" s="222"/>
      <c r="BR66" s="222"/>
      <c r="BS66" s="223"/>
      <c r="BT66" s="222"/>
      <c r="BU66" s="222"/>
      <c r="BV66" s="223"/>
      <c r="BW66" s="223"/>
      <c r="BX66" s="223"/>
    </row>
    <row r="67" spans="1:76" ht="11.25" customHeight="1" x14ac:dyDescent="0.25">
      <c r="A67" s="225"/>
      <c r="B67" s="220"/>
      <c r="C67" s="219" t="s">
        <v>142</v>
      </c>
      <c r="D67" s="220" t="s">
        <v>367</v>
      </c>
      <c r="E67" s="220"/>
      <c r="F67" s="221" t="s">
        <v>368</v>
      </c>
      <c r="G67" s="221"/>
      <c r="H67" s="222"/>
      <c r="I67" s="223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3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3"/>
      <c r="AU67" s="222"/>
      <c r="AV67" s="222"/>
      <c r="AW67" s="222"/>
      <c r="AX67" s="222"/>
      <c r="AY67" s="222"/>
      <c r="AZ67" s="223"/>
      <c r="BA67" s="222"/>
      <c r="BB67" s="222"/>
      <c r="BC67" s="222"/>
      <c r="BD67" s="222"/>
      <c r="BE67" s="222"/>
      <c r="BF67" s="222"/>
      <c r="BG67" s="223"/>
      <c r="BH67" s="222"/>
      <c r="BI67" s="222"/>
      <c r="BJ67" s="224"/>
      <c r="BK67" s="222"/>
      <c r="BL67" s="222"/>
      <c r="BM67" s="222"/>
      <c r="BN67" s="222"/>
      <c r="BO67" s="222"/>
      <c r="BP67" s="222"/>
      <c r="BQ67" s="222"/>
      <c r="BR67" s="222"/>
      <c r="BS67" s="223"/>
      <c r="BT67" s="222"/>
      <c r="BU67" s="222"/>
      <c r="BV67" s="223"/>
      <c r="BW67" s="223"/>
      <c r="BX67" s="223"/>
    </row>
    <row r="68" spans="1:76" ht="11.25" customHeight="1" x14ac:dyDescent="0.25">
      <c r="A68" s="225"/>
      <c r="B68" s="220"/>
      <c r="C68" s="219" t="s">
        <v>142</v>
      </c>
      <c r="D68" s="220" t="s">
        <v>369</v>
      </c>
      <c r="E68" s="220"/>
      <c r="F68" s="221" t="s">
        <v>370</v>
      </c>
      <c r="G68" s="221"/>
      <c r="H68" s="222"/>
      <c r="I68" s="223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3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3"/>
      <c r="AU68" s="222"/>
      <c r="AV68" s="222"/>
      <c r="AW68" s="222"/>
      <c r="AX68" s="222"/>
      <c r="AY68" s="222"/>
      <c r="AZ68" s="223"/>
      <c r="BA68" s="222"/>
      <c r="BB68" s="222"/>
      <c r="BC68" s="222"/>
      <c r="BD68" s="222"/>
      <c r="BE68" s="222"/>
      <c r="BF68" s="222"/>
      <c r="BG68" s="223"/>
      <c r="BH68" s="222"/>
      <c r="BI68" s="222"/>
      <c r="BJ68" s="224"/>
      <c r="BK68" s="222"/>
      <c r="BL68" s="222"/>
      <c r="BM68" s="222"/>
      <c r="BN68" s="222"/>
      <c r="BO68" s="222"/>
      <c r="BP68" s="222"/>
      <c r="BQ68" s="222"/>
      <c r="BR68" s="222"/>
      <c r="BS68" s="223"/>
      <c r="BT68" s="222"/>
      <c r="BU68" s="222"/>
      <c r="BV68" s="223"/>
      <c r="BW68" s="223"/>
      <c r="BX68" s="223"/>
    </row>
    <row r="69" spans="1:76" ht="11.25" customHeight="1" x14ac:dyDescent="0.25">
      <c r="A69" s="225"/>
      <c r="B69" s="220"/>
      <c r="C69" s="219" t="s">
        <v>142</v>
      </c>
      <c r="D69" s="220" t="s">
        <v>371</v>
      </c>
      <c r="E69" s="220"/>
      <c r="F69" s="221" t="s">
        <v>372</v>
      </c>
      <c r="G69" s="221"/>
      <c r="H69" s="222"/>
      <c r="I69" s="223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3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3"/>
      <c r="AU69" s="222"/>
      <c r="AV69" s="222"/>
      <c r="AW69" s="222"/>
      <c r="AX69" s="222"/>
      <c r="AY69" s="222"/>
      <c r="AZ69" s="223"/>
      <c r="BA69" s="222"/>
      <c r="BB69" s="222"/>
      <c r="BC69" s="222"/>
      <c r="BD69" s="222"/>
      <c r="BE69" s="222"/>
      <c r="BF69" s="222"/>
      <c r="BG69" s="223"/>
      <c r="BH69" s="222"/>
      <c r="BI69" s="222"/>
      <c r="BJ69" s="224"/>
      <c r="BK69" s="222"/>
      <c r="BL69" s="222"/>
      <c r="BM69" s="222"/>
      <c r="BN69" s="222"/>
      <c r="BO69" s="222"/>
      <c r="BP69" s="222"/>
      <c r="BQ69" s="222"/>
      <c r="BR69" s="222"/>
      <c r="BS69" s="223"/>
      <c r="BT69" s="222"/>
      <c r="BU69" s="222"/>
      <c r="BV69" s="223"/>
      <c r="BW69" s="223"/>
      <c r="BX69" s="223"/>
    </row>
    <row r="70" spans="1:76" ht="11.25" customHeight="1" x14ac:dyDescent="0.25">
      <c r="A70" s="225"/>
      <c r="B70" s="220"/>
      <c r="C70" s="219" t="s">
        <v>142</v>
      </c>
      <c r="D70" s="220" t="s">
        <v>373</v>
      </c>
      <c r="E70" s="220"/>
      <c r="F70" s="221" t="s">
        <v>374</v>
      </c>
      <c r="G70" s="221"/>
      <c r="H70" s="222"/>
      <c r="I70" s="223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3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3"/>
      <c r="AU70" s="222"/>
      <c r="AV70" s="222"/>
      <c r="AW70" s="222"/>
      <c r="AX70" s="222"/>
      <c r="AY70" s="222"/>
      <c r="AZ70" s="223"/>
      <c r="BA70" s="222"/>
      <c r="BB70" s="222"/>
      <c r="BC70" s="222"/>
      <c r="BD70" s="222"/>
      <c r="BE70" s="222"/>
      <c r="BF70" s="222"/>
      <c r="BG70" s="223"/>
      <c r="BH70" s="222"/>
      <c r="BI70" s="222"/>
      <c r="BJ70" s="224"/>
      <c r="BK70" s="222"/>
      <c r="BL70" s="222"/>
      <c r="BM70" s="222"/>
      <c r="BN70" s="222"/>
      <c r="BO70" s="222"/>
      <c r="BP70" s="222"/>
      <c r="BQ70" s="222"/>
      <c r="BR70" s="222"/>
      <c r="BS70" s="223"/>
      <c r="BT70" s="222"/>
      <c r="BU70" s="222"/>
      <c r="BV70" s="223"/>
      <c r="BW70" s="223"/>
      <c r="BX70" s="223"/>
    </row>
    <row r="71" spans="1:76" ht="11.25" customHeight="1" x14ac:dyDescent="0.25">
      <c r="A71" s="225"/>
      <c r="B71" s="220"/>
      <c r="C71" s="219" t="s">
        <v>142</v>
      </c>
      <c r="D71" s="220" t="s">
        <v>375</v>
      </c>
      <c r="E71" s="220"/>
      <c r="F71" s="221" t="s">
        <v>376</v>
      </c>
      <c r="G71" s="221"/>
      <c r="H71" s="222"/>
      <c r="I71" s="223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3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3"/>
      <c r="AU71" s="222"/>
      <c r="AV71" s="222"/>
      <c r="AW71" s="222"/>
      <c r="AX71" s="222"/>
      <c r="AY71" s="222"/>
      <c r="AZ71" s="223"/>
      <c r="BA71" s="222"/>
      <c r="BB71" s="222"/>
      <c r="BC71" s="222"/>
      <c r="BD71" s="222"/>
      <c r="BE71" s="222"/>
      <c r="BF71" s="222"/>
      <c r="BG71" s="223"/>
      <c r="BH71" s="222"/>
      <c r="BI71" s="222"/>
      <c r="BJ71" s="224"/>
      <c r="BK71" s="222"/>
      <c r="BL71" s="222"/>
      <c r="BM71" s="222"/>
      <c r="BN71" s="222"/>
      <c r="BO71" s="222"/>
      <c r="BP71" s="222"/>
      <c r="BQ71" s="222"/>
      <c r="BR71" s="222"/>
      <c r="BS71" s="223"/>
      <c r="BT71" s="222"/>
      <c r="BU71" s="222"/>
      <c r="BV71" s="223"/>
      <c r="BW71" s="223"/>
      <c r="BX71" s="223"/>
    </row>
    <row r="72" spans="1:76" ht="11.25" customHeight="1" x14ac:dyDescent="0.25">
      <c r="A72" s="225"/>
      <c r="B72" s="220"/>
      <c r="C72" s="219" t="s">
        <v>142</v>
      </c>
      <c r="D72" s="220" t="s">
        <v>377</v>
      </c>
      <c r="E72" s="220"/>
      <c r="F72" s="221" t="s">
        <v>378</v>
      </c>
      <c r="G72" s="221"/>
      <c r="H72" s="222"/>
      <c r="I72" s="223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3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3"/>
      <c r="AU72" s="222"/>
      <c r="AV72" s="222"/>
      <c r="AW72" s="222"/>
      <c r="AX72" s="222"/>
      <c r="AY72" s="222"/>
      <c r="AZ72" s="223"/>
      <c r="BA72" s="222"/>
      <c r="BB72" s="222"/>
      <c r="BC72" s="222"/>
      <c r="BD72" s="222"/>
      <c r="BE72" s="222"/>
      <c r="BF72" s="222"/>
      <c r="BG72" s="223"/>
      <c r="BH72" s="222"/>
      <c r="BI72" s="222"/>
      <c r="BJ72" s="224"/>
      <c r="BK72" s="222"/>
      <c r="BL72" s="222"/>
      <c r="BM72" s="222"/>
      <c r="BN72" s="222"/>
      <c r="BO72" s="222"/>
      <c r="BP72" s="222"/>
      <c r="BQ72" s="222"/>
      <c r="BR72" s="222"/>
      <c r="BS72" s="223"/>
      <c r="BT72" s="222"/>
      <c r="BU72" s="222"/>
      <c r="BV72" s="223"/>
      <c r="BW72" s="223"/>
      <c r="BX72" s="223"/>
    </row>
    <row r="73" spans="1:76" ht="11.25" customHeight="1" x14ac:dyDescent="0.25">
      <c r="A73" s="225"/>
      <c r="B73" s="220"/>
      <c r="C73" s="219" t="s">
        <v>142</v>
      </c>
      <c r="D73" s="220" t="s">
        <v>379</v>
      </c>
      <c r="E73" s="220"/>
      <c r="F73" s="221" t="s">
        <v>380</v>
      </c>
      <c r="G73" s="221"/>
      <c r="H73" s="222"/>
      <c r="I73" s="223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3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3"/>
      <c r="AU73" s="222"/>
      <c r="AV73" s="222"/>
      <c r="AW73" s="222"/>
      <c r="AX73" s="222"/>
      <c r="AY73" s="222"/>
      <c r="AZ73" s="223"/>
      <c r="BA73" s="222"/>
      <c r="BB73" s="222"/>
      <c r="BC73" s="222"/>
      <c r="BD73" s="222"/>
      <c r="BE73" s="222"/>
      <c r="BF73" s="222"/>
      <c r="BG73" s="223"/>
      <c r="BH73" s="222"/>
      <c r="BI73" s="222"/>
      <c r="BJ73" s="224"/>
      <c r="BK73" s="222"/>
      <c r="BL73" s="222"/>
      <c r="BM73" s="222"/>
      <c r="BN73" s="222"/>
      <c r="BO73" s="222"/>
      <c r="BP73" s="222"/>
      <c r="BQ73" s="222"/>
      <c r="BR73" s="222"/>
      <c r="BS73" s="223"/>
      <c r="BT73" s="222"/>
      <c r="BU73" s="222"/>
      <c r="BV73" s="223"/>
      <c r="BW73" s="223"/>
      <c r="BX73" s="223"/>
    </row>
    <row r="74" spans="1:76" ht="11.25" customHeight="1" x14ac:dyDescent="0.25">
      <c r="A74" s="225"/>
      <c r="B74" s="220"/>
      <c r="C74" s="219" t="s">
        <v>142</v>
      </c>
      <c r="D74" s="220" t="s">
        <v>381</v>
      </c>
      <c r="E74" s="220"/>
      <c r="F74" s="221" t="s">
        <v>382</v>
      </c>
      <c r="G74" s="221"/>
      <c r="H74" s="222"/>
      <c r="I74" s="223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3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3"/>
      <c r="AU74" s="222"/>
      <c r="AV74" s="222"/>
      <c r="AW74" s="222"/>
      <c r="AX74" s="222"/>
      <c r="AY74" s="222"/>
      <c r="AZ74" s="223"/>
      <c r="BA74" s="222"/>
      <c r="BB74" s="222"/>
      <c r="BC74" s="222"/>
      <c r="BD74" s="222"/>
      <c r="BE74" s="222"/>
      <c r="BF74" s="222"/>
      <c r="BG74" s="223"/>
      <c r="BH74" s="222"/>
      <c r="BI74" s="222"/>
      <c r="BJ74" s="224"/>
      <c r="BK74" s="222"/>
      <c r="BL74" s="222"/>
      <c r="BM74" s="222"/>
      <c r="BN74" s="222"/>
      <c r="BO74" s="222"/>
      <c r="BP74" s="222"/>
      <c r="BQ74" s="222"/>
      <c r="BR74" s="222"/>
      <c r="BS74" s="223"/>
      <c r="BT74" s="222"/>
      <c r="BU74" s="222"/>
      <c r="BV74" s="223"/>
      <c r="BW74" s="223"/>
      <c r="BX74" s="223"/>
    </row>
    <row r="75" spans="1:76" ht="11.25" customHeight="1" x14ac:dyDescent="0.25">
      <c r="A75" s="225"/>
      <c r="B75" s="220"/>
      <c r="C75" s="219" t="s">
        <v>142</v>
      </c>
      <c r="D75" s="220" t="s">
        <v>383</v>
      </c>
      <c r="E75" s="220"/>
      <c r="F75" s="221" t="s">
        <v>384</v>
      </c>
      <c r="G75" s="221"/>
      <c r="H75" s="222"/>
      <c r="I75" s="223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3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3"/>
      <c r="AU75" s="222"/>
      <c r="AV75" s="222"/>
      <c r="AW75" s="222"/>
      <c r="AX75" s="222"/>
      <c r="AY75" s="222"/>
      <c r="AZ75" s="223"/>
      <c r="BA75" s="222"/>
      <c r="BB75" s="222"/>
      <c r="BC75" s="222"/>
      <c r="BD75" s="222"/>
      <c r="BE75" s="222"/>
      <c r="BF75" s="222"/>
      <c r="BG75" s="223"/>
      <c r="BH75" s="222"/>
      <c r="BI75" s="222"/>
      <c r="BJ75" s="224"/>
      <c r="BK75" s="222"/>
      <c r="BL75" s="222"/>
      <c r="BM75" s="222"/>
      <c r="BN75" s="222"/>
      <c r="BO75" s="222"/>
      <c r="BP75" s="222"/>
      <c r="BQ75" s="222"/>
      <c r="BR75" s="222"/>
      <c r="BS75" s="223"/>
      <c r="BT75" s="222"/>
      <c r="BU75" s="222"/>
      <c r="BV75" s="223"/>
      <c r="BW75" s="223"/>
      <c r="BX75" s="223"/>
    </row>
    <row r="76" spans="1:76" ht="11.25" customHeight="1" x14ac:dyDescent="0.25">
      <c r="A76" s="225"/>
      <c r="B76" s="220"/>
      <c r="C76" s="219" t="s">
        <v>142</v>
      </c>
      <c r="D76" s="220" t="s">
        <v>385</v>
      </c>
      <c r="E76" s="220"/>
      <c r="F76" s="221" t="s">
        <v>386</v>
      </c>
      <c r="G76" s="221"/>
      <c r="H76" s="222"/>
      <c r="I76" s="223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3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3"/>
      <c r="AU76" s="222"/>
      <c r="AV76" s="222"/>
      <c r="AW76" s="222"/>
      <c r="AX76" s="222"/>
      <c r="AY76" s="222"/>
      <c r="AZ76" s="223"/>
      <c r="BA76" s="222"/>
      <c r="BB76" s="222"/>
      <c r="BC76" s="222"/>
      <c r="BD76" s="222"/>
      <c r="BE76" s="222"/>
      <c r="BF76" s="222"/>
      <c r="BG76" s="223"/>
      <c r="BH76" s="222"/>
      <c r="BI76" s="222"/>
      <c r="BJ76" s="224"/>
      <c r="BK76" s="222"/>
      <c r="BL76" s="222"/>
      <c r="BM76" s="222"/>
      <c r="BN76" s="222"/>
      <c r="BO76" s="222"/>
      <c r="BP76" s="222"/>
      <c r="BQ76" s="222"/>
      <c r="BR76" s="222"/>
      <c r="BS76" s="223"/>
      <c r="BT76" s="222"/>
      <c r="BU76" s="222"/>
      <c r="BV76" s="223"/>
      <c r="BW76" s="223"/>
      <c r="BX76" s="223"/>
    </row>
    <row r="77" spans="1:76" ht="11.25" customHeight="1" x14ac:dyDescent="0.25">
      <c r="A77" s="225"/>
      <c r="B77" s="220"/>
      <c r="C77" s="219" t="s">
        <v>142</v>
      </c>
      <c r="D77" s="220" t="s">
        <v>387</v>
      </c>
      <c r="E77" s="220"/>
      <c r="F77" s="221" t="s">
        <v>388</v>
      </c>
      <c r="G77" s="221"/>
      <c r="H77" s="222"/>
      <c r="I77" s="223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3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3"/>
      <c r="AU77" s="222"/>
      <c r="AV77" s="222"/>
      <c r="AW77" s="222"/>
      <c r="AX77" s="222"/>
      <c r="AY77" s="222"/>
      <c r="AZ77" s="223"/>
      <c r="BA77" s="222"/>
      <c r="BB77" s="222"/>
      <c r="BC77" s="222"/>
      <c r="BD77" s="222"/>
      <c r="BE77" s="222"/>
      <c r="BF77" s="222"/>
      <c r="BG77" s="223"/>
      <c r="BH77" s="222"/>
      <c r="BI77" s="222"/>
      <c r="BJ77" s="224"/>
      <c r="BK77" s="222"/>
      <c r="BL77" s="222"/>
      <c r="BM77" s="222"/>
      <c r="BN77" s="222"/>
      <c r="BO77" s="222"/>
      <c r="BP77" s="222"/>
      <c r="BQ77" s="222"/>
      <c r="BR77" s="222"/>
      <c r="BS77" s="223"/>
      <c r="BT77" s="222"/>
      <c r="BU77" s="222"/>
      <c r="BV77" s="223"/>
      <c r="BW77" s="223"/>
      <c r="BX77" s="223"/>
    </row>
    <row r="78" spans="1:76" ht="11.25" customHeight="1" x14ac:dyDescent="0.25">
      <c r="A78" s="225"/>
      <c r="B78" s="220"/>
      <c r="C78" s="219" t="s">
        <v>142</v>
      </c>
      <c r="D78" s="220" t="s">
        <v>389</v>
      </c>
      <c r="E78" s="220"/>
      <c r="F78" s="221" t="s">
        <v>390</v>
      </c>
      <c r="G78" s="221"/>
      <c r="H78" s="222"/>
      <c r="I78" s="223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3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3"/>
      <c r="AU78" s="222"/>
      <c r="AV78" s="222"/>
      <c r="AW78" s="222"/>
      <c r="AX78" s="222"/>
      <c r="AY78" s="222"/>
      <c r="AZ78" s="223"/>
      <c r="BA78" s="222"/>
      <c r="BB78" s="222"/>
      <c r="BC78" s="222"/>
      <c r="BD78" s="222"/>
      <c r="BE78" s="222"/>
      <c r="BF78" s="222"/>
      <c r="BG78" s="223"/>
      <c r="BH78" s="222"/>
      <c r="BI78" s="222"/>
      <c r="BJ78" s="224"/>
      <c r="BK78" s="222"/>
      <c r="BL78" s="222"/>
      <c r="BM78" s="222"/>
      <c r="BN78" s="222"/>
      <c r="BO78" s="222"/>
      <c r="BP78" s="222"/>
      <c r="BQ78" s="222"/>
      <c r="BR78" s="222"/>
      <c r="BS78" s="223"/>
      <c r="BT78" s="222"/>
      <c r="BU78" s="222"/>
      <c r="BV78" s="223"/>
      <c r="BW78" s="223"/>
      <c r="BX78" s="223"/>
    </row>
    <row r="79" spans="1:76" ht="11.25" customHeight="1" x14ac:dyDescent="0.25">
      <c r="A79" s="219" t="s">
        <v>142</v>
      </c>
      <c r="B79" s="220" t="s">
        <v>391</v>
      </c>
      <c r="C79" s="220"/>
      <c r="D79" s="220"/>
      <c r="E79" s="220"/>
      <c r="F79" s="221" t="s">
        <v>392</v>
      </c>
      <c r="G79" s="221"/>
      <c r="H79" s="222"/>
      <c r="I79" s="223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3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3"/>
      <c r="AU79" s="222"/>
      <c r="AV79" s="222"/>
      <c r="AW79" s="222"/>
      <c r="AX79" s="222"/>
      <c r="AY79" s="222"/>
      <c r="AZ79" s="223"/>
      <c r="BA79" s="222"/>
      <c r="BB79" s="222"/>
      <c r="BC79" s="222"/>
      <c r="BD79" s="222"/>
      <c r="BE79" s="222"/>
      <c r="BF79" s="222"/>
      <c r="BG79" s="223"/>
      <c r="BH79" s="222"/>
      <c r="BI79" s="222"/>
      <c r="BJ79" s="224"/>
      <c r="BK79" s="222"/>
      <c r="BL79" s="222"/>
      <c r="BM79" s="222"/>
      <c r="BN79" s="222"/>
      <c r="BO79" s="222"/>
      <c r="BP79" s="222"/>
      <c r="BQ79" s="222"/>
      <c r="BR79" s="222"/>
      <c r="BS79" s="223"/>
      <c r="BT79" s="222"/>
      <c r="BU79" s="222"/>
      <c r="BV79" s="223"/>
      <c r="BW79" s="223"/>
      <c r="BX79" s="223"/>
    </row>
    <row r="80" spans="1:76" ht="11.25" customHeight="1" x14ac:dyDescent="0.25">
      <c r="A80" s="219"/>
      <c r="B80" s="219" t="s">
        <v>142</v>
      </c>
      <c r="C80" s="220" t="s">
        <v>393</v>
      </c>
      <c r="D80" s="220"/>
      <c r="E80" s="220"/>
      <c r="F80" s="221" t="s">
        <v>394</v>
      </c>
      <c r="G80" s="221"/>
      <c r="H80" s="222"/>
      <c r="I80" s="223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3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3"/>
      <c r="AU80" s="222"/>
      <c r="AV80" s="222"/>
      <c r="AW80" s="222"/>
      <c r="AX80" s="222"/>
      <c r="AY80" s="222"/>
      <c r="AZ80" s="223"/>
      <c r="BA80" s="222"/>
      <c r="BB80" s="222"/>
      <c r="BC80" s="222"/>
      <c r="BD80" s="222"/>
      <c r="BE80" s="222"/>
      <c r="BF80" s="222"/>
      <c r="BG80" s="223"/>
      <c r="BH80" s="222"/>
      <c r="BI80" s="222"/>
      <c r="BJ80" s="224"/>
      <c r="BK80" s="222"/>
      <c r="BL80" s="222"/>
      <c r="BM80" s="222"/>
      <c r="BN80" s="222"/>
      <c r="BO80" s="222"/>
      <c r="BP80" s="222"/>
      <c r="BQ80" s="222"/>
      <c r="BR80" s="222"/>
      <c r="BS80" s="223"/>
      <c r="BT80" s="222"/>
      <c r="BU80" s="222"/>
      <c r="BV80" s="223"/>
      <c r="BW80" s="223"/>
      <c r="BX80" s="223"/>
    </row>
    <row r="81" spans="1:76" ht="11.25" customHeight="1" x14ac:dyDescent="0.25">
      <c r="A81" s="219"/>
      <c r="B81" s="219" t="s">
        <v>142</v>
      </c>
      <c r="C81" s="220" t="s">
        <v>395</v>
      </c>
      <c r="D81" s="220"/>
      <c r="E81" s="220"/>
      <c r="F81" s="221" t="s">
        <v>396</v>
      </c>
      <c r="G81" s="221"/>
      <c r="H81" s="222"/>
      <c r="I81" s="223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3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3"/>
      <c r="AU81" s="222"/>
      <c r="AV81" s="222"/>
      <c r="AW81" s="222"/>
      <c r="AX81" s="222"/>
      <c r="AY81" s="222"/>
      <c r="AZ81" s="223"/>
      <c r="BA81" s="222"/>
      <c r="BB81" s="222"/>
      <c r="BC81" s="222"/>
      <c r="BD81" s="222"/>
      <c r="BE81" s="222"/>
      <c r="BF81" s="222"/>
      <c r="BG81" s="223"/>
      <c r="BH81" s="222"/>
      <c r="BI81" s="222"/>
      <c r="BJ81" s="224"/>
      <c r="BK81" s="222"/>
      <c r="BL81" s="222"/>
      <c r="BM81" s="222"/>
      <c r="BN81" s="222"/>
      <c r="BO81" s="222"/>
      <c r="BP81" s="222"/>
      <c r="BQ81" s="222"/>
      <c r="BR81" s="222"/>
      <c r="BS81" s="223"/>
      <c r="BT81" s="222"/>
      <c r="BU81" s="222"/>
      <c r="BV81" s="223"/>
      <c r="BW81" s="223"/>
      <c r="BX81" s="223"/>
    </row>
    <row r="82" spans="1:76" ht="11.25" customHeight="1" x14ac:dyDescent="0.25">
      <c r="A82" s="219"/>
      <c r="B82" s="219" t="s">
        <v>142</v>
      </c>
      <c r="C82" s="220" t="s">
        <v>397</v>
      </c>
      <c r="D82" s="220"/>
      <c r="E82" s="220"/>
      <c r="F82" s="221" t="s">
        <v>398</v>
      </c>
      <c r="G82" s="221"/>
      <c r="H82" s="222"/>
      <c r="I82" s="223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3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3"/>
      <c r="AU82" s="222"/>
      <c r="AV82" s="222"/>
      <c r="AW82" s="222"/>
      <c r="AX82" s="222"/>
      <c r="AY82" s="222"/>
      <c r="AZ82" s="223"/>
      <c r="BA82" s="222"/>
      <c r="BB82" s="222"/>
      <c r="BC82" s="222"/>
      <c r="BD82" s="222"/>
      <c r="BE82" s="222"/>
      <c r="BF82" s="222"/>
      <c r="BG82" s="223"/>
      <c r="BH82" s="222"/>
      <c r="BI82" s="222"/>
      <c r="BJ82" s="224"/>
      <c r="BK82" s="222"/>
      <c r="BL82" s="222"/>
      <c r="BM82" s="222"/>
      <c r="BN82" s="222"/>
      <c r="BO82" s="222"/>
      <c r="BP82" s="222"/>
      <c r="BQ82" s="222"/>
      <c r="BR82" s="222"/>
      <c r="BS82" s="223"/>
      <c r="BT82" s="222"/>
      <c r="BU82" s="222"/>
      <c r="BV82" s="223"/>
      <c r="BW82" s="223"/>
      <c r="BX82" s="223"/>
    </row>
    <row r="83" spans="1:76" ht="11.25" customHeight="1" x14ac:dyDescent="0.25">
      <c r="A83" s="219"/>
      <c r="B83" s="219" t="s">
        <v>142</v>
      </c>
      <c r="C83" s="220" t="s">
        <v>399</v>
      </c>
      <c r="D83" s="220"/>
      <c r="E83" s="220"/>
      <c r="F83" s="221" t="s">
        <v>400</v>
      </c>
      <c r="G83" s="221"/>
      <c r="H83" s="222"/>
      <c r="I83" s="223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3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3"/>
      <c r="AU83" s="222"/>
      <c r="AV83" s="222"/>
      <c r="AW83" s="222"/>
      <c r="AX83" s="222"/>
      <c r="AY83" s="222"/>
      <c r="AZ83" s="223"/>
      <c r="BA83" s="222"/>
      <c r="BB83" s="222"/>
      <c r="BC83" s="222"/>
      <c r="BD83" s="222"/>
      <c r="BE83" s="222"/>
      <c r="BF83" s="222"/>
      <c r="BG83" s="223"/>
      <c r="BH83" s="222"/>
      <c r="BI83" s="222"/>
      <c r="BJ83" s="224"/>
      <c r="BK83" s="222"/>
      <c r="BL83" s="222"/>
      <c r="BM83" s="222"/>
      <c r="BN83" s="222"/>
      <c r="BO83" s="222"/>
      <c r="BP83" s="222"/>
      <c r="BQ83" s="222"/>
      <c r="BR83" s="222"/>
      <c r="BS83" s="223"/>
      <c r="BT83" s="222"/>
      <c r="BU83" s="222"/>
      <c r="BV83" s="223"/>
      <c r="BW83" s="223"/>
      <c r="BX83" s="223"/>
    </row>
    <row r="84" spans="1:76" ht="11.25" customHeight="1" x14ac:dyDescent="0.25">
      <c r="A84" s="219"/>
      <c r="B84" s="219" t="s">
        <v>142</v>
      </c>
      <c r="C84" s="220" t="s">
        <v>401</v>
      </c>
      <c r="D84" s="220"/>
      <c r="E84" s="220"/>
      <c r="F84" s="221" t="s">
        <v>402</v>
      </c>
      <c r="G84" s="221"/>
      <c r="H84" s="222"/>
      <c r="I84" s="223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3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3"/>
      <c r="AU84" s="222"/>
      <c r="AV84" s="222"/>
      <c r="AW84" s="222"/>
      <c r="AX84" s="222"/>
      <c r="AY84" s="222"/>
      <c r="AZ84" s="223"/>
      <c r="BA84" s="222"/>
      <c r="BB84" s="222"/>
      <c r="BC84" s="222"/>
      <c r="BD84" s="222"/>
      <c r="BE84" s="222"/>
      <c r="BF84" s="222"/>
      <c r="BG84" s="223"/>
      <c r="BH84" s="222"/>
      <c r="BI84" s="222"/>
      <c r="BJ84" s="224"/>
      <c r="BK84" s="222"/>
      <c r="BL84" s="222"/>
      <c r="BM84" s="222"/>
      <c r="BN84" s="222"/>
      <c r="BO84" s="222"/>
      <c r="BP84" s="222"/>
      <c r="BQ84" s="222"/>
      <c r="BR84" s="222"/>
      <c r="BS84" s="223"/>
      <c r="BT84" s="222"/>
      <c r="BU84" s="222"/>
      <c r="BV84" s="223"/>
      <c r="BW84" s="223"/>
      <c r="BX84" s="223"/>
    </row>
    <row r="85" spans="1:76" ht="11.25" customHeight="1" x14ac:dyDescent="0.25">
      <c r="A85" s="219"/>
      <c r="B85" s="219" t="s">
        <v>142</v>
      </c>
      <c r="C85" s="220" t="s">
        <v>403</v>
      </c>
      <c r="D85" s="220"/>
      <c r="E85" s="220"/>
      <c r="F85" s="221" t="s">
        <v>404</v>
      </c>
      <c r="G85" s="221"/>
      <c r="H85" s="222"/>
      <c r="I85" s="223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3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3"/>
      <c r="AU85" s="222"/>
      <c r="AV85" s="222"/>
      <c r="AW85" s="222"/>
      <c r="AX85" s="222"/>
      <c r="AY85" s="222"/>
      <c r="AZ85" s="223"/>
      <c r="BA85" s="222"/>
      <c r="BB85" s="222"/>
      <c r="BC85" s="222"/>
      <c r="BD85" s="222"/>
      <c r="BE85" s="222"/>
      <c r="BF85" s="222"/>
      <c r="BG85" s="223"/>
      <c r="BH85" s="222"/>
      <c r="BI85" s="222"/>
      <c r="BJ85" s="224"/>
      <c r="BK85" s="222"/>
      <c r="BL85" s="222"/>
      <c r="BM85" s="222"/>
      <c r="BN85" s="222"/>
      <c r="BO85" s="222"/>
      <c r="BP85" s="222"/>
      <c r="BQ85" s="222"/>
      <c r="BR85" s="222"/>
      <c r="BS85" s="223"/>
      <c r="BT85" s="222"/>
      <c r="BU85" s="222"/>
      <c r="BV85" s="223"/>
      <c r="BW85" s="223"/>
      <c r="BX85" s="223"/>
    </row>
    <row r="86" spans="1:76" ht="11.25" customHeight="1" x14ac:dyDescent="0.25">
      <c r="A86" s="219" t="s">
        <v>142</v>
      </c>
      <c r="B86" s="220" t="s">
        <v>292</v>
      </c>
      <c r="C86" s="220"/>
      <c r="D86" s="220"/>
      <c r="E86" s="220"/>
      <c r="F86" s="221" t="s">
        <v>405</v>
      </c>
      <c r="G86" s="221"/>
      <c r="H86" s="222"/>
      <c r="I86" s="223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3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3"/>
      <c r="AU86" s="222"/>
      <c r="AV86" s="222"/>
      <c r="AW86" s="222"/>
      <c r="AX86" s="222"/>
      <c r="AY86" s="222"/>
      <c r="AZ86" s="223"/>
      <c r="BA86" s="222"/>
      <c r="BB86" s="222"/>
      <c r="BC86" s="222"/>
      <c r="BD86" s="222"/>
      <c r="BE86" s="222"/>
      <c r="BF86" s="222"/>
      <c r="BG86" s="223"/>
      <c r="BH86" s="222"/>
      <c r="BI86" s="222"/>
      <c r="BJ86" s="224"/>
      <c r="BK86" s="222"/>
      <c r="BL86" s="222"/>
      <c r="BM86" s="222"/>
      <c r="BN86" s="222"/>
      <c r="BO86" s="222"/>
      <c r="BP86" s="222"/>
      <c r="BQ86" s="222"/>
      <c r="BR86" s="222"/>
      <c r="BS86" s="223"/>
      <c r="BT86" s="222"/>
      <c r="BU86" s="222"/>
      <c r="BV86" s="223"/>
      <c r="BW86" s="223"/>
      <c r="BX86" s="223"/>
    </row>
    <row r="87" spans="1:76" ht="11.25" customHeight="1" x14ac:dyDescent="0.25">
      <c r="A87" s="219" t="s">
        <v>142</v>
      </c>
      <c r="B87" s="220" t="s">
        <v>294</v>
      </c>
      <c r="C87" s="220"/>
      <c r="D87" s="220"/>
      <c r="E87" s="220"/>
      <c r="F87" s="221" t="s">
        <v>406</v>
      </c>
      <c r="G87" s="221"/>
      <c r="H87" s="222"/>
      <c r="I87" s="223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3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3"/>
      <c r="AU87" s="222"/>
      <c r="AV87" s="222"/>
      <c r="AW87" s="222"/>
      <c r="AX87" s="222"/>
      <c r="AY87" s="222"/>
      <c r="AZ87" s="223"/>
      <c r="BA87" s="222"/>
      <c r="BB87" s="222"/>
      <c r="BC87" s="222"/>
      <c r="BD87" s="222"/>
      <c r="BE87" s="222"/>
      <c r="BF87" s="222"/>
      <c r="BG87" s="223"/>
      <c r="BH87" s="222"/>
      <c r="BI87" s="222"/>
      <c r="BJ87" s="224"/>
      <c r="BK87" s="222"/>
      <c r="BL87" s="222"/>
      <c r="BM87" s="222"/>
      <c r="BN87" s="222"/>
      <c r="BO87" s="222"/>
      <c r="BP87" s="222"/>
      <c r="BQ87" s="222"/>
      <c r="BR87" s="222"/>
      <c r="BS87" s="223"/>
      <c r="BT87" s="222"/>
      <c r="BU87" s="222"/>
      <c r="BV87" s="223"/>
      <c r="BW87" s="223"/>
      <c r="BX87" s="223"/>
    </row>
    <row r="88" spans="1:76" ht="11.25" customHeight="1" x14ac:dyDescent="0.25">
      <c r="A88" s="219" t="s">
        <v>142</v>
      </c>
      <c r="B88" s="220" t="s">
        <v>296</v>
      </c>
      <c r="C88" s="220"/>
      <c r="D88" s="220"/>
      <c r="E88" s="220"/>
      <c r="F88" s="221" t="s">
        <v>407</v>
      </c>
      <c r="G88" s="221"/>
      <c r="H88" s="222"/>
      <c r="I88" s="223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3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22"/>
      <c r="AT88" s="223"/>
      <c r="AU88" s="222"/>
      <c r="AV88" s="222"/>
      <c r="AW88" s="222"/>
      <c r="AX88" s="222"/>
      <c r="AY88" s="222"/>
      <c r="AZ88" s="223"/>
      <c r="BA88" s="222"/>
      <c r="BB88" s="222"/>
      <c r="BC88" s="222"/>
      <c r="BD88" s="222"/>
      <c r="BE88" s="222"/>
      <c r="BF88" s="222"/>
      <c r="BG88" s="223"/>
      <c r="BH88" s="222"/>
      <c r="BI88" s="222"/>
      <c r="BJ88" s="224"/>
      <c r="BK88" s="222"/>
      <c r="BL88" s="222"/>
      <c r="BM88" s="222"/>
      <c r="BN88" s="222"/>
      <c r="BO88" s="222"/>
      <c r="BP88" s="222"/>
      <c r="BQ88" s="222"/>
      <c r="BR88" s="222"/>
      <c r="BS88" s="223"/>
      <c r="BT88" s="222"/>
      <c r="BU88" s="222"/>
      <c r="BV88" s="223"/>
      <c r="BW88" s="223"/>
      <c r="BX88" s="223"/>
    </row>
    <row r="89" spans="1:76" ht="11.25" customHeight="1" x14ac:dyDescent="0.25">
      <c r="A89" s="219" t="s">
        <v>142</v>
      </c>
      <c r="B89" s="220" t="s">
        <v>298</v>
      </c>
      <c r="C89" s="220"/>
      <c r="D89" s="220"/>
      <c r="E89" s="220"/>
      <c r="F89" s="221" t="s">
        <v>408</v>
      </c>
      <c r="G89" s="221"/>
      <c r="H89" s="222"/>
      <c r="I89" s="223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3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3"/>
      <c r="AU89" s="222"/>
      <c r="AV89" s="222"/>
      <c r="AW89" s="222"/>
      <c r="AX89" s="222"/>
      <c r="AY89" s="222"/>
      <c r="AZ89" s="223"/>
      <c r="BA89" s="222"/>
      <c r="BB89" s="222"/>
      <c r="BC89" s="222"/>
      <c r="BD89" s="222"/>
      <c r="BE89" s="222"/>
      <c r="BF89" s="222"/>
      <c r="BG89" s="223"/>
      <c r="BH89" s="222"/>
      <c r="BI89" s="222"/>
      <c r="BJ89" s="224"/>
      <c r="BK89" s="222"/>
      <c r="BL89" s="222"/>
      <c r="BM89" s="222"/>
      <c r="BN89" s="222"/>
      <c r="BO89" s="222"/>
      <c r="BP89" s="222"/>
      <c r="BQ89" s="222"/>
      <c r="BR89" s="222"/>
      <c r="BS89" s="223"/>
      <c r="BT89" s="222"/>
      <c r="BU89" s="222"/>
      <c r="BV89" s="223"/>
      <c r="BW89" s="223"/>
      <c r="BX89" s="223"/>
    </row>
    <row r="90" spans="1:76" ht="11.25" customHeight="1" x14ac:dyDescent="0.25">
      <c r="A90" s="219" t="s">
        <v>142</v>
      </c>
      <c r="B90" s="220" t="s">
        <v>409</v>
      </c>
      <c r="C90" s="220"/>
      <c r="D90" s="220"/>
      <c r="E90" s="220"/>
      <c r="F90" s="221" t="s">
        <v>410</v>
      </c>
      <c r="G90" s="221"/>
      <c r="H90" s="222"/>
      <c r="I90" s="223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3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3"/>
      <c r="AU90" s="222"/>
      <c r="AV90" s="222"/>
      <c r="AW90" s="222"/>
      <c r="AX90" s="222"/>
      <c r="AY90" s="222"/>
      <c r="AZ90" s="223"/>
      <c r="BA90" s="222"/>
      <c r="BB90" s="222"/>
      <c r="BC90" s="222"/>
      <c r="BD90" s="222"/>
      <c r="BE90" s="222"/>
      <c r="BF90" s="222"/>
      <c r="BG90" s="223"/>
      <c r="BH90" s="222"/>
      <c r="BI90" s="222"/>
      <c r="BJ90" s="224"/>
      <c r="BK90" s="222"/>
      <c r="BL90" s="222"/>
      <c r="BM90" s="222"/>
      <c r="BN90" s="222"/>
      <c r="BO90" s="222"/>
      <c r="BP90" s="222"/>
      <c r="BQ90" s="222"/>
      <c r="BR90" s="222"/>
      <c r="BS90" s="223"/>
      <c r="BT90" s="222"/>
      <c r="BU90" s="222"/>
      <c r="BV90" s="223"/>
      <c r="BW90" s="223"/>
      <c r="BX90" s="223"/>
    </row>
    <row r="91" spans="1:76" ht="11.25" customHeight="1" x14ac:dyDescent="0.25">
      <c r="A91" s="219" t="s">
        <v>142</v>
      </c>
      <c r="B91" s="220" t="s">
        <v>312</v>
      </c>
      <c r="C91" s="220"/>
      <c r="D91" s="220"/>
      <c r="E91" s="220"/>
      <c r="F91" s="221" t="s">
        <v>411</v>
      </c>
      <c r="G91" s="221"/>
      <c r="H91" s="222"/>
      <c r="I91" s="223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3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3"/>
      <c r="AU91" s="222"/>
      <c r="AV91" s="222"/>
      <c r="AW91" s="222"/>
      <c r="AX91" s="222"/>
      <c r="AY91" s="222"/>
      <c r="AZ91" s="223"/>
      <c r="BA91" s="222"/>
      <c r="BB91" s="222"/>
      <c r="BC91" s="222"/>
      <c r="BD91" s="222"/>
      <c r="BE91" s="222"/>
      <c r="BF91" s="222"/>
      <c r="BG91" s="223"/>
      <c r="BH91" s="222"/>
      <c r="BI91" s="222"/>
      <c r="BJ91" s="224"/>
      <c r="BK91" s="222"/>
      <c r="BL91" s="222"/>
      <c r="BM91" s="222"/>
      <c r="BN91" s="222"/>
      <c r="BO91" s="222"/>
      <c r="BP91" s="222"/>
      <c r="BQ91" s="222"/>
      <c r="BR91" s="222"/>
      <c r="BS91" s="223"/>
      <c r="BT91" s="222"/>
      <c r="BU91" s="222"/>
      <c r="BV91" s="223"/>
      <c r="BW91" s="223"/>
      <c r="BX91" s="223"/>
    </row>
    <row r="92" spans="1:76" ht="11.25" customHeight="1" x14ac:dyDescent="0.25">
      <c r="A92" s="219" t="s">
        <v>142</v>
      </c>
      <c r="B92" s="220" t="s">
        <v>412</v>
      </c>
      <c r="C92" s="220"/>
      <c r="D92" s="220"/>
      <c r="E92" s="220"/>
      <c r="F92" s="221" t="s">
        <v>413</v>
      </c>
      <c r="G92" s="221"/>
      <c r="H92" s="222"/>
      <c r="I92" s="223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3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3"/>
      <c r="AU92" s="222"/>
      <c r="AV92" s="222"/>
      <c r="AW92" s="222"/>
      <c r="AX92" s="222"/>
      <c r="AY92" s="222"/>
      <c r="AZ92" s="223"/>
      <c r="BA92" s="222"/>
      <c r="BB92" s="222"/>
      <c r="BC92" s="222"/>
      <c r="BD92" s="222"/>
      <c r="BE92" s="222"/>
      <c r="BF92" s="222"/>
      <c r="BG92" s="223"/>
      <c r="BH92" s="222"/>
      <c r="BI92" s="222"/>
      <c r="BJ92" s="224"/>
      <c r="BK92" s="222"/>
      <c r="BL92" s="222"/>
      <c r="BM92" s="222"/>
      <c r="BN92" s="222"/>
      <c r="BO92" s="222"/>
      <c r="BP92" s="222"/>
      <c r="BQ92" s="222"/>
      <c r="BR92" s="222"/>
      <c r="BS92" s="223"/>
      <c r="BT92" s="222"/>
      <c r="BU92" s="222"/>
      <c r="BV92" s="223"/>
      <c r="BW92" s="223"/>
      <c r="BX92" s="223"/>
    </row>
    <row r="93" spans="1:76" ht="11.25" customHeight="1" x14ac:dyDescent="0.25">
      <c r="A93" s="219" t="s">
        <v>142</v>
      </c>
      <c r="B93" s="220" t="s">
        <v>414</v>
      </c>
      <c r="C93" s="220"/>
      <c r="D93" s="220"/>
      <c r="E93" s="220"/>
      <c r="F93" s="221" t="s">
        <v>415</v>
      </c>
      <c r="G93" s="221"/>
      <c r="H93" s="253"/>
      <c r="I93" s="223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3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2"/>
      <c r="AQ93" s="222"/>
      <c r="AR93" s="222"/>
      <c r="AS93" s="222"/>
      <c r="AT93" s="223"/>
      <c r="AU93" s="222"/>
      <c r="AV93" s="222"/>
      <c r="AW93" s="222"/>
      <c r="AX93" s="222"/>
      <c r="AY93" s="222"/>
      <c r="AZ93" s="223"/>
      <c r="BA93" s="222"/>
      <c r="BB93" s="222"/>
      <c r="BC93" s="222"/>
      <c r="BD93" s="222"/>
      <c r="BE93" s="222"/>
      <c r="BF93" s="222"/>
      <c r="BG93" s="223"/>
      <c r="BH93" s="222"/>
      <c r="BI93" s="222"/>
      <c r="BJ93" s="224"/>
      <c r="BK93" s="222"/>
      <c r="BL93" s="222"/>
      <c r="BM93" s="222"/>
      <c r="BN93" s="222"/>
      <c r="BO93" s="222"/>
      <c r="BP93" s="222"/>
      <c r="BQ93" s="222"/>
      <c r="BR93" s="222"/>
      <c r="BS93" s="223"/>
      <c r="BT93" s="222"/>
      <c r="BU93" s="222"/>
      <c r="BV93" s="223"/>
      <c r="BW93" s="223">
        <v>143</v>
      </c>
      <c r="BX93" s="223"/>
    </row>
    <row r="94" spans="1:76" ht="11.25" customHeight="1" x14ac:dyDescent="0.25">
      <c r="A94" s="225"/>
      <c r="B94" s="219" t="s">
        <v>142</v>
      </c>
      <c r="C94" s="220" t="s">
        <v>416</v>
      </c>
      <c r="D94" s="220"/>
      <c r="E94" s="220"/>
      <c r="F94" s="221" t="s">
        <v>417</v>
      </c>
      <c r="G94" s="221"/>
      <c r="H94" s="253"/>
      <c r="I94" s="223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3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3"/>
      <c r="AU94" s="222"/>
      <c r="AV94" s="222"/>
      <c r="AW94" s="222"/>
      <c r="AX94" s="222"/>
      <c r="AY94" s="222"/>
      <c r="AZ94" s="223"/>
      <c r="BA94" s="222"/>
      <c r="BB94" s="222"/>
      <c r="BC94" s="222"/>
      <c r="BD94" s="222"/>
      <c r="BE94" s="222"/>
      <c r="BF94" s="222"/>
      <c r="BG94" s="223"/>
      <c r="BH94" s="222"/>
      <c r="BI94" s="222"/>
      <c r="BJ94" s="224"/>
      <c r="BK94" s="222"/>
      <c r="BL94" s="222"/>
      <c r="BM94" s="222"/>
      <c r="BN94" s="222"/>
      <c r="BO94" s="222"/>
      <c r="BP94" s="222"/>
      <c r="BQ94" s="222"/>
      <c r="BR94" s="222"/>
      <c r="BS94" s="223"/>
      <c r="BT94" s="222"/>
      <c r="BU94" s="222"/>
      <c r="BV94" s="223"/>
      <c r="BW94" s="223"/>
      <c r="BX94" s="223"/>
    </row>
    <row r="95" spans="1:76" ht="11.25" customHeight="1" x14ac:dyDescent="0.25">
      <c r="A95" s="225"/>
      <c r="B95" s="219" t="s">
        <v>142</v>
      </c>
      <c r="C95" s="220" t="s">
        <v>418</v>
      </c>
      <c r="D95" s="220"/>
      <c r="E95" s="220"/>
      <c r="F95" s="221" t="s">
        <v>419</v>
      </c>
      <c r="G95" s="221"/>
      <c r="H95" s="253"/>
      <c r="I95" s="223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3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3"/>
      <c r="AU95" s="222"/>
      <c r="AV95" s="222"/>
      <c r="AW95" s="222"/>
      <c r="AX95" s="222"/>
      <c r="AY95" s="222"/>
      <c r="AZ95" s="223"/>
      <c r="BA95" s="222"/>
      <c r="BB95" s="222"/>
      <c r="BC95" s="222"/>
      <c r="BD95" s="222"/>
      <c r="BE95" s="222"/>
      <c r="BF95" s="222"/>
      <c r="BG95" s="223"/>
      <c r="BH95" s="222"/>
      <c r="BI95" s="222"/>
      <c r="BJ95" s="224"/>
      <c r="BK95" s="222"/>
      <c r="BL95" s="222"/>
      <c r="BM95" s="222"/>
      <c r="BN95" s="222"/>
      <c r="BO95" s="222"/>
      <c r="BP95" s="222"/>
      <c r="BQ95" s="222"/>
      <c r="BR95" s="222"/>
      <c r="BS95" s="223"/>
      <c r="BT95" s="222"/>
      <c r="BU95" s="222"/>
      <c r="BV95" s="223"/>
      <c r="BW95" s="223"/>
      <c r="BX95" s="223"/>
    </row>
    <row r="96" spans="1:76" ht="11.25" customHeight="1" x14ac:dyDescent="0.25">
      <c r="A96" s="225"/>
      <c r="B96" s="219" t="s">
        <v>142</v>
      </c>
      <c r="C96" s="220" t="s">
        <v>420</v>
      </c>
      <c r="D96" s="220"/>
      <c r="E96" s="220"/>
      <c r="F96" s="221" t="s">
        <v>421</v>
      </c>
      <c r="G96" s="221"/>
      <c r="H96" s="253"/>
      <c r="I96" s="223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3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3"/>
      <c r="AU96" s="222"/>
      <c r="AV96" s="222"/>
      <c r="AW96" s="222"/>
      <c r="AX96" s="222"/>
      <c r="AY96" s="222"/>
      <c r="AZ96" s="223"/>
      <c r="BA96" s="222"/>
      <c r="BB96" s="222"/>
      <c r="BC96" s="222"/>
      <c r="BD96" s="222"/>
      <c r="BE96" s="222"/>
      <c r="BF96" s="222"/>
      <c r="BG96" s="223"/>
      <c r="BH96" s="222"/>
      <c r="BI96" s="222"/>
      <c r="BJ96" s="224"/>
      <c r="BK96" s="222"/>
      <c r="BL96" s="222"/>
      <c r="BM96" s="222"/>
      <c r="BN96" s="222"/>
      <c r="BO96" s="222"/>
      <c r="BP96" s="222"/>
      <c r="BQ96" s="222"/>
      <c r="BR96" s="222"/>
      <c r="BS96" s="223"/>
      <c r="BT96" s="222"/>
      <c r="BU96" s="222"/>
      <c r="BV96" s="223"/>
      <c r="BW96" s="223">
        <v>143</v>
      </c>
      <c r="BX96" s="223"/>
    </row>
    <row r="97" spans="1:76" ht="11.25" customHeight="1" x14ac:dyDescent="0.25">
      <c r="A97" s="225"/>
      <c r="B97" s="219" t="s">
        <v>142</v>
      </c>
      <c r="C97" s="220" t="s">
        <v>422</v>
      </c>
      <c r="D97" s="220"/>
      <c r="E97" s="220"/>
      <c r="F97" s="221" t="s">
        <v>423</v>
      </c>
      <c r="G97" s="221"/>
      <c r="H97" s="253"/>
      <c r="I97" s="223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3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22"/>
      <c r="AT97" s="223"/>
      <c r="AU97" s="222"/>
      <c r="AV97" s="222"/>
      <c r="AW97" s="222"/>
      <c r="AX97" s="222"/>
      <c r="AY97" s="222"/>
      <c r="AZ97" s="223"/>
      <c r="BA97" s="222"/>
      <c r="BB97" s="222"/>
      <c r="BC97" s="222"/>
      <c r="BD97" s="222"/>
      <c r="BE97" s="222"/>
      <c r="BF97" s="222"/>
      <c r="BG97" s="223"/>
      <c r="BH97" s="222"/>
      <c r="BI97" s="222"/>
      <c r="BJ97" s="224"/>
      <c r="BK97" s="222"/>
      <c r="BL97" s="222"/>
      <c r="BM97" s="222"/>
      <c r="BN97" s="222"/>
      <c r="BO97" s="222"/>
      <c r="BP97" s="222"/>
      <c r="BQ97" s="222"/>
      <c r="BR97" s="222"/>
      <c r="BS97" s="223"/>
      <c r="BT97" s="222"/>
      <c r="BU97" s="222"/>
      <c r="BV97" s="223"/>
      <c r="BW97" s="223"/>
      <c r="BX97" s="223"/>
    </row>
    <row r="98" spans="1:76" ht="11.25" customHeight="1" x14ac:dyDescent="0.25">
      <c r="A98" s="225"/>
      <c r="B98" s="219" t="s">
        <v>142</v>
      </c>
      <c r="C98" s="220" t="s">
        <v>424</v>
      </c>
      <c r="D98" s="220"/>
      <c r="E98" s="220"/>
      <c r="F98" s="221" t="s">
        <v>425</v>
      </c>
      <c r="G98" s="221"/>
      <c r="H98" s="253"/>
      <c r="I98" s="223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3"/>
      <c r="X98" s="222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3"/>
      <c r="AU98" s="222"/>
      <c r="AV98" s="222"/>
      <c r="AW98" s="222"/>
      <c r="AX98" s="222"/>
      <c r="AY98" s="222"/>
      <c r="AZ98" s="223"/>
      <c r="BA98" s="222"/>
      <c r="BB98" s="222"/>
      <c r="BC98" s="222"/>
      <c r="BD98" s="222"/>
      <c r="BE98" s="222"/>
      <c r="BF98" s="222"/>
      <c r="BG98" s="223"/>
      <c r="BH98" s="222"/>
      <c r="BI98" s="222"/>
      <c r="BJ98" s="224"/>
      <c r="BK98" s="222"/>
      <c r="BL98" s="222"/>
      <c r="BM98" s="222"/>
      <c r="BN98" s="222"/>
      <c r="BO98" s="222"/>
      <c r="BP98" s="222"/>
      <c r="BQ98" s="222"/>
      <c r="BR98" s="222"/>
      <c r="BS98" s="223"/>
      <c r="BT98" s="222"/>
      <c r="BU98" s="222"/>
      <c r="BV98" s="223"/>
      <c r="BW98" s="223"/>
      <c r="BX98" s="223"/>
    </row>
    <row r="99" spans="1:76" ht="11.25" customHeight="1" x14ac:dyDescent="0.25">
      <c r="A99" s="225"/>
      <c r="B99" s="219" t="s">
        <v>142</v>
      </c>
      <c r="C99" s="220" t="s">
        <v>426</v>
      </c>
      <c r="D99" s="220"/>
      <c r="E99" s="220"/>
      <c r="F99" s="221" t="s">
        <v>427</v>
      </c>
      <c r="G99" s="221"/>
      <c r="H99" s="253"/>
      <c r="I99" s="223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3"/>
      <c r="X99" s="222"/>
      <c r="Y99" s="222"/>
      <c r="Z99" s="222"/>
      <c r="AA99" s="222"/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2"/>
      <c r="AQ99" s="222"/>
      <c r="AR99" s="222"/>
      <c r="AS99" s="222"/>
      <c r="AT99" s="223"/>
      <c r="AU99" s="222"/>
      <c r="AV99" s="222"/>
      <c r="AW99" s="222"/>
      <c r="AX99" s="222"/>
      <c r="AY99" s="222"/>
      <c r="AZ99" s="223"/>
      <c r="BA99" s="222"/>
      <c r="BB99" s="222"/>
      <c r="BC99" s="222"/>
      <c r="BD99" s="222"/>
      <c r="BE99" s="222"/>
      <c r="BF99" s="222"/>
      <c r="BG99" s="223"/>
      <c r="BH99" s="222"/>
      <c r="BI99" s="222"/>
      <c r="BJ99" s="224"/>
      <c r="BK99" s="222"/>
      <c r="BL99" s="222"/>
      <c r="BM99" s="222"/>
      <c r="BN99" s="222"/>
      <c r="BO99" s="222"/>
      <c r="BP99" s="222"/>
      <c r="BQ99" s="222"/>
      <c r="BR99" s="222"/>
      <c r="BS99" s="223"/>
      <c r="BT99" s="222"/>
      <c r="BU99" s="222"/>
      <c r="BV99" s="223"/>
      <c r="BW99" s="223"/>
      <c r="BX99" s="223"/>
    </row>
    <row r="100" spans="1:76" ht="11.25" customHeight="1" x14ac:dyDescent="0.25">
      <c r="A100" s="225"/>
      <c r="B100" s="219" t="s">
        <v>142</v>
      </c>
      <c r="C100" s="220" t="s">
        <v>428</v>
      </c>
      <c r="D100" s="220"/>
      <c r="E100" s="220"/>
      <c r="F100" s="221" t="s">
        <v>429</v>
      </c>
      <c r="G100" s="221"/>
      <c r="H100" s="253"/>
      <c r="I100" s="223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3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3"/>
      <c r="AU100" s="222"/>
      <c r="AV100" s="222"/>
      <c r="AW100" s="222"/>
      <c r="AX100" s="222"/>
      <c r="AY100" s="222"/>
      <c r="AZ100" s="223"/>
      <c r="BA100" s="222"/>
      <c r="BB100" s="222"/>
      <c r="BC100" s="222"/>
      <c r="BD100" s="222"/>
      <c r="BE100" s="222"/>
      <c r="BF100" s="222"/>
      <c r="BG100" s="223"/>
      <c r="BH100" s="222"/>
      <c r="BI100" s="222"/>
      <c r="BJ100" s="224"/>
      <c r="BK100" s="222"/>
      <c r="BL100" s="222"/>
      <c r="BM100" s="222"/>
      <c r="BN100" s="222"/>
      <c r="BO100" s="222"/>
      <c r="BP100" s="222"/>
      <c r="BQ100" s="222"/>
      <c r="BR100" s="222"/>
      <c r="BS100" s="223"/>
      <c r="BT100" s="222"/>
      <c r="BU100" s="222"/>
      <c r="BV100" s="223"/>
      <c r="BW100" s="223"/>
      <c r="BX100" s="223"/>
    </row>
    <row r="101" spans="1:76" ht="11.25" customHeight="1" x14ac:dyDescent="0.25">
      <c r="A101" s="225"/>
      <c r="B101" s="219" t="s">
        <v>142</v>
      </c>
      <c r="C101" s="220" t="s">
        <v>430</v>
      </c>
      <c r="D101" s="220"/>
      <c r="E101" s="220"/>
      <c r="F101" s="221" t="s">
        <v>431</v>
      </c>
      <c r="G101" s="221"/>
      <c r="H101" s="253"/>
      <c r="I101" s="223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3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3"/>
      <c r="AU101" s="222"/>
      <c r="AV101" s="222"/>
      <c r="AW101" s="222"/>
      <c r="AX101" s="222"/>
      <c r="AY101" s="222"/>
      <c r="AZ101" s="223"/>
      <c r="BA101" s="222"/>
      <c r="BB101" s="222"/>
      <c r="BC101" s="222"/>
      <c r="BD101" s="222"/>
      <c r="BE101" s="222"/>
      <c r="BF101" s="222"/>
      <c r="BG101" s="223"/>
      <c r="BH101" s="222"/>
      <c r="BI101" s="222"/>
      <c r="BJ101" s="224"/>
      <c r="BK101" s="222"/>
      <c r="BL101" s="222"/>
      <c r="BM101" s="222"/>
      <c r="BN101" s="222"/>
      <c r="BO101" s="222"/>
      <c r="BP101" s="222"/>
      <c r="BQ101" s="222"/>
      <c r="BR101" s="222"/>
      <c r="BS101" s="223"/>
      <c r="BT101" s="222"/>
      <c r="BU101" s="222"/>
      <c r="BV101" s="223"/>
      <c r="BW101" s="223"/>
      <c r="BX101" s="223"/>
    </row>
    <row r="102" spans="1:76" ht="11.25" customHeight="1" x14ac:dyDescent="0.25">
      <c r="A102" s="225"/>
      <c r="B102" s="219" t="s">
        <v>142</v>
      </c>
      <c r="C102" s="220" t="s">
        <v>432</v>
      </c>
      <c r="D102" s="220"/>
      <c r="E102" s="220"/>
      <c r="F102" s="221" t="s">
        <v>433</v>
      </c>
      <c r="G102" s="221"/>
      <c r="H102" s="253"/>
      <c r="I102" s="223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3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3"/>
      <c r="AU102" s="222"/>
      <c r="AV102" s="222"/>
      <c r="AW102" s="222"/>
      <c r="AX102" s="222"/>
      <c r="AY102" s="222"/>
      <c r="AZ102" s="223"/>
      <c r="BA102" s="222"/>
      <c r="BB102" s="222"/>
      <c r="BC102" s="222"/>
      <c r="BD102" s="222"/>
      <c r="BE102" s="222"/>
      <c r="BF102" s="222"/>
      <c r="BG102" s="223"/>
      <c r="BH102" s="222"/>
      <c r="BI102" s="222"/>
      <c r="BJ102" s="224"/>
      <c r="BK102" s="222"/>
      <c r="BL102" s="222"/>
      <c r="BM102" s="222"/>
      <c r="BN102" s="222"/>
      <c r="BO102" s="222"/>
      <c r="BP102" s="222"/>
      <c r="BQ102" s="222"/>
      <c r="BR102" s="222"/>
      <c r="BS102" s="223"/>
      <c r="BT102" s="222"/>
      <c r="BU102" s="222"/>
      <c r="BV102" s="223"/>
      <c r="BW102" s="223"/>
      <c r="BX102" s="223"/>
    </row>
    <row r="103" spans="1:76" ht="11.25" customHeight="1" x14ac:dyDescent="0.25">
      <c r="A103" s="225"/>
      <c r="B103" s="219" t="s">
        <v>142</v>
      </c>
      <c r="C103" s="220" t="s">
        <v>434</v>
      </c>
      <c r="D103" s="220"/>
      <c r="E103" s="220"/>
      <c r="F103" s="221" t="s">
        <v>435</v>
      </c>
      <c r="G103" s="221"/>
      <c r="H103" s="253"/>
      <c r="I103" s="223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3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3"/>
      <c r="AU103" s="222"/>
      <c r="AV103" s="222"/>
      <c r="AW103" s="222"/>
      <c r="AX103" s="222"/>
      <c r="AY103" s="222"/>
      <c r="AZ103" s="223"/>
      <c r="BA103" s="222"/>
      <c r="BB103" s="222"/>
      <c r="BC103" s="222"/>
      <c r="BD103" s="222"/>
      <c r="BE103" s="222"/>
      <c r="BF103" s="222"/>
      <c r="BG103" s="223"/>
      <c r="BH103" s="222"/>
      <c r="BI103" s="222"/>
      <c r="BJ103" s="224"/>
      <c r="BK103" s="222"/>
      <c r="BL103" s="222"/>
      <c r="BM103" s="222"/>
      <c r="BN103" s="222"/>
      <c r="BO103" s="222"/>
      <c r="BP103" s="222"/>
      <c r="BQ103" s="222"/>
      <c r="BR103" s="222"/>
      <c r="BS103" s="223"/>
      <c r="BT103" s="222"/>
      <c r="BU103" s="222"/>
      <c r="BV103" s="223"/>
      <c r="BW103" s="223"/>
      <c r="BX103" s="223"/>
    </row>
    <row r="104" spans="1:76" ht="11.25" customHeight="1" x14ac:dyDescent="0.25">
      <c r="A104" s="225"/>
      <c r="B104" s="219" t="s">
        <v>142</v>
      </c>
      <c r="C104" s="220" t="s">
        <v>436</v>
      </c>
      <c r="D104" s="220"/>
      <c r="E104" s="220"/>
      <c r="F104" s="221" t="s">
        <v>437</v>
      </c>
      <c r="G104" s="221"/>
      <c r="H104" s="253"/>
      <c r="I104" s="223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3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3"/>
      <c r="AU104" s="222"/>
      <c r="AV104" s="222"/>
      <c r="AW104" s="222"/>
      <c r="AX104" s="222"/>
      <c r="AY104" s="222"/>
      <c r="AZ104" s="223"/>
      <c r="BA104" s="222"/>
      <c r="BB104" s="222"/>
      <c r="BC104" s="222"/>
      <c r="BD104" s="222"/>
      <c r="BE104" s="222"/>
      <c r="BF104" s="222"/>
      <c r="BG104" s="223"/>
      <c r="BH104" s="222"/>
      <c r="BI104" s="222"/>
      <c r="BJ104" s="224"/>
      <c r="BK104" s="222"/>
      <c r="BL104" s="222"/>
      <c r="BM104" s="222"/>
      <c r="BN104" s="222"/>
      <c r="BO104" s="222"/>
      <c r="BP104" s="222"/>
      <c r="BQ104" s="222"/>
      <c r="BR104" s="222"/>
      <c r="BS104" s="223"/>
      <c r="BT104" s="222"/>
      <c r="BU104" s="222"/>
      <c r="BV104" s="223"/>
      <c r="BW104" s="223"/>
      <c r="BX104" s="223"/>
    </row>
    <row r="105" spans="1:76" ht="11.25" customHeight="1" x14ac:dyDescent="0.25">
      <c r="A105" s="225"/>
      <c r="B105" s="219" t="s">
        <v>142</v>
      </c>
      <c r="C105" s="220" t="s">
        <v>438</v>
      </c>
      <c r="D105" s="220"/>
      <c r="E105" s="220"/>
      <c r="F105" s="221" t="s">
        <v>439</v>
      </c>
      <c r="G105" s="221"/>
      <c r="H105" s="253"/>
      <c r="I105" s="223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3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3"/>
      <c r="AU105" s="222"/>
      <c r="AV105" s="222"/>
      <c r="AW105" s="222"/>
      <c r="AX105" s="222"/>
      <c r="AY105" s="222"/>
      <c r="AZ105" s="223"/>
      <c r="BA105" s="222"/>
      <c r="BB105" s="222"/>
      <c r="BC105" s="222"/>
      <c r="BD105" s="222"/>
      <c r="BE105" s="222"/>
      <c r="BF105" s="222"/>
      <c r="BG105" s="223"/>
      <c r="BH105" s="222"/>
      <c r="BI105" s="222"/>
      <c r="BJ105" s="224"/>
      <c r="BK105" s="222"/>
      <c r="BL105" s="222"/>
      <c r="BM105" s="222"/>
      <c r="BN105" s="222"/>
      <c r="BO105" s="222"/>
      <c r="BP105" s="222"/>
      <c r="BQ105" s="222"/>
      <c r="BR105" s="222"/>
      <c r="BS105" s="223"/>
      <c r="BT105" s="222"/>
      <c r="BU105" s="222"/>
      <c r="BV105" s="223"/>
      <c r="BW105" s="223"/>
      <c r="BX105" s="223"/>
    </row>
    <row r="106" spans="1:76" ht="11.25" customHeight="1" x14ac:dyDescent="0.25">
      <c r="A106" s="225"/>
      <c r="B106" s="219" t="s">
        <v>142</v>
      </c>
      <c r="C106" s="220" t="s">
        <v>440</v>
      </c>
      <c r="D106" s="220"/>
      <c r="E106" s="220"/>
      <c r="F106" s="221" t="s">
        <v>441</v>
      </c>
      <c r="G106" s="221"/>
      <c r="H106" s="253"/>
      <c r="I106" s="223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3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3"/>
      <c r="AU106" s="222"/>
      <c r="AV106" s="222"/>
      <c r="AW106" s="222"/>
      <c r="AX106" s="222"/>
      <c r="AY106" s="222"/>
      <c r="AZ106" s="223"/>
      <c r="BA106" s="222"/>
      <c r="BB106" s="222"/>
      <c r="BC106" s="222"/>
      <c r="BD106" s="222"/>
      <c r="BE106" s="222"/>
      <c r="BF106" s="222"/>
      <c r="BG106" s="223"/>
      <c r="BH106" s="222"/>
      <c r="BI106" s="222"/>
      <c r="BJ106" s="224"/>
      <c r="BK106" s="222"/>
      <c r="BL106" s="222"/>
      <c r="BM106" s="222"/>
      <c r="BN106" s="222"/>
      <c r="BO106" s="222"/>
      <c r="BP106" s="222"/>
      <c r="BQ106" s="222"/>
      <c r="BR106" s="222"/>
      <c r="BS106" s="223"/>
      <c r="BT106" s="222"/>
      <c r="BU106" s="222"/>
      <c r="BV106" s="223"/>
      <c r="BW106" s="223"/>
      <c r="BX106" s="223"/>
    </row>
    <row r="107" spans="1:76" ht="11.25" customHeight="1" x14ac:dyDescent="0.25">
      <c r="A107" s="225"/>
      <c r="B107" s="219" t="s">
        <v>142</v>
      </c>
      <c r="C107" s="220" t="s">
        <v>442</v>
      </c>
      <c r="D107" s="220"/>
      <c r="E107" s="220"/>
      <c r="F107" s="221" t="s">
        <v>443</v>
      </c>
      <c r="G107" s="221"/>
      <c r="H107" s="253"/>
      <c r="I107" s="223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3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3"/>
      <c r="AU107" s="222"/>
      <c r="AV107" s="222"/>
      <c r="AW107" s="222"/>
      <c r="AX107" s="222"/>
      <c r="AY107" s="222"/>
      <c r="AZ107" s="223"/>
      <c r="BA107" s="222"/>
      <c r="BB107" s="222"/>
      <c r="BC107" s="222"/>
      <c r="BD107" s="222"/>
      <c r="BE107" s="222"/>
      <c r="BF107" s="222"/>
      <c r="BG107" s="223"/>
      <c r="BH107" s="222"/>
      <c r="BI107" s="222"/>
      <c r="BJ107" s="224"/>
      <c r="BK107" s="222"/>
      <c r="BL107" s="222"/>
      <c r="BM107" s="222"/>
      <c r="BN107" s="222"/>
      <c r="BO107" s="222"/>
      <c r="BP107" s="222"/>
      <c r="BQ107" s="222"/>
      <c r="BR107" s="222"/>
      <c r="BS107" s="223"/>
      <c r="BT107" s="222"/>
      <c r="BU107" s="222"/>
      <c r="BV107" s="223"/>
      <c r="BW107" s="223"/>
      <c r="BX107" s="223"/>
    </row>
    <row r="108" spans="1:76" ht="11.25" customHeight="1" x14ac:dyDescent="0.25">
      <c r="A108" s="261"/>
      <c r="B108" s="226" t="s">
        <v>142</v>
      </c>
      <c r="C108" s="227" t="s">
        <v>444</v>
      </c>
      <c r="D108" s="227"/>
      <c r="E108" s="227"/>
      <c r="F108" s="228" t="s">
        <v>445</v>
      </c>
      <c r="G108" s="228"/>
      <c r="H108" s="262"/>
      <c r="I108" s="230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30"/>
      <c r="X108" s="229"/>
      <c r="Y108" s="229"/>
      <c r="Z108" s="229"/>
      <c r="AA108" s="229"/>
      <c r="AB108" s="229"/>
      <c r="AC108" s="229"/>
      <c r="AD108" s="229"/>
      <c r="AE108" s="229"/>
      <c r="AF108" s="229"/>
      <c r="AG108" s="229"/>
      <c r="AH108" s="229"/>
      <c r="AI108" s="229"/>
      <c r="AJ108" s="229"/>
      <c r="AK108" s="229"/>
      <c r="AL108" s="229"/>
      <c r="AM108" s="229"/>
      <c r="AN108" s="229"/>
      <c r="AO108" s="229"/>
      <c r="AP108" s="229"/>
      <c r="AQ108" s="229"/>
      <c r="AR108" s="229"/>
      <c r="AS108" s="229"/>
      <c r="AT108" s="230"/>
      <c r="AU108" s="229"/>
      <c r="AV108" s="229"/>
      <c r="AW108" s="229"/>
      <c r="AX108" s="229"/>
      <c r="AY108" s="229"/>
      <c r="AZ108" s="230"/>
      <c r="BA108" s="229"/>
      <c r="BB108" s="229"/>
      <c r="BC108" s="229"/>
      <c r="BD108" s="229"/>
      <c r="BE108" s="229"/>
      <c r="BF108" s="229"/>
      <c r="BG108" s="230"/>
      <c r="BH108" s="229"/>
      <c r="BI108" s="229"/>
      <c r="BJ108" s="231"/>
      <c r="BK108" s="229"/>
      <c r="BL108" s="229"/>
      <c r="BM108" s="229"/>
      <c r="BN108" s="229"/>
      <c r="BO108" s="229"/>
      <c r="BP108" s="229"/>
      <c r="BQ108" s="229"/>
      <c r="BR108" s="229"/>
      <c r="BS108" s="230"/>
      <c r="BT108" s="229"/>
      <c r="BU108" s="229"/>
      <c r="BV108" s="230"/>
      <c r="BW108" s="230"/>
      <c r="BX108" s="230"/>
    </row>
    <row r="109" spans="1:76" ht="11.25" customHeight="1" x14ac:dyDescent="0.25">
      <c r="A109" s="232" t="s">
        <v>446</v>
      </c>
      <c r="B109" s="232"/>
      <c r="C109" s="232"/>
      <c r="D109" s="232"/>
      <c r="E109" s="232"/>
      <c r="F109" s="233" t="s">
        <v>447</v>
      </c>
      <c r="G109" s="233"/>
      <c r="H109" s="263"/>
      <c r="I109" s="235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5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34"/>
      <c r="AK109" s="234"/>
      <c r="AL109" s="234"/>
      <c r="AM109" s="234"/>
      <c r="AN109" s="234"/>
      <c r="AO109" s="234"/>
      <c r="AP109" s="234"/>
      <c r="AQ109" s="234"/>
      <c r="AR109" s="234"/>
      <c r="AS109" s="234"/>
      <c r="AT109" s="235"/>
      <c r="AU109" s="234"/>
      <c r="AV109" s="234"/>
      <c r="AW109" s="234"/>
      <c r="AX109" s="234"/>
      <c r="AY109" s="234"/>
      <c r="AZ109" s="235"/>
      <c r="BA109" s="234"/>
      <c r="BB109" s="264"/>
      <c r="BC109" s="264"/>
      <c r="BD109" s="264"/>
      <c r="BE109" s="264"/>
      <c r="BF109" s="234"/>
      <c r="BG109" s="235"/>
      <c r="BH109" s="234"/>
      <c r="BI109" s="234"/>
      <c r="BJ109" s="236"/>
      <c r="BK109" s="234"/>
      <c r="BL109" s="234"/>
      <c r="BM109" s="234"/>
      <c r="BN109" s="234"/>
      <c r="BO109" s="234"/>
      <c r="BP109" s="234"/>
      <c r="BQ109" s="234"/>
      <c r="BR109" s="234"/>
      <c r="BS109" s="235"/>
      <c r="BT109" s="234"/>
      <c r="BU109" s="234"/>
      <c r="BV109" s="235"/>
      <c r="BW109" s="235"/>
      <c r="BX109" s="235"/>
    </row>
    <row r="110" spans="1:76" ht="11.25" customHeight="1" x14ac:dyDescent="0.25">
      <c r="A110" s="239" t="s">
        <v>142</v>
      </c>
      <c r="B110" s="240" t="s">
        <v>448</v>
      </c>
      <c r="C110" s="240"/>
      <c r="D110" s="240"/>
      <c r="E110" s="240"/>
      <c r="F110" s="241" t="s">
        <v>449</v>
      </c>
      <c r="G110" s="241"/>
      <c r="H110" s="265"/>
      <c r="I110" s="243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3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3"/>
      <c r="AU110" s="244"/>
      <c r="AV110" s="244"/>
      <c r="AW110" s="244"/>
      <c r="AX110" s="244"/>
      <c r="AY110" s="244"/>
      <c r="AZ110" s="243"/>
      <c r="BA110" s="266"/>
      <c r="BB110" s="266"/>
      <c r="BC110" s="266"/>
      <c r="BD110" s="266"/>
      <c r="BE110" s="266"/>
      <c r="BF110" s="244"/>
      <c r="BG110" s="243"/>
      <c r="BH110" s="244"/>
      <c r="BI110" s="244"/>
      <c r="BJ110" s="246"/>
      <c r="BK110" s="244"/>
      <c r="BL110" s="244"/>
      <c r="BM110" s="244"/>
      <c r="BN110" s="244"/>
      <c r="BO110" s="244"/>
      <c r="BP110" s="244"/>
      <c r="BQ110" s="244"/>
      <c r="BR110" s="244"/>
      <c r="BS110" s="243"/>
      <c r="BT110" s="244"/>
      <c r="BU110" s="244"/>
      <c r="BV110" s="243"/>
      <c r="BW110" s="243"/>
      <c r="BX110" s="243"/>
    </row>
    <row r="111" spans="1:76" ht="11.25" customHeight="1" x14ac:dyDescent="0.25">
      <c r="A111" s="219" t="s">
        <v>142</v>
      </c>
      <c r="B111" s="220" t="s">
        <v>450</v>
      </c>
      <c r="C111" s="220"/>
      <c r="D111" s="220"/>
      <c r="E111" s="220"/>
      <c r="F111" s="221" t="s">
        <v>451</v>
      </c>
      <c r="G111" s="221"/>
      <c r="H111" s="253"/>
      <c r="I111" s="223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3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3"/>
      <c r="AU111" s="222"/>
      <c r="AV111" s="222"/>
      <c r="AW111" s="222"/>
      <c r="AX111" s="222"/>
      <c r="AY111" s="222"/>
      <c r="AZ111" s="223"/>
      <c r="BA111" s="222"/>
      <c r="BB111" s="222"/>
      <c r="BC111" s="222"/>
      <c r="BD111" s="222"/>
      <c r="BE111" s="222"/>
      <c r="BF111" s="222"/>
      <c r="BG111" s="223"/>
      <c r="BH111" s="222"/>
      <c r="BI111" s="222"/>
      <c r="BJ111" s="224"/>
      <c r="BK111" s="222"/>
      <c r="BL111" s="222"/>
      <c r="BM111" s="222"/>
      <c r="BN111" s="222"/>
      <c r="BO111" s="222"/>
      <c r="BP111" s="222"/>
      <c r="BQ111" s="222"/>
      <c r="BR111" s="222"/>
      <c r="BS111" s="223"/>
      <c r="BT111" s="222"/>
      <c r="BU111" s="222"/>
      <c r="BV111" s="223"/>
      <c r="BW111" s="223"/>
      <c r="BX111" s="223"/>
    </row>
    <row r="112" spans="1:76" ht="11.25" customHeight="1" x14ac:dyDescent="0.25">
      <c r="A112" s="226" t="s">
        <v>142</v>
      </c>
      <c r="B112" s="227" t="s">
        <v>452</v>
      </c>
      <c r="C112" s="227"/>
      <c r="D112" s="227"/>
      <c r="E112" s="227"/>
      <c r="F112" s="228" t="s">
        <v>453</v>
      </c>
      <c r="G112" s="228"/>
      <c r="H112" s="262"/>
      <c r="I112" s="230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30"/>
      <c r="X112" s="229"/>
      <c r="Y112" s="229"/>
      <c r="Z112" s="229"/>
      <c r="AA112" s="229"/>
      <c r="AB112" s="229"/>
      <c r="AC112" s="229"/>
      <c r="AD112" s="229"/>
      <c r="AE112" s="229"/>
      <c r="AF112" s="229"/>
      <c r="AG112" s="229"/>
      <c r="AH112" s="229"/>
      <c r="AI112" s="229"/>
      <c r="AJ112" s="229"/>
      <c r="AK112" s="229"/>
      <c r="AL112" s="229"/>
      <c r="AM112" s="229"/>
      <c r="AN112" s="229"/>
      <c r="AO112" s="229"/>
      <c r="AP112" s="229"/>
      <c r="AQ112" s="229"/>
      <c r="AR112" s="229"/>
      <c r="AS112" s="229"/>
      <c r="AT112" s="230"/>
      <c r="AU112" s="229"/>
      <c r="AV112" s="229"/>
      <c r="AW112" s="229"/>
      <c r="AX112" s="229"/>
      <c r="AY112" s="229"/>
      <c r="AZ112" s="230"/>
      <c r="BA112" s="229"/>
      <c r="BB112" s="229"/>
      <c r="BC112" s="229"/>
      <c r="BD112" s="229"/>
      <c r="BE112" s="229"/>
      <c r="BF112" s="229"/>
      <c r="BG112" s="230"/>
      <c r="BH112" s="229"/>
      <c r="BI112" s="229"/>
      <c r="BJ112" s="231"/>
      <c r="BK112" s="229"/>
      <c r="BL112" s="229"/>
      <c r="BM112" s="229"/>
      <c r="BN112" s="229"/>
      <c r="BO112" s="229"/>
      <c r="BP112" s="229"/>
      <c r="BQ112" s="229"/>
      <c r="BR112" s="229"/>
      <c r="BS112" s="230"/>
      <c r="BT112" s="229"/>
      <c r="BU112" s="229"/>
      <c r="BV112" s="230"/>
      <c r="BW112" s="230"/>
      <c r="BX112" s="230"/>
    </row>
    <row r="113" spans="1:76" ht="11.25" customHeight="1" x14ac:dyDescent="0.25">
      <c r="A113" s="232" t="s">
        <v>454</v>
      </c>
      <c r="B113" s="232"/>
      <c r="C113" s="232"/>
      <c r="D113" s="232"/>
      <c r="E113" s="232"/>
      <c r="F113" s="233" t="s">
        <v>455</v>
      </c>
      <c r="G113" s="233"/>
      <c r="H113" s="263"/>
      <c r="I113" s="235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5"/>
      <c r="X113" s="234"/>
      <c r="Y113" s="234"/>
      <c r="Z113" s="234"/>
      <c r="AA113" s="234"/>
      <c r="AB113" s="234"/>
      <c r="AC113" s="234"/>
      <c r="AD113" s="234"/>
      <c r="AE113" s="234"/>
      <c r="AF113" s="234"/>
      <c r="AG113" s="234"/>
      <c r="AH113" s="234"/>
      <c r="AI113" s="234"/>
      <c r="AJ113" s="234"/>
      <c r="AK113" s="234"/>
      <c r="AL113" s="234"/>
      <c r="AM113" s="234"/>
      <c r="AN113" s="234"/>
      <c r="AO113" s="234"/>
      <c r="AP113" s="234"/>
      <c r="AQ113" s="234"/>
      <c r="AR113" s="234"/>
      <c r="AS113" s="234"/>
      <c r="AT113" s="235"/>
      <c r="AU113" s="234"/>
      <c r="AV113" s="234"/>
      <c r="AW113" s="234"/>
      <c r="AX113" s="234"/>
      <c r="AY113" s="234"/>
      <c r="AZ113" s="235"/>
      <c r="BA113" s="234"/>
      <c r="BB113" s="234"/>
      <c r="BC113" s="234"/>
      <c r="BD113" s="234"/>
      <c r="BE113" s="234"/>
      <c r="BF113" s="234"/>
      <c r="BG113" s="235"/>
      <c r="BH113" s="234"/>
      <c r="BI113" s="234"/>
      <c r="BJ113" s="236"/>
      <c r="BK113" s="234"/>
      <c r="BL113" s="234"/>
      <c r="BM113" s="234"/>
      <c r="BN113" s="234"/>
      <c r="BO113" s="234"/>
      <c r="BP113" s="234"/>
      <c r="BQ113" s="234"/>
      <c r="BR113" s="234"/>
      <c r="BS113" s="235"/>
      <c r="BT113" s="234"/>
      <c r="BU113" s="234"/>
      <c r="BV113" s="235"/>
      <c r="BW113" s="235"/>
      <c r="BX113" s="235"/>
    </row>
    <row r="114" spans="1:76" ht="11.25" customHeight="1" x14ac:dyDescent="0.25">
      <c r="A114" s="239" t="s">
        <v>142</v>
      </c>
      <c r="B114" s="240" t="s">
        <v>456</v>
      </c>
      <c r="C114" s="240"/>
      <c r="D114" s="240"/>
      <c r="E114" s="240"/>
      <c r="F114" s="241" t="s">
        <v>457</v>
      </c>
      <c r="G114" s="241"/>
      <c r="H114" s="265"/>
      <c r="I114" s="243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3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3"/>
      <c r="AU114" s="244"/>
      <c r="AV114" s="244"/>
      <c r="AW114" s="244"/>
      <c r="AX114" s="244"/>
      <c r="AY114" s="244"/>
      <c r="AZ114" s="243"/>
      <c r="BA114" s="244"/>
      <c r="BB114" s="244"/>
      <c r="BC114" s="244"/>
      <c r="BD114" s="244"/>
      <c r="BE114" s="244"/>
      <c r="BF114" s="244"/>
      <c r="BG114" s="243"/>
      <c r="BH114" s="244"/>
      <c r="BI114" s="244"/>
      <c r="BJ114" s="246"/>
      <c r="BK114" s="244"/>
      <c r="BL114" s="244"/>
      <c r="BM114" s="244"/>
      <c r="BN114" s="244"/>
      <c r="BO114" s="244"/>
      <c r="BP114" s="244"/>
      <c r="BQ114" s="244"/>
      <c r="BR114" s="244"/>
      <c r="BS114" s="243"/>
      <c r="BT114" s="244"/>
      <c r="BU114" s="244"/>
      <c r="BV114" s="243"/>
      <c r="BW114" s="243"/>
      <c r="BX114" s="243"/>
    </row>
    <row r="115" spans="1:76" ht="11.25" customHeight="1" x14ac:dyDescent="0.25">
      <c r="A115" s="219" t="s">
        <v>142</v>
      </c>
      <c r="B115" s="220" t="s">
        <v>458</v>
      </c>
      <c r="C115" s="220"/>
      <c r="D115" s="220"/>
      <c r="E115" s="220"/>
      <c r="F115" s="221" t="s">
        <v>459</v>
      </c>
      <c r="G115" s="221"/>
      <c r="H115" s="253"/>
      <c r="I115" s="223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3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3"/>
      <c r="AU115" s="222"/>
      <c r="AV115" s="222"/>
      <c r="AW115" s="222"/>
      <c r="AX115" s="222"/>
      <c r="AY115" s="222"/>
      <c r="AZ115" s="223"/>
      <c r="BA115" s="222"/>
      <c r="BB115" s="222"/>
      <c r="BC115" s="222"/>
      <c r="BD115" s="222"/>
      <c r="BE115" s="222"/>
      <c r="BF115" s="222"/>
      <c r="BG115" s="223"/>
      <c r="BH115" s="222"/>
      <c r="BI115" s="222"/>
      <c r="BJ115" s="224"/>
      <c r="BK115" s="222"/>
      <c r="BL115" s="222"/>
      <c r="BM115" s="222"/>
      <c r="BN115" s="222"/>
      <c r="BO115" s="222"/>
      <c r="BP115" s="222"/>
      <c r="BQ115" s="222"/>
      <c r="BR115" s="222"/>
      <c r="BS115" s="223"/>
      <c r="BT115" s="222"/>
      <c r="BU115" s="222"/>
      <c r="BV115" s="223"/>
      <c r="BW115" s="223"/>
      <c r="BX115" s="223"/>
    </row>
    <row r="116" spans="1:76" ht="11.25" customHeight="1" x14ac:dyDescent="0.25">
      <c r="A116" s="219"/>
      <c r="B116" s="219" t="s">
        <v>142</v>
      </c>
      <c r="C116" s="220" t="s">
        <v>460</v>
      </c>
      <c r="D116" s="220"/>
      <c r="E116" s="220"/>
      <c r="F116" s="221" t="s">
        <v>461</v>
      </c>
      <c r="G116" s="221"/>
      <c r="H116" s="253"/>
      <c r="I116" s="223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3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3"/>
      <c r="AU116" s="222"/>
      <c r="AV116" s="222"/>
      <c r="AW116" s="222"/>
      <c r="AX116" s="222"/>
      <c r="AY116" s="222"/>
      <c r="AZ116" s="223"/>
      <c r="BA116" s="222"/>
      <c r="BB116" s="222"/>
      <c r="BC116" s="222"/>
      <c r="BD116" s="222"/>
      <c r="BE116" s="222"/>
      <c r="BF116" s="222"/>
      <c r="BG116" s="223"/>
      <c r="BH116" s="222"/>
      <c r="BI116" s="222"/>
      <c r="BJ116" s="224"/>
      <c r="BK116" s="222"/>
      <c r="BL116" s="222"/>
      <c r="BM116" s="222"/>
      <c r="BN116" s="222"/>
      <c r="BO116" s="222"/>
      <c r="BP116" s="222"/>
      <c r="BQ116" s="222"/>
      <c r="BR116" s="222"/>
      <c r="BS116" s="223"/>
      <c r="BT116" s="222"/>
      <c r="BU116" s="222"/>
      <c r="BV116" s="223"/>
      <c r="BW116" s="223"/>
      <c r="BX116" s="223"/>
    </row>
    <row r="117" spans="1:76" ht="11.25" customHeight="1" x14ac:dyDescent="0.25">
      <c r="A117" s="219"/>
      <c r="B117" s="219" t="s">
        <v>163</v>
      </c>
      <c r="C117" s="220" t="s">
        <v>462</v>
      </c>
      <c r="D117" s="220"/>
      <c r="E117" s="220"/>
      <c r="F117" s="221" t="s">
        <v>463</v>
      </c>
      <c r="G117" s="221"/>
      <c r="H117" s="253"/>
      <c r="I117" s="223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3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3"/>
      <c r="AU117" s="222"/>
      <c r="AV117" s="222"/>
      <c r="AW117" s="222"/>
      <c r="AX117" s="222"/>
      <c r="AY117" s="222"/>
      <c r="AZ117" s="223"/>
      <c r="BA117" s="222"/>
      <c r="BB117" s="222"/>
      <c r="BC117" s="222"/>
      <c r="BD117" s="222"/>
      <c r="BE117" s="222"/>
      <c r="BF117" s="222"/>
      <c r="BG117" s="223"/>
      <c r="BH117" s="222"/>
      <c r="BI117" s="222"/>
      <c r="BJ117" s="224"/>
      <c r="BK117" s="222"/>
      <c r="BL117" s="222"/>
      <c r="BM117" s="222"/>
      <c r="BN117" s="222"/>
      <c r="BO117" s="222"/>
      <c r="BP117" s="222"/>
      <c r="BQ117" s="222"/>
      <c r="BR117" s="222"/>
      <c r="BS117" s="223"/>
      <c r="BT117" s="222"/>
      <c r="BU117" s="222"/>
      <c r="BV117" s="223"/>
      <c r="BW117" s="223"/>
      <c r="BX117" s="223"/>
    </row>
    <row r="118" spans="1:76" ht="11.25" customHeight="1" x14ac:dyDescent="0.25">
      <c r="A118" s="219"/>
      <c r="B118" s="219"/>
      <c r="C118" s="219" t="s">
        <v>142</v>
      </c>
      <c r="D118" s="220" t="s">
        <v>464</v>
      </c>
      <c r="E118" s="220"/>
      <c r="F118" s="221" t="s">
        <v>465</v>
      </c>
      <c r="G118" s="221"/>
      <c r="H118" s="253"/>
      <c r="I118" s="223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3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3"/>
      <c r="AU118" s="222"/>
      <c r="AV118" s="222"/>
      <c r="AW118" s="222"/>
      <c r="AX118" s="222"/>
      <c r="AY118" s="222"/>
      <c r="AZ118" s="223"/>
      <c r="BA118" s="222"/>
      <c r="BB118" s="222"/>
      <c r="BC118" s="222"/>
      <c r="BD118" s="222"/>
      <c r="BE118" s="222"/>
      <c r="BF118" s="222"/>
      <c r="BG118" s="223"/>
      <c r="BH118" s="222"/>
      <c r="BI118" s="222"/>
      <c r="BJ118" s="224"/>
      <c r="BK118" s="222"/>
      <c r="BL118" s="222"/>
      <c r="BM118" s="222"/>
      <c r="BN118" s="222"/>
      <c r="BO118" s="222"/>
      <c r="BP118" s="222"/>
      <c r="BQ118" s="222"/>
      <c r="BR118" s="222"/>
      <c r="BS118" s="223"/>
      <c r="BT118" s="222"/>
      <c r="BU118" s="222"/>
      <c r="BV118" s="223"/>
      <c r="BW118" s="223"/>
      <c r="BX118" s="223"/>
    </row>
    <row r="119" spans="1:76" ht="11.25" customHeight="1" x14ac:dyDescent="0.25">
      <c r="A119" s="219"/>
      <c r="B119" s="219"/>
      <c r="C119" s="219" t="s">
        <v>142</v>
      </c>
      <c r="D119" s="220" t="s">
        <v>466</v>
      </c>
      <c r="E119" s="220"/>
      <c r="F119" s="221" t="s">
        <v>467</v>
      </c>
      <c r="G119" s="221"/>
      <c r="H119" s="253"/>
      <c r="I119" s="223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3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3"/>
      <c r="AU119" s="222"/>
      <c r="AV119" s="222"/>
      <c r="AW119" s="222"/>
      <c r="AX119" s="222"/>
      <c r="AY119" s="222"/>
      <c r="AZ119" s="223"/>
      <c r="BA119" s="222"/>
      <c r="BB119" s="222"/>
      <c r="BC119" s="222"/>
      <c r="BD119" s="222"/>
      <c r="BE119" s="222"/>
      <c r="BF119" s="222"/>
      <c r="BG119" s="223"/>
      <c r="BH119" s="222"/>
      <c r="BI119" s="222"/>
      <c r="BJ119" s="224"/>
      <c r="BK119" s="222"/>
      <c r="BL119" s="222"/>
      <c r="BM119" s="222"/>
      <c r="BN119" s="222"/>
      <c r="BO119" s="222"/>
      <c r="BP119" s="222"/>
      <c r="BQ119" s="222"/>
      <c r="BR119" s="222"/>
      <c r="BS119" s="223"/>
      <c r="BT119" s="222"/>
      <c r="BU119" s="222"/>
      <c r="BV119" s="223"/>
      <c r="BW119" s="223"/>
      <c r="BX119" s="223"/>
    </row>
    <row r="120" spans="1:76" ht="11.25" customHeight="1" x14ac:dyDescent="0.25">
      <c r="A120" s="219" t="s">
        <v>142</v>
      </c>
      <c r="B120" s="220" t="s">
        <v>468</v>
      </c>
      <c r="C120" s="220"/>
      <c r="D120" s="220"/>
      <c r="E120" s="220"/>
      <c r="F120" s="221" t="s">
        <v>469</v>
      </c>
      <c r="G120" s="221"/>
      <c r="H120" s="253"/>
      <c r="I120" s="223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3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3"/>
      <c r="AU120" s="222"/>
      <c r="AV120" s="222"/>
      <c r="AW120" s="222"/>
      <c r="AX120" s="222"/>
      <c r="AY120" s="222"/>
      <c r="AZ120" s="223"/>
      <c r="BA120" s="222"/>
      <c r="BB120" s="222"/>
      <c r="BC120" s="222"/>
      <c r="BD120" s="222"/>
      <c r="BE120" s="222"/>
      <c r="BF120" s="222"/>
      <c r="BG120" s="223"/>
      <c r="BH120" s="222"/>
      <c r="BI120" s="222"/>
      <c r="BJ120" s="224"/>
      <c r="BK120" s="222"/>
      <c r="BL120" s="222"/>
      <c r="BM120" s="222"/>
      <c r="BN120" s="222"/>
      <c r="BO120" s="222"/>
      <c r="BP120" s="222"/>
      <c r="BQ120" s="222"/>
      <c r="BR120" s="222"/>
      <c r="BS120" s="223"/>
      <c r="BT120" s="222"/>
      <c r="BU120" s="222"/>
      <c r="BV120" s="223"/>
      <c r="BW120" s="223"/>
      <c r="BX120" s="223"/>
    </row>
    <row r="121" spans="1:76" ht="11.25" customHeight="1" x14ac:dyDescent="0.25">
      <c r="A121" s="219" t="s">
        <v>142</v>
      </c>
      <c r="B121" s="220" t="s">
        <v>470</v>
      </c>
      <c r="C121" s="220"/>
      <c r="D121" s="220"/>
      <c r="E121" s="220"/>
      <c r="F121" s="221" t="s">
        <v>471</v>
      </c>
      <c r="G121" s="221"/>
      <c r="H121" s="253"/>
      <c r="I121" s="223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3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3"/>
      <c r="AU121" s="222"/>
      <c r="AV121" s="222"/>
      <c r="AW121" s="222"/>
      <c r="AX121" s="222"/>
      <c r="AY121" s="222"/>
      <c r="AZ121" s="223"/>
      <c r="BA121" s="222"/>
      <c r="BB121" s="222"/>
      <c r="BC121" s="222"/>
      <c r="BD121" s="222"/>
      <c r="BE121" s="222"/>
      <c r="BF121" s="222"/>
      <c r="BG121" s="223"/>
      <c r="BH121" s="222"/>
      <c r="BI121" s="222"/>
      <c r="BJ121" s="224"/>
      <c r="BK121" s="222"/>
      <c r="BL121" s="222"/>
      <c r="BM121" s="222"/>
      <c r="BN121" s="222"/>
      <c r="BO121" s="222"/>
      <c r="BP121" s="222"/>
      <c r="BQ121" s="222"/>
      <c r="BR121" s="222"/>
      <c r="BS121" s="223"/>
      <c r="BT121" s="222"/>
      <c r="BU121" s="222"/>
      <c r="BV121" s="223"/>
      <c r="BW121" s="223"/>
      <c r="BX121" s="223"/>
    </row>
    <row r="122" spans="1:76" ht="11.25" customHeight="1" x14ac:dyDescent="0.25">
      <c r="A122" s="219" t="s">
        <v>142</v>
      </c>
      <c r="B122" s="220" t="s">
        <v>472</v>
      </c>
      <c r="C122" s="220"/>
      <c r="D122" s="220"/>
      <c r="E122" s="220"/>
      <c r="F122" s="221" t="s">
        <v>473</v>
      </c>
      <c r="G122" s="221"/>
      <c r="H122" s="253"/>
      <c r="I122" s="223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3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3"/>
      <c r="AU122" s="222"/>
      <c r="AV122" s="222"/>
      <c r="AW122" s="222"/>
      <c r="AX122" s="222"/>
      <c r="AY122" s="222"/>
      <c r="AZ122" s="223"/>
      <c r="BA122" s="222"/>
      <c r="BB122" s="222"/>
      <c r="BC122" s="222"/>
      <c r="BD122" s="222"/>
      <c r="BE122" s="222"/>
      <c r="BF122" s="222"/>
      <c r="BG122" s="223"/>
      <c r="BH122" s="222"/>
      <c r="BI122" s="222"/>
      <c r="BJ122" s="224"/>
      <c r="BK122" s="222"/>
      <c r="BL122" s="222"/>
      <c r="BM122" s="222"/>
      <c r="BN122" s="222"/>
      <c r="BO122" s="222"/>
      <c r="BP122" s="222"/>
      <c r="BQ122" s="222"/>
      <c r="BR122" s="222"/>
      <c r="BS122" s="223"/>
      <c r="BT122" s="222"/>
      <c r="BU122" s="222"/>
      <c r="BV122" s="223"/>
      <c r="BW122" s="223"/>
      <c r="BX122" s="223"/>
    </row>
    <row r="123" spans="1:76" ht="11.25" customHeight="1" x14ac:dyDescent="0.25">
      <c r="A123" s="219" t="s">
        <v>142</v>
      </c>
      <c r="B123" s="220" t="s">
        <v>474</v>
      </c>
      <c r="C123" s="220"/>
      <c r="D123" s="220"/>
      <c r="E123" s="220"/>
      <c r="F123" s="221" t="s">
        <v>475</v>
      </c>
      <c r="G123" s="221"/>
      <c r="H123" s="253"/>
      <c r="I123" s="223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3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3"/>
      <c r="AU123" s="222"/>
      <c r="AV123" s="222"/>
      <c r="AW123" s="222"/>
      <c r="AX123" s="222"/>
      <c r="AY123" s="222"/>
      <c r="AZ123" s="223"/>
      <c r="BA123" s="222"/>
      <c r="BB123" s="222"/>
      <c r="BC123" s="222"/>
      <c r="BD123" s="222"/>
      <c r="BE123" s="222"/>
      <c r="BF123" s="222"/>
      <c r="BG123" s="223"/>
      <c r="BH123" s="222"/>
      <c r="BI123" s="222"/>
      <c r="BJ123" s="224"/>
      <c r="BK123" s="222"/>
      <c r="BL123" s="222"/>
      <c r="BM123" s="222"/>
      <c r="BN123" s="222"/>
      <c r="BO123" s="222"/>
      <c r="BP123" s="222"/>
      <c r="BQ123" s="222"/>
      <c r="BR123" s="222"/>
      <c r="BS123" s="223"/>
      <c r="BT123" s="222"/>
      <c r="BU123" s="222"/>
      <c r="BV123" s="223"/>
      <c r="BW123" s="223"/>
      <c r="BX123" s="223"/>
    </row>
    <row r="124" spans="1:76" ht="11.25" customHeight="1" x14ac:dyDescent="0.25">
      <c r="A124" s="219" t="s">
        <v>142</v>
      </c>
      <c r="B124" s="220" t="s">
        <v>310</v>
      </c>
      <c r="C124" s="220"/>
      <c r="D124" s="220"/>
      <c r="E124" s="220"/>
      <c r="F124" s="221" t="s">
        <v>476</v>
      </c>
      <c r="G124" s="221"/>
      <c r="H124" s="253"/>
      <c r="I124" s="223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3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3"/>
      <c r="AU124" s="222"/>
      <c r="AV124" s="222"/>
      <c r="AW124" s="222"/>
      <c r="AX124" s="222"/>
      <c r="AY124" s="222"/>
      <c r="AZ124" s="223"/>
      <c r="BA124" s="222"/>
      <c r="BB124" s="222"/>
      <c r="BC124" s="222"/>
      <c r="BD124" s="222"/>
      <c r="BE124" s="222"/>
      <c r="BF124" s="222"/>
      <c r="BG124" s="223"/>
      <c r="BH124" s="222"/>
      <c r="BI124" s="222"/>
      <c r="BJ124" s="224"/>
      <c r="BK124" s="222"/>
      <c r="BL124" s="222"/>
      <c r="BM124" s="222"/>
      <c r="BN124" s="222"/>
      <c r="BO124" s="222"/>
      <c r="BP124" s="222"/>
      <c r="BQ124" s="222"/>
      <c r="BR124" s="222"/>
      <c r="BS124" s="223"/>
      <c r="BT124" s="222"/>
      <c r="BU124" s="222"/>
      <c r="BV124" s="223"/>
      <c r="BW124" s="223"/>
      <c r="BX124" s="223"/>
    </row>
    <row r="125" spans="1:76" ht="11.25" customHeight="1" x14ac:dyDescent="0.25">
      <c r="A125" s="219" t="s">
        <v>142</v>
      </c>
      <c r="B125" s="220" t="s">
        <v>477</v>
      </c>
      <c r="C125" s="220"/>
      <c r="D125" s="220"/>
      <c r="E125" s="220"/>
      <c r="F125" s="221" t="s">
        <v>478</v>
      </c>
      <c r="G125" s="221"/>
      <c r="H125" s="253"/>
      <c r="I125" s="223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3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3"/>
      <c r="AU125" s="222"/>
      <c r="AV125" s="222"/>
      <c r="AW125" s="222"/>
      <c r="AX125" s="222"/>
      <c r="AY125" s="222"/>
      <c r="AZ125" s="223"/>
      <c r="BA125" s="222"/>
      <c r="BB125" s="222"/>
      <c r="BC125" s="222"/>
      <c r="BD125" s="222"/>
      <c r="BE125" s="222"/>
      <c r="BF125" s="222"/>
      <c r="BG125" s="223"/>
      <c r="BH125" s="222"/>
      <c r="BI125" s="222"/>
      <c r="BJ125" s="224"/>
      <c r="BK125" s="222"/>
      <c r="BL125" s="222"/>
      <c r="BM125" s="222"/>
      <c r="BN125" s="222"/>
      <c r="BO125" s="222"/>
      <c r="BP125" s="222"/>
      <c r="BQ125" s="222"/>
      <c r="BR125" s="222"/>
      <c r="BS125" s="223"/>
      <c r="BT125" s="222"/>
      <c r="BU125" s="222"/>
      <c r="BV125" s="223"/>
      <c r="BW125" s="223"/>
      <c r="BX125" s="223"/>
    </row>
    <row r="126" spans="1:76" ht="11.25" customHeight="1" x14ac:dyDescent="0.25">
      <c r="A126" s="219" t="s">
        <v>142</v>
      </c>
      <c r="B126" s="220" t="s">
        <v>312</v>
      </c>
      <c r="C126" s="220"/>
      <c r="D126" s="220"/>
      <c r="E126" s="220"/>
      <c r="F126" s="221" t="s">
        <v>479</v>
      </c>
      <c r="G126" s="221"/>
      <c r="H126" s="253"/>
      <c r="I126" s="223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3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3"/>
      <c r="AU126" s="222"/>
      <c r="AV126" s="222"/>
      <c r="AW126" s="222"/>
      <c r="AX126" s="222"/>
      <c r="AY126" s="222"/>
      <c r="AZ126" s="223"/>
      <c r="BA126" s="222"/>
      <c r="BB126" s="222"/>
      <c r="BC126" s="222"/>
      <c r="BD126" s="222"/>
      <c r="BE126" s="222"/>
      <c r="BF126" s="222"/>
      <c r="BG126" s="223"/>
      <c r="BH126" s="222"/>
      <c r="BI126" s="222"/>
      <c r="BJ126" s="224"/>
      <c r="BK126" s="222"/>
      <c r="BL126" s="222"/>
      <c r="BM126" s="222"/>
      <c r="BN126" s="222"/>
      <c r="BO126" s="222"/>
      <c r="BP126" s="222"/>
      <c r="BQ126" s="222"/>
      <c r="BR126" s="222"/>
      <c r="BS126" s="223"/>
      <c r="BT126" s="222"/>
      <c r="BU126" s="222"/>
      <c r="BV126" s="223"/>
      <c r="BW126" s="223"/>
      <c r="BX126" s="223"/>
    </row>
    <row r="127" spans="1:76" ht="11.25" customHeight="1" x14ac:dyDescent="0.25">
      <c r="A127" s="219" t="s">
        <v>142</v>
      </c>
      <c r="B127" s="220" t="s">
        <v>296</v>
      </c>
      <c r="C127" s="220"/>
      <c r="D127" s="220"/>
      <c r="E127" s="220"/>
      <c r="F127" s="221" t="s">
        <v>480</v>
      </c>
      <c r="G127" s="221"/>
      <c r="H127" s="253"/>
      <c r="I127" s="223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3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3"/>
      <c r="AU127" s="222"/>
      <c r="AV127" s="222"/>
      <c r="AW127" s="222"/>
      <c r="AX127" s="222"/>
      <c r="AY127" s="222"/>
      <c r="AZ127" s="223"/>
      <c r="BA127" s="222"/>
      <c r="BB127" s="222"/>
      <c r="BC127" s="222"/>
      <c r="BD127" s="222"/>
      <c r="BE127" s="222"/>
      <c r="BF127" s="222"/>
      <c r="BG127" s="223"/>
      <c r="BH127" s="222"/>
      <c r="BI127" s="222"/>
      <c r="BJ127" s="224"/>
      <c r="BK127" s="222"/>
      <c r="BL127" s="222"/>
      <c r="BM127" s="222"/>
      <c r="BN127" s="222"/>
      <c r="BO127" s="222"/>
      <c r="BP127" s="222"/>
      <c r="BQ127" s="222"/>
      <c r="BR127" s="222"/>
      <c r="BS127" s="223"/>
      <c r="BT127" s="222"/>
      <c r="BU127" s="222"/>
      <c r="BV127" s="223"/>
      <c r="BW127" s="223"/>
      <c r="BX127" s="223"/>
    </row>
    <row r="128" spans="1:76" ht="11.25" customHeight="1" x14ac:dyDescent="0.25">
      <c r="A128" s="219" t="s">
        <v>142</v>
      </c>
      <c r="B128" s="220" t="s">
        <v>106</v>
      </c>
      <c r="C128" s="220"/>
      <c r="D128" s="220"/>
      <c r="E128" s="220"/>
      <c r="F128" s="221" t="s">
        <v>481</v>
      </c>
      <c r="G128" s="221"/>
      <c r="H128" s="253"/>
      <c r="I128" s="223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3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3"/>
      <c r="AU128" s="222"/>
      <c r="AV128" s="222"/>
      <c r="AW128" s="222"/>
      <c r="AX128" s="222"/>
      <c r="AY128" s="222"/>
      <c r="AZ128" s="223"/>
      <c r="BA128" s="222"/>
      <c r="BB128" s="222"/>
      <c r="BC128" s="222"/>
      <c r="BD128" s="222"/>
      <c r="BE128" s="222"/>
      <c r="BF128" s="222"/>
      <c r="BG128" s="223"/>
      <c r="BH128" s="222"/>
      <c r="BI128" s="222"/>
      <c r="BJ128" s="224"/>
      <c r="BK128" s="222"/>
      <c r="BL128" s="222"/>
      <c r="BM128" s="222"/>
      <c r="BN128" s="222"/>
      <c r="BO128" s="222"/>
      <c r="BP128" s="222"/>
      <c r="BQ128" s="222"/>
      <c r="BR128" s="222"/>
      <c r="BS128" s="223"/>
      <c r="BT128" s="222"/>
      <c r="BU128" s="222"/>
      <c r="BV128" s="223"/>
      <c r="BW128" s="223"/>
      <c r="BX128" s="223"/>
    </row>
    <row r="129" spans="1:76" ht="11.25" customHeight="1" x14ac:dyDescent="0.25">
      <c r="A129" s="219" t="s">
        <v>142</v>
      </c>
      <c r="B129" s="220" t="s">
        <v>314</v>
      </c>
      <c r="C129" s="220"/>
      <c r="D129" s="220"/>
      <c r="E129" s="220"/>
      <c r="F129" s="221" t="s">
        <v>482</v>
      </c>
      <c r="G129" s="221"/>
      <c r="H129" s="253"/>
      <c r="I129" s="223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3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3"/>
      <c r="AU129" s="222"/>
      <c r="AV129" s="222"/>
      <c r="AW129" s="222"/>
      <c r="AX129" s="222"/>
      <c r="AY129" s="222"/>
      <c r="AZ129" s="223"/>
      <c r="BA129" s="222"/>
      <c r="BB129" s="222"/>
      <c r="BC129" s="222"/>
      <c r="BD129" s="222"/>
      <c r="BE129" s="222"/>
      <c r="BF129" s="222"/>
      <c r="BG129" s="223"/>
      <c r="BH129" s="222"/>
      <c r="BI129" s="222"/>
      <c r="BJ129" s="224"/>
      <c r="BK129" s="222"/>
      <c r="BL129" s="222"/>
      <c r="BM129" s="222"/>
      <c r="BN129" s="222"/>
      <c r="BO129" s="222"/>
      <c r="BP129" s="222"/>
      <c r="BQ129" s="222"/>
      <c r="BR129" s="222"/>
      <c r="BS129" s="223"/>
      <c r="BT129" s="222"/>
      <c r="BU129" s="222"/>
      <c r="BV129" s="223"/>
      <c r="BW129" s="223"/>
      <c r="BX129" s="223"/>
    </row>
    <row r="130" spans="1:76" ht="11.25" customHeight="1" x14ac:dyDescent="0.25">
      <c r="A130" s="219" t="s">
        <v>142</v>
      </c>
      <c r="B130" s="220" t="s">
        <v>483</v>
      </c>
      <c r="C130" s="220"/>
      <c r="D130" s="220"/>
      <c r="E130" s="220"/>
      <c r="F130" s="221" t="s">
        <v>484</v>
      </c>
      <c r="G130" s="221"/>
      <c r="H130" s="253"/>
      <c r="I130" s="223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3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3"/>
      <c r="AU130" s="222"/>
      <c r="AV130" s="222"/>
      <c r="AW130" s="222"/>
      <c r="AX130" s="222"/>
      <c r="AY130" s="222"/>
      <c r="AZ130" s="223"/>
      <c r="BA130" s="222"/>
      <c r="BB130" s="222"/>
      <c r="BC130" s="222"/>
      <c r="BD130" s="222"/>
      <c r="BE130" s="222"/>
      <c r="BF130" s="222"/>
      <c r="BG130" s="223"/>
      <c r="BH130" s="222"/>
      <c r="BI130" s="222"/>
      <c r="BJ130" s="224"/>
      <c r="BK130" s="222"/>
      <c r="BL130" s="222"/>
      <c r="BM130" s="222"/>
      <c r="BN130" s="222"/>
      <c r="BO130" s="222"/>
      <c r="BP130" s="222"/>
      <c r="BQ130" s="222"/>
      <c r="BR130" s="222"/>
      <c r="BS130" s="223"/>
      <c r="BT130" s="222"/>
      <c r="BU130" s="222"/>
      <c r="BV130" s="223"/>
      <c r="BW130" s="223"/>
      <c r="BX130" s="223"/>
    </row>
    <row r="131" spans="1:76" ht="11.25" customHeight="1" x14ac:dyDescent="0.25">
      <c r="A131" s="219" t="s">
        <v>142</v>
      </c>
      <c r="B131" s="220" t="s">
        <v>485</v>
      </c>
      <c r="C131" s="220"/>
      <c r="D131" s="220"/>
      <c r="E131" s="220"/>
      <c r="F131" s="221" t="s">
        <v>486</v>
      </c>
      <c r="G131" s="221"/>
      <c r="H131" s="253"/>
      <c r="I131" s="223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3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3"/>
      <c r="AU131" s="222"/>
      <c r="AV131" s="222"/>
      <c r="AW131" s="222"/>
      <c r="AX131" s="222"/>
      <c r="AY131" s="222"/>
      <c r="AZ131" s="223"/>
      <c r="BA131" s="222"/>
      <c r="BB131" s="222"/>
      <c r="BC131" s="222"/>
      <c r="BD131" s="222"/>
      <c r="BE131" s="222"/>
      <c r="BF131" s="222"/>
      <c r="BG131" s="223"/>
      <c r="BH131" s="222"/>
      <c r="BI131" s="222"/>
      <c r="BJ131" s="224"/>
      <c r="BK131" s="222"/>
      <c r="BL131" s="222"/>
      <c r="BM131" s="222"/>
      <c r="BN131" s="222"/>
      <c r="BO131" s="222"/>
      <c r="BP131" s="222"/>
      <c r="BQ131" s="222"/>
      <c r="BR131" s="222"/>
      <c r="BS131" s="223"/>
      <c r="BT131" s="222"/>
      <c r="BU131" s="222"/>
      <c r="BV131" s="223"/>
      <c r="BW131" s="223"/>
      <c r="BX131" s="223"/>
    </row>
    <row r="132" spans="1:76" ht="11.25" customHeight="1" x14ac:dyDescent="0.25">
      <c r="A132" s="219" t="s">
        <v>142</v>
      </c>
      <c r="B132" s="220" t="s">
        <v>487</v>
      </c>
      <c r="C132" s="220"/>
      <c r="D132" s="220"/>
      <c r="E132" s="220"/>
      <c r="F132" s="221" t="s">
        <v>488</v>
      </c>
      <c r="G132" s="221"/>
      <c r="H132" s="253"/>
      <c r="I132" s="223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3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3"/>
      <c r="AU132" s="222"/>
      <c r="AV132" s="222"/>
      <c r="AW132" s="222"/>
      <c r="AX132" s="222"/>
      <c r="AY132" s="222"/>
      <c r="AZ132" s="223"/>
      <c r="BA132" s="222"/>
      <c r="BB132" s="222"/>
      <c r="BC132" s="222"/>
      <c r="BD132" s="222"/>
      <c r="BE132" s="222"/>
      <c r="BF132" s="222"/>
      <c r="BG132" s="223"/>
      <c r="BH132" s="222"/>
      <c r="BI132" s="222"/>
      <c r="BJ132" s="224"/>
      <c r="BK132" s="222"/>
      <c r="BL132" s="222"/>
      <c r="BM132" s="222"/>
      <c r="BN132" s="222"/>
      <c r="BO132" s="222"/>
      <c r="BP132" s="222"/>
      <c r="BQ132" s="222"/>
      <c r="BR132" s="222"/>
      <c r="BS132" s="223"/>
      <c r="BT132" s="222"/>
      <c r="BU132" s="222"/>
      <c r="BV132" s="223"/>
      <c r="BW132" s="223"/>
      <c r="BX132" s="223"/>
    </row>
    <row r="133" spans="1:76" ht="11.25" customHeight="1" x14ac:dyDescent="0.25">
      <c r="A133" s="219" t="s">
        <v>142</v>
      </c>
      <c r="B133" s="220" t="s">
        <v>489</v>
      </c>
      <c r="C133" s="220"/>
      <c r="D133" s="220"/>
      <c r="E133" s="220"/>
      <c r="F133" s="221" t="s">
        <v>490</v>
      </c>
      <c r="G133" s="221"/>
      <c r="H133" s="253"/>
      <c r="I133" s="223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3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3"/>
      <c r="AU133" s="222"/>
      <c r="AV133" s="222"/>
      <c r="AW133" s="222"/>
      <c r="AX133" s="222"/>
      <c r="AY133" s="222"/>
      <c r="AZ133" s="223"/>
      <c r="BA133" s="222"/>
      <c r="BB133" s="222"/>
      <c r="BC133" s="222"/>
      <c r="BD133" s="222"/>
      <c r="BE133" s="222"/>
      <c r="BF133" s="222"/>
      <c r="BG133" s="223"/>
      <c r="BH133" s="222"/>
      <c r="BI133" s="222"/>
      <c r="BJ133" s="224"/>
      <c r="BK133" s="222"/>
      <c r="BL133" s="222"/>
      <c r="BM133" s="222"/>
      <c r="BN133" s="222"/>
      <c r="BO133" s="222"/>
      <c r="BP133" s="222"/>
      <c r="BQ133" s="222"/>
      <c r="BR133" s="222"/>
      <c r="BS133" s="223"/>
      <c r="BT133" s="222"/>
      <c r="BU133" s="222"/>
      <c r="BV133" s="223"/>
      <c r="BW133" s="223"/>
      <c r="BX133" s="223"/>
    </row>
    <row r="134" spans="1:76" ht="11.25" customHeight="1" x14ac:dyDescent="0.25">
      <c r="A134" s="226" t="s">
        <v>142</v>
      </c>
      <c r="B134" s="227" t="s">
        <v>491</v>
      </c>
      <c r="C134" s="227"/>
      <c r="D134" s="227"/>
      <c r="E134" s="227"/>
      <c r="F134" s="228" t="s">
        <v>492</v>
      </c>
      <c r="G134" s="228"/>
      <c r="H134" s="262"/>
      <c r="I134" s="230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30"/>
      <c r="X134" s="229"/>
      <c r="Y134" s="229"/>
      <c r="Z134" s="229"/>
      <c r="AA134" s="229"/>
      <c r="AB134" s="229"/>
      <c r="AC134" s="229"/>
      <c r="AD134" s="229"/>
      <c r="AE134" s="229"/>
      <c r="AF134" s="229"/>
      <c r="AG134" s="229"/>
      <c r="AH134" s="229"/>
      <c r="AI134" s="229"/>
      <c r="AJ134" s="229"/>
      <c r="AK134" s="229"/>
      <c r="AL134" s="229"/>
      <c r="AM134" s="229"/>
      <c r="AN134" s="229"/>
      <c r="AO134" s="229"/>
      <c r="AP134" s="229"/>
      <c r="AQ134" s="229"/>
      <c r="AR134" s="229"/>
      <c r="AS134" s="229"/>
      <c r="AT134" s="230"/>
      <c r="AU134" s="229"/>
      <c r="AV134" s="229"/>
      <c r="AW134" s="229"/>
      <c r="AX134" s="229"/>
      <c r="AY134" s="229"/>
      <c r="AZ134" s="230"/>
      <c r="BA134" s="229"/>
      <c r="BB134" s="229"/>
      <c r="BC134" s="229"/>
      <c r="BD134" s="229"/>
      <c r="BE134" s="229"/>
      <c r="BF134" s="229"/>
      <c r="BG134" s="230"/>
      <c r="BH134" s="229"/>
      <c r="BI134" s="229"/>
      <c r="BJ134" s="231"/>
      <c r="BK134" s="229"/>
      <c r="BL134" s="229"/>
      <c r="BM134" s="229"/>
      <c r="BN134" s="229"/>
      <c r="BO134" s="229"/>
      <c r="BP134" s="229"/>
      <c r="BQ134" s="229"/>
      <c r="BR134" s="229"/>
      <c r="BS134" s="230"/>
      <c r="BT134" s="229"/>
      <c r="BU134" s="229"/>
      <c r="BV134" s="230"/>
      <c r="BW134" s="230"/>
      <c r="BX134" s="230"/>
    </row>
    <row r="135" spans="1:76" ht="11.25" customHeight="1" x14ac:dyDescent="0.25">
      <c r="A135" s="267" t="s">
        <v>493</v>
      </c>
      <c r="B135" s="267"/>
      <c r="C135" s="267"/>
      <c r="D135" s="267"/>
      <c r="E135" s="267"/>
      <c r="F135" s="268" t="s">
        <v>494</v>
      </c>
      <c r="G135" s="268"/>
      <c r="H135" s="269"/>
      <c r="I135" s="270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70"/>
      <c r="X135" s="269"/>
      <c r="Y135" s="269"/>
      <c r="Z135" s="269"/>
      <c r="AA135" s="269"/>
      <c r="AB135" s="269"/>
      <c r="AC135" s="269"/>
      <c r="AD135" s="269"/>
      <c r="AE135" s="269"/>
      <c r="AF135" s="269"/>
      <c r="AG135" s="269"/>
      <c r="AH135" s="269"/>
      <c r="AI135" s="269"/>
      <c r="AJ135" s="269"/>
      <c r="AK135" s="269"/>
      <c r="AL135" s="269"/>
      <c r="AM135" s="269"/>
      <c r="AN135" s="269"/>
      <c r="AO135" s="269"/>
      <c r="AP135" s="269"/>
      <c r="AQ135" s="269"/>
      <c r="AR135" s="269"/>
      <c r="AS135" s="269"/>
      <c r="AT135" s="270"/>
      <c r="AU135" s="269"/>
      <c r="AV135" s="269"/>
      <c r="AW135" s="269"/>
      <c r="AX135" s="269"/>
      <c r="AY135" s="269"/>
      <c r="AZ135" s="270"/>
      <c r="BA135" s="269"/>
      <c r="BB135" s="269"/>
      <c r="BC135" s="269"/>
      <c r="BD135" s="269"/>
      <c r="BE135" s="269"/>
      <c r="BF135" s="269"/>
      <c r="BG135" s="270"/>
      <c r="BH135" s="269"/>
      <c r="BI135" s="269"/>
      <c r="BJ135" s="271"/>
      <c r="BK135" s="269"/>
      <c r="BL135" s="269"/>
      <c r="BM135" s="269"/>
      <c r="BN135" s="269"/>
      <c r="BO135" s="269"/>
      <c r="BP135" s="269"/>
      <c r="BQ135" s="269"/>
      <c r="BR135" s="269"/>
      <c r="BS135" s="270"/>
      <c r="BT135" s="269"/>
      <c r="BU135" s="269"/>
      <c r="BV135" s="270"/>
      <c r="BW135" s="270"/>
      <c r="BX135" s="272">
        <v>194</v>
      </c>
    </row>
    <row r="136" spans="1:76" s="105" customFormat="1" ht="11.25" customHeight="1" x14ac:dyDescent="0.25">
      <c r="A136" s="267"/>
      <c r="B136" s="267"/>
      <c r="C136" s="267"/>
      <c r="D136" s="267"/>
      <c r="E136" s="267"/>
      <c r="F136" s="268"/>
      <c r="G136" s="268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269"/>
      <c r="AB136" s="269"/>
      <c r="AC136" s="269"/>
      <c r="AD136" s="269"/>
      <c r="AE136" s="269"/>
      <c r="AF136" s="269"/>
      <c r="AG136" s="269"/>
      <c r="AH136" s="269"/>
      <c r="AI136" s="269"/>
      <c r="AJ136" s="269"/>
      <c r="AK136" s="269"/>
      <c r="AL136" s="269"/>
      <c r="AM136" s="269"/>
      <c r="AN136" s="269"/>
      <c r="AO136" s="269"/>
      <c r="AP136" s="269"/>
      <c r="AQ136" s="269"/>
      <c r="AR136" s="269"/>
      <c r="AS136" s="269"/>
      <c r="AT136" s="269"/>
      <c r="AU136" s="269"/>
      <c r="AV136" s="269"/>
      <c r="AW136" s="269"/>
      <c r="AX136" s="269"/>
      <c r="AY136" s="269"/>
      <c r="AZ136" s="269"/>
      <c r="BA136" s="269"/>
      <c r="BB136" s="269"/>
      <c r="BC136" s="269"/>
      <c r="BD136" s="269"/>
      <c r="BE136" s="269"/>
      <c r="BF136" s="269"/>
      <c r="BG136" s="269"/>
      <c r="BH136" s="269"/>
      <c r="BI136" s="269"/>
      <c r="BJ136" s="269"/>
      <c r="BK136" s="269"/>
      <c r="BL136" s="269"/>
      <c r="BM136" s="269"/>
      <c r="BN136" s="269"/>
      <c r="BO136" s="269"/>
      <c r="BP136" s="269"/>
      <c r="BQ136" s="269"/>
      <c r="BR136" s="269"/>
      <c r="BS136" s="269"/>
      <c r="BT136" s="269"/>
      <c r="BU136" s="269"/>
      <c r="BV136" s="269"/>
      <c r="BW136" s="269"/>
      <c r="BX136" s="269"/>
    </row>
    <row r="137" spans="1:76" s="105" customFormat="1" ht="11.25" customHeight="1" x14ac:dyDescent="0.25">
      <c r="A137" s="267"/>
      <c r="B137" s="267"/>
      <c r="C137" s="267"/>
      <c r="D137" s="267"/>
      <c r="E137" s="267"/>
      <c r="F137" s="268"/>
      <c r="G137" s="268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  <c r="AA137" s="269"/>
      <c r="AB137" s="269"/>
      <c r="AC137" s="269"/>
      <c r="AD137" s="269"/>
      <c r="AE137" s="269"/>
      <c r="AF137" s="269"/>
      <c r="AG137" s="269"/>
      <c r="AH137" s="269"/>
      <c r="AI137" s="269"/>
      <c r="AJ137" s="269"/>
      <c r="AK137" s="269"/>
      <c r="AL137" s="269"/>
      <c r="AM137" s="269"/>
      <c r="AN137" s="269"/>
      <c r="AO137" s="269"/>
      <c r="AP137" s="269"/>
      <c r="AQ137" s="269"/>
      <c r="AR137" s="269"/>
      <c r="AS137" s="269"/>
      <c r="AT137" s="269"/>
      <c r="AU137" s="269"/>
      <c r="AV137" s="269"/>
      <c r="AW137" s="269"/>
      <c r="AX137" s="269"/>
      <c r="AY137" s="269"/>
      <c r="AZ137" s="269"/>
      <c r="BA137" s="269"/>
      <c r="BB137" s="269"/>
      <c r="BC137" s="269"/>
      <c r="BD137" s="269"/>
      <c r="BE137" s="269"/>
      <c r="BF137" s="269"/>
      <c r="BG137" s="269"/>
      <c r="BH137" s="269"/>
      <c r="BI137" s="269"/>
      <c r="BJ137" s="269"/>
      <c r="BK137" s="269"/>
      <c r="BL137" s="269"/>
      <c r="BM137" s="269"/>
      <c r="BN137" s="269"/>
      <c r="BO137" s="269"/>
      <c r="BP137" s="269"/>
      <c r="BQ137" s="269"/>
      <c r="BR137" s="269"/>
      <c r="BS137" s="269"/>
      <c r="BT137" s="269"/>
      <c r="BU137" s="269"/>
      <c r="BV137" s="269"/>
      <c r="BW137" s="269"/>
      <c r="BX137" s="269"/>
    </row>
    <row r="138" spans="1:76" s="105" customFormat="1" ht="11.25" customHeight="1" x14ac:dyDescent="0.25">
      <c r="A138" s="273"/>
      <c r="B138" s="94"/>
      <c r="C138" s="94"/>
      <c r="D138" s="94"/>
      <c r="E138" s="94"/>
      <c r="F138" s="268"/>
      <c r="G138" s="268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/>
      <c r="AL138" s="274"/>
      <c r="AM138" s="274"/>
      <c r="AN138" s="274"/>
      <c r="AO138" s="274"/>
      <c r="AP138" s="274"/>
      <c r="AQ138" s="274"/>
      <c r="AR138" s="274"/>
      <c r="AS138" s="274"/>
      <c r="AT138" s="274"/>
      <c r="AU138" s="274"/>
      <c r="AV138" s="274"/>
      <c r="AW138" s="274"/>
      <c r="AX138" s="274"/>
      <c r="AY138" s="274"/>
      <c r="AZ138" s="274"/>
      <c r="BA138" s="274"/>
      <c r="BB138" s="274"/>
      <c r="BC138" s="274"/>
      <c r="BD138" s="274"/>
      <c r="BE138" s="274"/>
      <c r="BF138" s="274"/>
      <c r="BG138" s="274"/>
      <c r="BH138" s="274"/>
      <c r="BI138" s="274"/>
      <c r="BJ138" s="274"/>
      <c r="BK138" s="274"/>
      <c r="BL138" s="274"/>
      <c r="BM138" s="274"/>
      <c r="BN138" s="274"/>
      <c r="BO138" s="274"/>
      <c r="BP138" s="274"/>
      <c r="BQ138" s="274"/>
      <c r="BR138" s="274"/>
      <c r="BS138" s="274"/>
      <c r="BT138" s="274"/>
      <c r="BU138" s="274"/>
      <c r="BV138" s="274"/>
      <c r="BW138" s="274"/>
      <c r="BX138" s="274"/>
    </row>
    <row r="139" spans="1:76" s="105" customFormat="1" ht="11.25" customHeight="1" x14ac:dyDescent="0.25">
      <c r="A139" s="273"/>
      <c r="B139" s="94"/>
      <c r="C139" s="94"/>
      <c r="D139" s="94"/>
      <c r="E139" s="94"/>
      <c r="F139" s="268"/>
      <c r="G139" s="268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4"/>
      <c r="AG139" s="274"/>
      <c r="AH139" s="274"/>
      <c r="AI139" s="274"/>
      <c r="AJ139" s="274"/>
      <c r="AK139" s="274"/>
      <c r="AL139" s="274"/>
      <c r="AM139" s="274"/>
      <c r="AN139" s="274"/>
      <c r="AO139" s="274"/>
      <c r="AP139" s="274"/>
      <c r="AQ139" s="274"/>
      <c r="AR139" s="274"/>
      <c r="AS139" s="274"/>
      <c r="AT139" s="274"/>
      <c r="AU139" s="274"/>
      <c r="AV139" s="274"/>
      <c r="AW139" s="274"/>
      <c r="AX139" s="274"/>
      <c r="AY139" s="274"/>
      <c r="AZ139" s="274"/>
      <c r="BA139" s="274"/>
      <c r="BB139" s="274"/>
      <c r="BC139" s="274"/>
      <c r="BD139" s="274"/>
      <c r="BE139" s="274"/>
      <c r="BF139" s="274"/>
      <c r="BG139" s="274"/>
      <c r="BH139" s="274"/>
      <c r="BI139" s="274"/>
      <c r="BJ139" s="274"/>
      <c r="BK139" s="274"/>
      <c r="BL139" s="274"/>
      <c r="BM139" s="274"/>
      <c r="BN139" s="274"/>
      <c r="BO139" s="274"/>
      <c r="BP139" s="274"/>
      <c r="BQ139" s="274"/>
      <c r="BR139" s="274"/>
      <c r="BS139" s="274"/>
      <c r="BT139" s="274"/>
      <c r="BU139" s="274"/>
      <c r="BV139" s="274"/>
      <c r="BW139" s="274"/>
      <c r="BX139" s="274"/>
    </row>
    <row r="140" spans="1:76" s="105" customFormat="1" ht="11.25" customHeight="1" x14ac:dyDescent="0.25">
      <c r="A140" s="273"/>
      <c r="B140" s="94"/>
      <c r="C140" s="94"/>
      <c r="D140" s="94"/>
      <c r="E140" s="94"/>
      <c r="F140" s="268"/>
      <c r="G140" s="268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4"/>
      <c r="AG140" s="274"/>
      <c r="AH140" s="274"/>
      <c r="AI140" s="274"/>
      <c r="AJ140" s="274"/>
      <c r="AK140" s="274"/>
      <c r="AL140" s="274"/>
      <c r="AM140" s="274"/>
      <c r="AN140" s="274"/>
      <c r="AO140" s="274"/>
      <c r="AP140" s="274"/>
      <c r="AQ140" s="274"/>
      <c r="AR140" s="274"/>
      <c r="AS140" s="274"/>
      <c r="AT140" s="274"/>
      <c r="AU140" s="274"/>
      <c r="AV140" s="274"/>
      <c r="AW140" s="274"/>
      <c r="AX140" s="274"/>
      <c r="AY140" s="274"/>
      <c r="AZ140" s="274"/>
      <c r="BA140" s="274"/>
      <c r="BB140" s="274"/>
      <c r="BC140" s="274"/>
      <c r="BD140" s="274"/>
      <c r="BE140" s="274"/>
      <c r="BF140" s="274"/>
      <c r="BG140" s="274"/>
      <c r="BH140" s="274"/>
      <c r="BI140" s="274"/>
      <c r="BJ140" s="274"/>
      <c r="BK140" s="274"/>
      <c r="BL140" s="274"/>
      <c r="BM140" s="274"/>
      <c r="BN140" s="274"/>
      <c r="BO140" s="274"/>
      <c r="BP140" s="274"/>
      <c r="BQ140" s="274"/>
      <c r="BR140" s="274"/>
      <c r="BS140" s="274"/>
      <c r="BT140" s="274"/>
      <c r="BU140" s="274"/>
      <c r="BV140" s="274"/>
      <c r="BW140" s="274"/>
      <c r="BX140" s="274"/>
    </row>
    <row r="141" spans="1:76" s="105" customFormat="1" ht="11.25" customHeight="1" x14ac:dyDescent="0.25">
      <c r="A141" s="275"/>
      <c r="B141" s="276"/>
      <c r="C141" s="276"/>
      <c r="D141" s="276"/>
      <c r="E141" s="276"/>
      <c r="F141" s="277"/>
      <c r="G141" s="277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8"/>
      <c r="W141" s="278"/>
      <c r="X141" s="278"/>
      <c r="Y141" s="278"/>
      <c r="Z141" s="278"/>
      <c r="AA141" s="278"/>
      <c r="AB141" s="278"/>
      <c r="AC141" s="278"/>
      <c r="AD141" s="278"/>
      <c r="AE141" s="278"/>
      <c r="AF141" s="278"/>
      <c r="AG141" s="278"/>
      <c r="AH141" s="278"/>
      <c r="AI141" s="278"/>
      <c r="AJ141" s="278"/>
      <c r="AK141" s="278"/>
      <c r="AL141" s="278"/>
      <c r="AM141" s="278"/>
      <c r="AN141" s="278"/>
      <c r="AO141" s="278"/>
      <c r="AP141" s="278"/>
      <c r="AQ141" s="278"/>
      <c r="AR141" s="278"/>
      <c r="AS141" s="278"/>
      <c r="AT141" s="278"/>
      <c r="AU141" s="278"/>
      <c r="AV141" s="278"/>
      <c r="AW141" s="278"/>
      <c r="AX141" s="278"/>
      <c r="AY141" s="278"/>
      <c r="AZ141" s="278"/>
      <c r="BA141" s="278"/>
      <c r="BB141" s="278"/>
      <c r="BC141" s="278"/>
      <c r="BD141" s="278"/>
      <c r="BE141" s="278"/>
      <c r="BF141" s="278"/>
      <c r="BG141" s="278"/>
      <c r="BH141" s="278"/>
      <c r="BI141" s="278"/>
      <c r="BJ141" s="278"/>
      <c r="BK141" s="278"/>
      <c r="BL141" s="278"/>
      <c r="BM141" s="278"/>
      <c r="BN141" s="278"/>
      <c r="BO141" s="278"/>
      <c r="BP141" s="278"/>
      <c r="BQ141" s="278"/>
      <c r="BR141" s="278"/>
      <c r="BS141" s="278"/>
      <c r="BT141" s="278"/>
      <c r="BU141" s="278"/>
      <c r="BV141" s="278"/>
      <c r="BW141" s="278"/>
      <c r="BX141" s="278"/>
    </row>
    <row r="142" spans="1:76" s="105" customFormat="1" ht="11.25" customHeight="1" x14ac:dyDescent="0.25">
      <c r="A142" s="273"/>
      <c r="B142" s="94"/>
      <c r="C142" s="94"/>
      <c r="D142" s="94"/>
      <c r="E142" s="94"/>
      <c r="F142" s="268"/>
      <c r="G142" s="268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/>
      <c r="AJ142" s="274"/>
      <c r="AK142" s="274"/>
      <c r="AL142" s="274"/>
      <c r="AM142" s="274"/>
      <c r="AN142" s="274"/>
      <c r="AO142" s="274"/>
      <c r="AP142" s="274"/>
      <c r="AQ142" s="274"/>
      <c r="AR142" s="274"/>
      <c r="AS142" s="274"/>
      <c r="AT142" s="274"/>
      <c r="AU142" s="274"/>
      <c r="AV142" s="274"/>
      <c r="AW142" s="274"/>
      <c r="AX142" s="274"/>
      <c r="AY142" s="274"/>
      <c r="AZ142" s="274"/>
      <c r="BA142" s="274"/>
      <c r="BB142" s="274"/>
      <c r="BC142" s="274"/>
      <c r="BD142" s="274"/>
      <c r="BE142" s="274"/>
      <c r="BF142" s="274"/>
      <c r="BG142" s="274"/>
      <c r="BH142" s="274"/>
      <c r="BI142" s="274"/>
      <c r="BJ142" s="274"/>
      <c r="BK142" s="274"/>
      <c r="BL142" s="274"/>
      <c r="BM142" s="274"/>
      <c r="BN142" s="274"/>
      <c r="BO142" s="274"/>
      <c r="BP142" s="274"/>
      <c r="BQ142" s="274"/>
      <c r="BR142" s="274"/>
      <c r="BS142" s="274"/>
      <c r="BT142" s="274"/>
      <c r="BU142" s="274"/>
      <c r="BV142" s="274"/>
      <c r="BW142" s="274"/>
      <c r="BX142" s="274"/>
    </row>
    <row r="143" spans="1:76" s="105" customFormat="1" ht="11.25" customHeight="1" x14ac:dyDescent="0.25">
      <c r="A143" s="273"/>
      <c r="B143" s="94"/>
      <c r="C143" s="94"/>
      <c r="D143" s="94"/>
      <c r="E143" s="94"/>
      <c r="F143" s="268"/>
      <c r="G143" s="268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T143" s="274"/>
      <c r="AU143" s="274"/>
      <c r="AV143" s="274"/>
      <c r="AW143" s="274"/>
      <c r="AX143" s="274"/>
      <c r="AY143" s="274"/>
      <c r="AZ143" s="274"/>
      <c r="BA143" s="274"/>
      <c r="BB143" s="274"/>
      <c r="BC143" s="274"/>
      <c r="BD143" s="274"/>
      <c r="BE143" s="274"/>
      <c r="BF143" s="274"/>
      <c r="BG143" s="274"/>
      <c r="BH143" s="274"/>
      <c r="BI143" s="274"/>
      <c r="BJ143" s="274"/>
      <c r="BK143" s="274"/>
      <c r="BL143" s="274"/>
      <c r="BM143" s="274"/>
      <c r="BN143" s="274"/>
      <c r="BO143" s="274"/>
      <c r="BP143" s="274"/>
      <c r="BQ143" s="274"/>
      <c r="BR143" s="274"/>
      <c r="BS143" s="274"/>
      <c r="BT143" s="274"/>
      <c r="BU143" s="274"/>
      <c r="BV143" s="274"/>
      <c r="BW143" s="274"/>
      <c r="BX143" s="274"/>
    </row>
    <row r="144" spans="1:76" s="105" customFormat="1" ht="11.25" customHeight="1" x14ac:dyDescent="0.25">
      <c r="A144" s="273"/>
      <c r="B144" s="94"/>
      <c r="C144" s="94"/>
      <c r="D144" s="94"/>
      <c r="E144" s="94"/>
      <c r="F144" s="268"/>
      <c r="G144" s="268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4"/>
      <c r="AG144" s="274"/>
      <c r="AH144" s="274"/>
      <c r="AI144" s="274"/>
      <c r="AJ144" s="274"/>
      <c r="AK144" s="274"/>
      <c r="AL144" s="274"/>
      <c r="AM144" s="274"/>
      <c r="AN144" s="274"/>
      <c r="AO144" s="274"/>
      <c r="AP144" s="274"/>
      <c r="AQ144" s="274"/>
      <c r="AR144" s="274"/>
      <c r="AS144" s="274"/>
      <c r="AT144" s="274"/>
      <c r="AU144" s="274"/>
      <c r="AV144" s="274"/>
      <c r="AW144" s="274"/>
      <c r="AX144" s="274"/>
      <c r="AY144" s="274"/>
      <c r="AZ144" s="274"/>
      <c r="BA144" s="274"/>
      <c r="BB144" s="274"/>
      <c r="BC144" s="274"/>
      <c r="BD144" s="274"/>
      <c r="BE144" s="274"/>
      <c r="BF144" s="274"/>
      <c r="BG144" s="274"/>
      <c r="BH144" s="274"/>
      <c r="BI144" s="274"/>
      <c r="BJ144" s="274"/>
      <c r="BK144" s="274"/>
      <c r="BL144" s="274"/>
      <c r="BM144" s="274"/>
      <c r="BN144" s="274"/>
      <c r="BO144" s="274"/>
      <c r="BP144" s="274"/>
      <c r="BQ144" s="274"/>
      <c r="BR144" s="274"/>
      <c r="BS144" s="274"/>
      <c r="BT144" s="274"/>
      <c r="BU144" s="274"/>
      <c r="BV144" s="274"/>
      <c r="BW144" s="274"/>
      <c r="BX144" s="274"/>
    </row>
    <row r="145" spans="1:76" s="105" customFormat="1" ht="11.25" customHeight="1" x14ac:dyDescent="0.25">
      <c r="A145" s="267"/>
      <c r="B145" s="267"/>
      <c r="C145" s="267"/>
      <c r="D145" s="267"/>
      <c r="E145" s="267"/>
      <c r="F145" s="268"/>
      <c r="G145" s="268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  <c r="AA145" s="269"/>
      <c r="AB145" s="269"/>
      <c r="AC145" s="269"/>
      <c r="AD145" s="269"/>
      <c r="AE145" s="269"/>
      <c r="AF145" s="269"/>
      <c r="AG145" s="269"/>
      <c r="AH145" s="269"/>
      <c r="AI145" s="269"/>
      <c r="AJ145" s="269"/>
      <c r="AK145" s="269"/>
      <c r="AL145" s="269"/>
      <c r="AM145" s="269"/>
      <c r="AN145" s="269"/>
      <c r="AO145" s="269"/>
      <c r="AP145" s="269"/>
      <c r="AQ145" s="269"/>
      <c r="AR145" s="269"/>
      <c r="AS145" s="269"/>
      <c r="AT145" s="269"/>
      <c r="AU145" s="269"/>
      <c r="AV145" s="269"/>
      <c r="AW145" s="269"/>
      <c r="AX145" s="269"/>
      <c r="AY145" s="269"/>
      <c r="AZ145" s="269"/>
      <c r="BA145" s="269"/>
      <c r="BB145" s="269"/>
      <c r="BC145" s="269"/>
      <c r="BD145" s="269"/>
      <c r="BE145" s="269"/>
      <c r="BF145" s="269"/>
      <c r="BG145" s="269"/>
      <c r="BH145" s="269"/>
      <c r="BI145" s="269"/>
      <c r="BJ145" s="269"/>
      <c r="BK145" s="269"/>
      <c r="BL145" s="269"/>
      <c r="BM145" s="269"/>
      <c r="BN145" s="269"/>
      <c r="BO145" s="269"/>
      <c r="BP145" s="269"/>
      <c r="BQ145" s="269"/>
      <c r="BR145" s="269"/>
      <c r="BS145" s="269"/>
      <c r="BT145" s="269"/>
      <c r="BU145" s="269"/>
      <c r="BV145" s="269"/>
      <c r="BW145" s="269"/>
      <c r="BX145" s="269"/>
    </row>
    <row r="146" spans="1:76" s="105" customFormat="1" ht="11.25" customHeight="1" x14ac:dyDescent="0.25">
      <c r="A146" s="273"/>
      <c r="B146" s="94"/>
      <c r="C146" s="94"/>
      <c r="D146" s="94"/>
      <c r="E146" s="94"/>
      <c r="F146" s="268"/>
      <c r="G146" s="268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4"/>
      <c r="AG146" s="274"/>
      <c r="AH146" s="274"/>
      <c r="AI146" s="274"/>
      <c r="AJ146" s="274"/>
      <c r="AK146" s="274"/>
      <c r="AL146" s="274"/>
      <c r="AM146" s="274"/>
      <c r="AN146" s="274"/>
      <c r="AO146" s="274"/>
      <c r="AP146" s="274"/>
      <c r="AQ146" s="274"/>
      <c r="AR146" s="274"/>
      <c r="AS146" s="274"/>
      <c r="AT146" s="274"/>
      <c r="AU146" s="274"/>
      <c r="AV146" s="274"/>
      <c r="AW146" s="274"/>
      <c r="AX146" s="274"/>
      <c r="AY146" s="274"/>
      <c r="AZ146" s="274"/>
      <c r="BA146" s="274"/>
      <c r="BB146" s="274"/>
      <c r="BC146" s="274"/>
      <c r="BD146" s="274"/>
      <c r="BE146" s="274"/>
      <c r="BF146" s="274"/>
      <c r="BG146" s="274"/>
      <c r="BH146" s="274"/>
      <c r="BI146" s="274"/>
      <c r="BJ146" s="274"/>
      <c r="BK146" s="274"/>
      <c r="BL146" s="274"/>
      <c r="BM146" s="274"/>
      <c r="BN146" s="274"/>
      <c r="BO146" s="274"/>
      <c r="BP146" s="274"/>
      <c r="BQ146" s="274"/>
      <c r="BR146" s="274"/>
      <c r="BS146" s="274"/>
      <c r="BT146" s="274"/>
      <c r="BU146" s="274"/>
      <c r="BV146" s="274"/>
      <c r="BW146" s="274"/>
      <c r="BX146" s="274"/>
    </row>
    <row r="147" spans="1:76" s="105" customFormat="1" ht="11.25" customHeight="1" x14ac:dyDescent="0.25">
      <c r="A147" s="279"/>
      <c r="B147" s="273"/>
      <c r="C147" s="94"/>
      <c r="D147" s="94"/>
      <c r="E147" s="94"/>
      <c r="F147" s="268"/>
      <c r="G147" s="268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4"/>
      <c r="AG147" s="274"/>
      <c r="AH147" s="274"/>
      <c r="AI147" s="274"/>
      <c r="AJ147" s="274"/>
      <c r="AK147" s="274"/>
      <c r="AL147" s="274"/>
      <c r="AM147" s="274"/>
      <c r="AN147" s="274"/>
      <c r="AO147" s="274"/>
      <c r="AP147" s="274"/>
      <c r="AQ147" s="274"/>
      <c r="AR147" s="274"/>
      <c r="AS147" s="274"/>
      <c r="AT147" s="274"/>
      <c r="AU147" s="274"/>
      <c r="AV147" s="274"/>
      <c r="AW147" s="274"/>
      <c r="AX147" s="274"/>
      <c r="AY147" s="274"/>
      <c r="AZ147" s="274"/>
      <c r="BA147" s="274"/>
      <c r="BB147" s="274"/>
      <c r="BC147" s="274"/>
      <c r="BD147" s="274"/>
      <c r="BE147" s="274"/>
      <c r="BF147" s="274"/>
      <c r="BG147" s="274"/>
      <c r="BH147" s="274"/>
      <c r="BI147" s="274"/>
      <c r="BJ147" s="274"/>
      <c r="BK147" s="274"/>
      <c r="BL147" s="274"/>
      <c r="BM147" s="274"/>
      <c r="BN147" s="274"/>
      <c r="BO147" s="274"/>
      <c r="BP147" s="274"/>
      <c r="BQ147" s="274"/>
      <c r="BR147" s="274"/>
      <c r="BS147" s="274"/>
      <c r="BT147" s="274"/>
      <c r="BU147" s="274"/>
      <c r="BV147" s="274"/>
      <c r="BW147" s="274"/>
      <c r="BX147" s="274"/>
    </row>
    <row r="148" spans="1:76" s="105" customFormat="1" ht="11.25" customHeight="1" x14ac:dyDescent="0.25">
      <c r="A148" s="279"/>
      <c r="B148" s="273"/>
      <c r="C148" s="94"/>
      <c r="D148" s="94"/>
      <c r="E148" s="94"/>
      <c r="F148" s="268"/>
      <c r="G148" s="268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4"/>
      <c r="AG148" s="274"/>
      <c r="AH148" s="274"/>
      <c r="AI148" s="274"/>
      <c r="AJ148" s="274"/>
      <c r="AK148" s="274"/>
      <c r="AL148" s="274"/>
      <c r="AM148" s="274"/>
      <c r="AN148" s="274"/>
      <c r="AO148" s="274"/>
      <c r="AP148" s="274"/>
      <c r="AQ148" s="274"/>
      <c r="AR148" s="274"/>
      <c r="AS148" s="274"/>
      <c r="AT148" s="274"/>
      <c r="AU148" s="274"/>
      <c r="AV148" s="274"/>
      <c r="AW148" s="274"/>
      <c r="AX148" s="274"/>
      <c r="AY148" s="274"/>
      <c r="AZ148" s="274"/>
      <c r="BA148" s="274"/>
      <c r="BB148" s="274"/>
      <c r="BC148" s="274"/>
      <c r="BD148" s="274"/>
      <c r="BE148" s="274"/>
      <c r="BF148" s="274"/>
      <c r="BG148" s="274"/>
      <c r="BH148" s="274"/>
      <c r="BI148" s="274"/>
      <c r="BJ148" s="274"/>
      <c r="BK148" s="274"/>
      <c r="BL148" s="274"/>
      <c r="BM148" s="274"/>
      <c r="BN148" s="274"/>
      <c r="BO148" s="274"/>
      <c r="BP148" s="274"/>
      <c r="BQ148" s="274"/>
      <c r="BR148" s="274"/>
      <c r="BS148" s="274"/>
      <c r="BT148" s="274"/>
      <c r="BU148" s="274"/>
      <c r="BV148" s="274"/>
      <c r="BW148" s="274"/>
      <c r="BX148" s="274"/>
    </row>
    <row r="149" spans="1:76" s="105" customFormat="1" ht="11.25" customHeight="1" x14ac:dyDescent="0.25">
      <c r="A149" s="279"/>
      <c r="B149" s="273"/>
      <c r="C149" s="94"/>
      <c r="D149" s="94"/>
      <c r="E149" s="94"/>
      <c r="F149" s="268"/>
      <c r="G149" s="268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  <c r="AA149" s="274"/>
      <c r="AB149" s="274"/>
      <c r="AC149" s="274"/>
      <c r="AD149" s="274"/>
      <c r="AE149" s="274"/>
      <c r="AF149" s="274"/>
      <c r="AG149" s="274"/>
      <c r="AH149" s="274"/>
      <c r="AI149" s="274"/>
      <c r="AJ149" s="274"/>
      <c r="AK149" s="274"/>
      <c r="AL149" s="274"/>
      <c r="AM149" s="274"/>
      <c r="AN149" s="274"/>
      <c r="AO149" s="274"/>
      <c r="AP149" s="274"/>
      <c r="AQ149" s="274"/>
      <c r="AR149" s="274"/>
      <c r="AS149" s="274"/>
      <c r="AT149" s="274"/>
      <c r="AU149" s="274"/>
      <c r="AV149" s="274"/>
      <c r="AW149" s="274"/>
      <c r="AX149" s="274"/>
      <c r="AY149" s="274"/>
      <c r="AZ149" s="274"/>
      <c r="BA149" s="274"/>
      <c r="BB149" s="274"/>
      <c r="BC149" s="274"/>
      <c r="BD149" s="274"/>
      <c r="BE149" s="274"/>
      <c r="BF149" s="274"/>
      <c r="BG149" s="274"/>
      <c r="BH149" s="274"/>
      <c r="BI149" s="274"/>
      <c r="BJ149" s="274"/>
      <c r="BK149" s="274"/>
      <c r="BL149" s="274"/>
      <c r="BM149" s="274"/>
      <c r="BN149" s="274"/>
      <c r="BO149" s="274"/>
      <c r="BP149" s="274"/>
      <c r="BQ149" s="274"/>
      <c r="BR149" s="274"/>
      <c r="BS149" s="274"/>
      <c r="BT149" s="274"/>
      <c r="BU149" s="274"/>
      <c r="BV149" s="274"/>
      <c r="BW149" s="274"/>
      <c r="BX149" s="274"/>
    </row>
    <row r="150" spans="1:76" s="105" customFormat="1" ht="11.25" customHeight="1" x14ac:dyDescent="0.25">
      <c r="A150" s="279"/>
      <c r="B150" s="273"/>
      <c r="C150" s="94"/>
      <c r="D150" s="94"/>
      <c r="E150" s="94"/>
      <c r="F150" s="268"/>
      <c r="G150" s="268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  <c r="AA150" s="274"/>
      <c r="AB150" s="274"/>
      <c r="AC150" s="274"/>
      <c r="AD150" s="274"/>
      <c r="AE150" s="274"/>
      <c r="AF150" s="274"/>
      <c r="AG150" s="274"/>
      <c r="AH150" s="274"/>
      <c r="AI150" s="274"/>
      <c r="AJ150" s="274"/>
      <c r="AK150" s="274"/>
      <c r="AL150" s="274"/>
      <c r="AM150" s="274"/>
      <c r="AN150" s="274"/>
      <c r="AO150" s="274"/>
      <c r="AP150" s="274"/>
      <c r="AQ150" s="274"/>
      <c r="AR150" s="274"/>
      <c r="AS150" s="274"/>
      <c r="AT150" s="274"/>
      <c r="AU150" s="274"/>
      <c r="AV150" s="274"/>
      <c r="AW150" s="274"/>
      <c r="AX150" s="274"/>
      <c r="AY150" s="274"/>
      <c r="AZ150" s="274"/>
      <c r="BA150" s="274"/>
      <c r="BB150" s="274"/>
      <c r="BC150" s="274"/>
      <c r="BD150" s="274"/>
      <c r="BE150" s="274"/>
      <c r="BF150" s="274"/>
      <c r="BG150" s="274"/>
      <c r="BH150" s="274"/>
      <c r="BI150" s="274"/>
      <c r="BJ150" s="274"/>
      <c r="BK150" s="274"/>
      <c r="BL150" s="274"/>
      <c r="BM150" s="274"/>
      <c r="BN150" s="274"/>
      <c r="BO150" s="274"/>
      <c r="BP150" s="274"/>
      <c r="BQ150" s="274"/>
      <c r="BR150" s="274"/>
      <c r="BS150" s="274"/>
      <c r="BT150" s="274"/>
      <c r="BU150" s="274"/>
      <c r="BV150" s="274"/>
      <c r="BW150" s="274"/>
      <c r="BX150" s="274"/>
    </row>
    <row r="151" spans="1:76" s="105" customFormat="1" ht="11.25" customHeight="1" x14ac:dyDescent="0.25">
      <c r="A151" s="279"/>
      <c r="B151" s="273"/>
      <c r="C151" s="94"/>
      <c r="D151" s="94"/>
      <c r="E151" s="94"/>
      <c r="F151" s="268"/>
      <c r="G151" s="268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4"/>
      <c r="AG151" s="274"/>
      <c r="AH151" s="274"/>
      <c r="AI151" s="274"/>
      <c r="AJ151" s="274"/>
      <c r="AK151" s="274"/>
      <c r="AL151" s="274"/>
      <c r="AM151" s="274"/>
      <c r="AN151" s="274"/>
      <c r="AO151" s="274"/>
      <c r="AP151" s="274"/>
      <c r="AQ151" s="274"/>
      <c r="AR151" s="274"/>
      <c r="AS151" s="274"/>
      <c r="AT151" s="274"/>
      <c r="AU151" s="274"/>
      <c r="AV151" s="274"/>
      <c r="AW151" s="274"/>
      <c r="AX151" s="274"/>
      <c r="AY151" s="274"/>
      <c r="AZ151" s="274"/>
      <c r="BA151" s="274"/>
      <c r="BB151" s="274"/>
      <c r="BC151" s="274"/>
      <c r="BD151" s="274"/>
      <c r="BE151" s="274"/>
      <c r="BF151" s="274"/>
      <c r="BG151" s="274"/>
      <c r="BH151" s="274"/>
      <c r="BI151" s="274"/>
      <c r="BJ151" s="274"/>
      <c r="BK151" s="274"/>
      <c r="BL151" s="274"/>
      <c r="BM151" s="274"/>
      <c r="BN151" s="274"/>
      <c r="BO151" s="274"/>
      <c r="BP151" s="274"/>
      <c r="BQ151" s="274"/>
      <c r="BR151" s="274"/>
      <c r="BS151" s="274"/>
      <c r="BT151" s="274"/>
      <c r="BU151" s="274"/>
      <c r="BV151" s="274"/>
      <c r="BW151" s="274"/>
      <c r="BX151" s="274"/>
    </row>
    <row r="152" spans="1:76" s="105" customFormat="1" ht="11.25" customHeight="1" x14ac:dyDescent="0.25">
      <c r="A152" s="279"/>
      <c r="B152" s="273"/>
      <c r="C152" s="94"/>
      <c r="D152" s="94"/>
      <c r="E152" s="94"/>
      <c r="F152" s="268"/>
      <c r="G152" s="268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4"/>
      <c r="AG152" s="274"/>
      <c r="AH152" s="274"/>
      <c r="AI152" s="274"/>
      <c r="AJ152" s="274"/>
      <c r="AK152" s="274"/>
      <c r="AL152" s="274"/>
      <c r="AM152" s="274"/>
      <c r="AN152" s="274"/>
      <c r="AO152" s="274"/>
      <c r="AP152" s="274"/>
      <c r="AQ152" s="274"/>
      <c r="AR152" s="274"/>
      <c r="AS152" s="274"/>
      <c r="AT152" s="274"/>
      <c r="AU152" s="274"/>
      <c r="AV152" s="274"/>
      <c r="AW152" s="274"/>
      <c r="AX152" s="274"/>
      <c r="AY152" s="274"/>
      <c r="AZ152" s="274"/>
      <c r="BA152" s="274"/>
      <c r="BB152" s="274"/>
      <c r="BC152" s="274"/>
      <c r="BD152" s="274"/>
      <c r="BE152" s="274"/>
      <c r="BF152" s="274"/>
      <c r="BG152" s="274"/>
      <c r="BH152" s="274"/>
      <c r="BI152" s="274"/>
      <c r="BJ152" s="274"/>
      <c r="BK152" s="274"/>
      <c r="BL152" s="274"/>
      <c r="BM152" s="274"/>
      <c r="BN152" s="274"/>
      <c r="BO152" s="274"/>
      <c r="BP152" s="274"/>
      <c r="BQ152" s="274"/>
      <c r="BR152" s="274"/>
      <c r="BS152" s="274"/>
      <c r="BT152" s="274"/>
      <c r="BU152" s="274"/>
      <c r="BV152" s="274"/>
      <c r="BW152" s="274"/>
      <c r="BX152" s="274"/>
    </row>
    <row r="153" spans="1:76" s="105" customFormat="1" ht="11.25" customHeight="1" x14ac:dyDescent="0.25">
      <c r="A153" s="279"/>
      <c r="B153" s="273"/>
      <c r="C153" s="94"/>
      <c r="D153" s="94"/>
      <c r="E153" s="94"/>
      <c r="F153" s="268"/>
      <c r="G153" s="268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4"/>
      <c r="AG153" s="274"/>
      <c r="AH153" s="274"/>
      <c r="AI153" s="274"/>
      <c r="AJ153" s="274"/>
      <c r="AK153" s="274"/>
      <c r="AL153" s="274"/>
      <c r="AM153" s="274"/>
      <c r="AN153" s="274"/>
      <c r="AO153" s="274"/>
      <c r="AP153" s="274"/>
      <c r="AQ153" s="274"/>
      <c r="AR153" s="274"/>
      <c r="AS153" s="274"/>
      <c r="AT153" s="274"/>
      <c r="AU153" s="274"/>
      <c r="AV153" s="274"/>
      <c r="AW153" s="274"/>
      <c r="AX153" s="274"/>
      <c r="AY153" s="274"/>
      <c r="AZ153" s="274"/>
      <c r="BA153" s="274"/>
      <c r="BB153" s="274"/>
      <c r="BC153" s="274"/>
      <c r="BD153" s="274"/>
      <c r="BE153" s="274"/>
      <c r="BF153" s="274"/>
      <c r="BG153" s="274"/>
      <c r="BH153" s="274"/>
      <c r="BI153" s="274"/>
      <c r="BJ153" s="274"/>
      <c r="BK153" s="274"/>
      <c r="BL153" s="274"/>
      <c r="BM153" s="274"/>
      <c r="BN153" s="274"/>
      <c r="BO153" s="274"/>
      <c r="BP153" s="274"/>
      <c r="BQ153" s="274"/>
      <c r="BR153" s="274"/>
      <c r="BS153" s="274"/>
      <c r="BT153" s="274"/>
      <c r="BU153" s="274"/>
      <c r="BV153" s="274"/>
      <c r="BW153" s="274"/>
      <c r="BX153" s="274"/>
    </row>
    <row r="154" spans="1:76" s="105" customFormat="1" ht="11.25" customHeight="1" x14ac:dyDescent="0.25">
      <c r="A154" s="279"/>
      <c r="B154" s="273"/>
      <c r="C154" s="94"/>
      <c r="D154" s="94"/>
      <c r="E154" s="94"/>
      <c r="F154" s="268"/>
      <c r="G154" s="268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4"/>
      <c r="AG154" s="274"/>
      <c r="AH154" s="274"/>
      <c r="AI154" s="274"/>
      <c r="AJ154" s="274"/>
      <c r="AK154" s="274"/>
      <c r="AL154" s="274"/>
      <c r="AM154" s="274"/>
      <c r="AN154" s="274"/>
      <c r="AO154" s="274"/>
      <c r="AP154" s="274"/>
      <c r="AQ154" s="274"/>
      <c r="AR154" s="274"/>
      <c r="AS154" s="274"/>
      <c r="AT154" s="274"/>
      <c r="AU154" s="274"/>
      <c r="AV154" s="274"/>
      <c r="AW154" s="274"/>
      <c r="AX154" s="274"/>
      <c r="AY154" s="274"/>
      <c r="AZ154" s="274"/>
      <c r="BA154" s="274"/>
      <c r="BB154" s="274"/>
      <c r="BC154" s="274"/>
      <c r="BD154" s="274"/>
      <c r="BE154" s="274"/>
      <c r="BF154" s="274"/>
      <c r="BG154" s="274"/>
      <c r="BH154" s="274"/>
      <c r="BI154" s="274"/>
      <c r="BJ154" s="274"/>
      <c r="BK154" s="274"/>
      <c r="BL154" s="274"/>
      <c r="BM154" s="274"/>
      <c r="BN154" s="274"/>
      <c r="BO154" s="274"/>
      <c r="BP154" s="274"/>
      <c r="BQ154" s="274"/>
      <c r="BR154" s="274"/>
      <c r="BS154" s="274"/>
      <c r="BT154" s="274"/>
      <c r="BU154" s="274"/>
      <c r="BV154" s="274"/>
      <c r="BW154" s="274"/>
      <c r="BX154" s="274"/>
    </row>
    <row r="155" spans="1:76" s="105" customFormat="1" ht="11.25" customHeight="1" x14ac:dyDescent="0.25">
      <c r="A155" s="279"/>
      <c r="B155" s="273"/>
      <c r="C155" s="94"/>
      <c r="D155" s="94"/>
      <c r="E155" s="94"/>
      <c r="F155" s="268"/>
      <c r="G155" s="268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4"/>
      <c r="AG155" s="274"/>
      <c r="AH155" s="274"/>
      <c r="AI155" s="274"/>
      <c r="AJ155" s="274"/>
      <c r="AK155" s="274"/>
      <c r="AL155" s="274"/>
      <c r="AM155" s="274"/>
      <c r="AN155" s="274"/>
      <c r="AO155" s="274"/>
      <c r="AP155" s="274"/>
      <c r="AQ155" s="274"/>
      <c r="AR155" s="274"/>
      <c r="AS155" s="274"/>
      <c r="AT155" s="274"/>
      <c r="AU155" s="274"/>
      <c r="AV155" s="274"/>
      <c r="AW155" s="274"/>
      <c r="AX155" s="274"/>
      <c r="AY155" s="274"/>
      <c r="AZ155" s="274"/>
      <c r="BA155" s="274"/>
      <c r="BB155" s="274"/>
      <c r="BC155" s="274"/>
      <c r="BD155" s="274"/>
      <c r="BE155" s="274"/>
      <c r="BF155" s="274"/>
      <c r="BG155" s="274"/>
      <c r="BH155" s="274"/>
      <c r="BI155" s="274"/>
      <c r="BJ155" s="274"/>
      <c r="BK155" s="274"/>
      <c r="BL155" s="274"/>
      <c r="BM155" s="274"/>
      <c r="BN155" s="274"/>
      <c r="BO155" s="274"/>
      <c r="BP155" s="274"/>
      <c r="BQ155" s="274"/>
      <c r="BR155" s="274"/>
      <c r="BS155" s="274"/>
      <c r="BT155" s="274"/>
      <c r="BU155" s="274"/>
      <c r="BV155" s="274"/>
      <c r="BW155" s="274"/>
      <c r="BX155" s="274"/>
    </row>
    <row r="156" spans="1:76" s="105" customFormat="1" ht="11.25" customHeight="1" x14ac:dyDescent="0.25">
      <c r="A156" s="279"/>
      <c r="B156" s="273"/>
      <c r="C156" s="94"/>
      <c r="D156" s="94"/>
      <c r="E156" s="94"/>
      <c r="F156" s="268"/>
      <c r="G156" s="268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  <c r="AG156" s="274"/>
      <c r="AH156" s="274"/>
      <c r="AI156" s="274"/>
      <c r="AJ156" s="274"/>
      <c r="AK156" s="274"/>
      <c r="AL156" s="274"/>
      <c r="AM156" s="274"/>
      <c r="AN156" s="274"/>
      <c r="AO156" s="274"/>
      <c r="AP156" s="274"/>
      <c r="AQ156" s="274"/>
      <c r="AR156" s="274"/>
      <c r="AS156" s="274"/>
      <c r="AT156" s="274"/>
      <c r="AU156" s="274"/>
      <c r="AV156" s="274"/>
      <c r="AW156" s="274"/>
      <c r="AX156" s="274"/>
      <c r="AY156" s="274"/>
      <c r="AZ156" s="274"/>
      <c r="BA156" s="274"/>
      <c r="BB156" s="274"/>
      <c r="BC156" s="274"/>
      <c r="BD156" s="274"/>
      <c r="BE156" s="274"/>
      <c r="BF156" s="274"/>
      <c r="BG156" s="274"/>
      <c r="BH156" s="274"/>
      <c r="BI156" s="274"/>
      <c r="BJ156" s="274"/>
      <c r="BK156" s="274"/>
      <c r="BL156" s="274"/>
      <c r="BM156" s="274"/>
      <c r="BN156" s="274"/>
      <c r="BO156" s="274"/>
      <c r="BP156" s="274"/>
      <c r="BQ156" s="274"/>
      <c r="BR156" s="274"/>
      <c r="BS156" s="274"/>
      <c r="BT156" s="274"/>
      <c r="BU156" s="274"/>
      <c r="BV156" s="274"/>
      <c r="BW156" s="274"/>
      <c r="BX156" s="274"/>
    </row>
    <row r="157" spans="1:76" s="105" customFormat="1" ht="11.25" customHeight="1" x14ac:dyDescent="0.25">
      <c r="A157" s="279"/>
      <c r="B157" s="273"/>
      <c r="C157" s="94"/>
      <c r="D157" s="94"/>
      <c r="E157" s="94"/>
      <c r="F157" s="268"/>
      <c r="G157" s="268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4"/>
      <c r="AG157" s="274"/>
      <c r="AH157" s="274"/>
      <c r="AI157" s="274"/>
      <c r="AJ157" s="274"/>
      <c r="AK157" s="274"/>
      <c r="AL157" s="274"/>
      <c r="AM157" s="274"/>
      <c r="AN157" s="274"/>
      <c r="AO157" s="274"/>
      <c r="AP157" s="274"/>
      <c r="AQ157" s="274"/>
      <c r="AR157" s="274"/>
      <c r="AS157" s="274"/>
      <c r="AT157" s="274"/>
      <c r="AU157" s="274"/>
      <c r="AV157" s="274"/>
      <c r="AW157" s="274"/>
      <c r="AX157" s="274"/>
      <c r="AY157" s="274"/>
      <c r="AZ157" s="274"/>
      <c r="BA157" s="274"/>
      <c r="BB157" s="274"/>
      <c r="BC157" s="274"/>
      <c r="BD157" s="274"/>
      <c r="BE157" s="274"/>
      <c r="BF157" s="274"/>
      <c r="BG157" s="274"/>
      <c r="BH157" s="274"/>
      <c r="BI157" s="274"/>
      <c r="BJ157" s="274"/>
      <c r="BK157" s="274"/>
      <c r="BL157" s="274"/>
      <c r="BM157" s="274"/>
      <c r="BN157" s="274"/>
      <c r="BO157" s="274"/>
      <c r="BP157" s="274"/>
      <c r="BQ157" s="274"/>
      <c r="BR157" s="274"/>
      <c r="BS157" s="274"/>
      <c r="BT157" s="274"/>
      <c r="BU157" s="274"/>
      <c r="BV157" s="274"/>
      <c r="BW157" s="274"/>
      <c r="BX157" s="274"/>
    </row>
    <row r="158" spans="1:76" s="105" customFormat="1" ht="11.25" customHeight="1" x14ac:dyDescent="0.25">
      <c r="A158" s="279"/>
      <c r="B158" s="273"/>
      <c r="C158" s="94"/>
      <c r="D158" s="94"/>
      <c r="E158" s="94"/>
      <c r="F158" s="268"/>
      <c r="G158" s="268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4"/>
      <c r="AG158" s="274"/>
      <c r="AH158" s="274"/>
      <c r="AI158" s="274"/>
      <c r="AJ158" s="274"/>
      <c r="AK158" s="274"/>
      <c r="AL158" s="274"/>
      <c r="AM158" s="274"/>
      <c r="AN158" s="274"/>
      <c r="AO158" s="274"/>
      <c r="AP158" s="274"/>
      <c r="AQ158" s="274"/>
      <c r="AR158" s="274"/>
      <c r="AS158" s="274"/>
      <c r="AT158" s="274"/>
      <c r="AU158" s="274"/>
      <c r="AV158" s="274"/>
      <c r="AW158" s="274"/>
      <c r="AX158" s="274"/>
      <c r="AY158" s="274"/>
      <c r="AZ158" s="274"/>
      <c r="BA158" s="274"/>
      <c r="BB158" s="274"/>
      <c r="BC158" s="274"/>
      <c r="BD158" s="274"/>
      <c r="BE158" s="274"/>
      <c r="BF158" s="274"/>
      <c r="BG158" s="274"/>
      <c r="BH158" s="274"/>
      <c r="BI158" s="274"/>
      <c r="BJ158" s="274"/>
      <c r="BK158" s="274"/>
      <c r="BL158" s="274"/>
      <c r="BM158" s="274"/>
      <c r="BN158" s="274"/>
      <c r="BO158" s="274"/>
      <c r="BP158" s="274"/>
      <c r="BQ158" s="274"/>
      <c r="BR158" s="274"/>
      <c r="BS158" s="274"/>
      <c r="BT158" s="274"/>
      <c r="BU158" s="274"/>
      <c r="BV158" s="274"/>
      <c r="BW158" s="274"/>
      <c r="BX158" s="274"/>
    </row>
    <row r="159" spans="1:76" s="105" customFormat="1" ht="11.25" customHeight="1" x14ac:dyDescent="0.25">
      <c r="A159" s="279"/>
      <c r="B159" s="273"/>
      <c r="C159" s="94"/>
      <c r="D159" s="94"/>
      <c r="E159" s="94"/>
      <c r="F159" s="268"/>
      <c r="G159" s="268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4"/>
      <c r="AG159" s="274"/>
      <c r="AH159" s="274"/>
      <c r="AI159" s="274"/>
      <c r="AJ159" s="274"/>
      <c r="AK159" s="274"/>
      <c r="AL159" s="274"/>
      <c r="AM159" s="274"/>
      <c r="AN159" s="274"/>
      <c r="AO159" s="274"/>
      <c r="AP159" s="274"/>
      <c r="AQ159" s="274"/>
      <c r="AR159" s="274"/>
      <c r="AS159" s="274"/>
      <c r="AT159" s="274"/>
      <c r="AU159" s="274"/>
      <c r="AV159" s="274"/>
      <c r="AW159" s="274"/>
      <c r="AX159" s="274"/>
      <c r="AY159" s="274"/>
      <c r="AZ159" s="274"/>
      <c r="BA159" s="274"/>
      <c r="BB159" s="274"/>
      <c r="BC159" s="274"/>
      <c r="BD159" s="274"/>
      <c r="BE159" s="274"/>
      <c r="BF159" s="274"/>
      <c r="BG159" s="274"/>
      <c r="BH159" s="274"/>
      <c r="BI159" s="274"/>
      <c r="BJ159" s="274"/>
      <c r="BK159" s="274"/>
      <c r="BL159" s="274"/>
      <c r="BM159" s="274"/>
      <c r="BN159" s="274"/>
      <c r="BO159" s="274"/>
      <c r="BP159" s="274"/>
      <c r="BQ159" s="274"/>
      <c r="BR159" s="274"/>
      <c r="BS159" s="274"/>
      <c r="BT159" s="274"/>
      <c r="BU159" s="274"/>
      <c r="BV159" s="274"/>
      <c r="BW159" s="274"/>
      <c r="BX159" s="274"/>
    </row>
    <row r="160" spans="1:76" s="105" customFormat="1" ht="11.25" customHeight="1" x14ac:dyDescent="0.25">
      <c r="A160" s="273"/>
      <c r="B160" s="94"/>
      <c r="C160" s="94"/>
      <c r="D160" s="94"/>
      <c r="E160" s="94"/>
      <c r="F160" s="268"/>
      <c r="G160" s="268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274"/>
      <c r="AD160" s="274"/>
      <c r="AE160" s="274"/>
      <c r="AF160" s="274"/>
      <c r="AG160" s="274"/>
      <c r="AH160" s="274"/>
      <c r="AI160" s="274"/>
      <c r="AJ160" s="274"/>
      <c r="AK160" s="274"/>
      <c r="AL160" s="274"/>
      <c r="AM160" s="274"/>
      <c r="AN160" s="274"/>
      <c r="AO160" s="274"/>
      <c r="AP160" s="274"/>
      <c r="AQ160" s="274"/>
      <c r="AR160" s="274"/>
      <c r="AS160" s="274"/>
      <c r="AT160" s="274"/>
      <c r="AU160" s="274"/>
      <c r="AV160" s="274"/>
      <c r="AW160" s="274"/>
      <c r="AX160" s="274"/>
      <c r="AY160" s="274"/>
      <c r="AZ160" s="274"/>
      <c r="BA160" s="274"/>
      <c r="BB160" s="274"/>
      <c r="BC160" s="274"/>
      <c r="BD160" s="274"/>
      <c r="BE160" s="274"/>
      <c r="BF160" s="274"/>
      <c r="BG160" s="274"/>
      <c r="BH160" s="274"/>
      <c r="BI160" s="274"/>
      <c r="BJ160" s="274"/>
      <c r="BK160" s="274"/>
      <c r="BL160" s="274"/>
      <c r="BM160" s="274"/>
      <c r="BN160" s="274"/>
      <c r="BO160" s="274"/>
      <c r="BP160" s="274"/>
      <c r="BQ160" s="274"/>
      <c r="BR160" s="274"/>
      <c r="BS160" s="274"/>
      <c r="BT160" s="274"/>
      <c r="BU160" s="274"/>
      <c r="BV160" s="274"/>
      <c r="BW160" s="274"/>
      <c r="BX160" s="274"/>
    </row>
    <row r="161" spans="1:76" s="105" customFormat="1" ht="11.25" customHeight="1" x14ac:dyDescent="0.25">
      <c r="A161" s="279"/>
      <c r="B161" s="273"/>
      <c r="C161" s="94"/>
      <c r="D161" s="94"/>
      <c r="E161" s="94"/>
      <c r="F161" s="268"/>
      <c r="G161" s="268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4"/>
      <c r="AB161" s="274"/>
      <c r="AC161" s="274"/>
      <c r="AD161" s="274"/>
      <c r="AE161" s="274"/>
      <c r="AF161" s="274"/>
      <c r="AG161" s="274"/>
      <c r="AH161" s="274"/>
      <c r="AI161" s="274"/>
      <c r="AJ161" s="274"/>
      <c r="AK161" s="274"/>
      <c r="AL161" s="274"/>
      <c r="AM161" s="274"/>
      <c r="AN161" s="274"/>
      <c r="AO161" s="274"/>
      <c r="AP161" s="274"/>
      <c r="AQ161" s="274"/>
      <c r="AR161" s="274"/>
      <c r="AS161" s="274"/>
      <c r="AT161" s="274"/>
      <c r="AU161" s="274"/>
      <c r="AV161" s="274"/>
      <c r="AW161" s="274"/>
      <c r="AX161" s="274"/>
      <c r="AY161" s="274"/>
      <c r="AZ161" s="274"/>
      <c r="BA161" s="274"/>
      <c r="BB161" s="274"/>
      <c r="BC161" s="274"/>
      <c r="BD161" s="274"/>
      <c r="BE161" s="274"/>
      <c r="BF161" s="274"/>
      <c r="BG161" s="274"/>
      <c r="BH161" s="274"/>
      <c r="BI161" s="274"/>
      <c r="BJ161" s="274"/>
      <c r="BK161" s="274"/>
      <c r="BL161" s="274"/>
      <c r="BM161" s="274"/>
      <c r="BN161" s="274"/>
      <c r="BO161" s="274"/>
      <c r="BP161" s="274"/>
      <c r="BQ161" s="274"/>
      <c r="BR161" s="274"/>
      <c r="BS161" s="274"/>
      <c r="BT161" s="274"/>
      <c r="BU161" s="274"/>
      <c r="BV161" s="274"/>
      <c r="BW161" s="274"/>
      <c r="BX161" s="274"/>
    </row>
    <row r="162" spans="1:76" s="105" customFormat="1" ht="11.25" customHeight="1" x14ac:dyDescent="0.25">
      <c r="A162" s="279"/>
      <c r="B162" s="273"/>
      <c r="C162" s="94"/>
      <c r="D162" s="94"/>
      <c r="E162" s="94"/>
      <c r="F162" s="268"/>
      <c r="G162" s="268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274"/>
      <c r="AB162" s="274"/>
      <c r="AC162" s="274"/>
      <c r="AD162" s="274"/>
      <c r="AE162" s="274"/>
      <c r="AF162" s="274"/>
      <c r="AG162" s="274"/>
      <c r="AH162" s="274"/>
      <c r="AI162" s="274"/>
      <c r="AJ162" s="274"/>
      <c r="AK162" s="274"/>
      <c r="AL162" s="274"/>
      <c r="AM162" s="274"/>
      <c r="AN162" s="274"/>
      <c r="AO162" s="274"/>
      <c r="AP162" s="274"/>
      <c r="AQ162" s="274"/>
      <c r="AR162" s="274"/>
      <c r="AS162" s="274"/>
      <c r="AT162" s="274"/>
      <c r="AU162" s="274"/>
      <c r="AV162" s="274"/>
      <c r="AW162" s="274"/>
      <c r="AX162" s="274"/>
      <c r="AY162" s="274"/>
      <c r="AZ162" s="274"/>
      <c r="BA162" s="274"/>
      <c r="BB162" s="274"/>
      <c r="BC162" s="274"/>
      <c r="BD162" s="274"/>
      <c r="BE162" s="274"/>
      <c r="BF162" s="274"/>
      <c r="BG162" s="274"/>
      <c r="BH162" s="274"/>
      <c r="BI162" s="274"/>
      <c r="BJ162" s="274"/>
      <c r="BK162" s="274"/>
      <c r="BL162" s="274"/>
      <c r="BM162" s="274"/>
      <c r="BN162" s="274"/>
      <c r="BO162" s="274"/>
      <c r="BP162" s="274"/>
      <c r="BQ162" s="274"/>
      <c r="BR162" s="274"/>
      <c r="BS162" s="274"/>
      <c r="BT162" s="274"/>
      <c r="BU162" s="274"/>
      <c r="BV162" s="274"/>
      <c r="BW162" s="274"/>
      <c r="BX162" s="274"/>
    </row>
    <row r="163" spans="1:76" s="105" customFormat="1" ht="11.25" customHeight="1" x14ac:dyDescent="0.25">
      <c r="A163" s="279"/>
      <c r="B163" s="273"/>
      <c r="C163" s="94"/>
      <c r="D163" s="94"/>
      <c r="E163" s="94"/>
      <c r="F163" s="268"/>
      <c r="G163" s="268"/>
      <c r="H163" s="280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4"/>
      <c r="AG163" s="274"/>
      <c r="AH163" s="274"/>
      <c r="AI163" s="274"/>
      <c r="AJ163" s="274"/>
      <c r="AK163" s="274"/>
      <c r="AL163" s="274"/>
      <c r="AM163" s="274"/>
      <c r="AN163" s="274"/>
      <c r="AO163" s="274"/>
      <c r="AP163" s="274"/>
      <c r="AQ163" s="274"/>
      <c r="AR163" s="274"/>
      <c r="AS163" s="274"/>
      <c r="AT163" s="274"/>
      <c r="AU163" s="274"/>
      <c r="AV163" s="274"/>
      <c r="AW163" s="274"/>
      <c r="AX163" s="274"/>
      <c r="AY163" s="274"/>
      <c r="AZ163" s="274"/>
      <c r="BA163" s="274"/>
      <c r="BB163" s="274"/>
      <c r="BC163" s="274"/>
      <c r="BD163" s="274"/>
      <c r="BE163" s="274"/>
      <c r="BF163" s="274"/>
      <c r="BG163" s="274"/>
      <c r="BH163" s="274"/>
      <c r="BI163" s="274"/>
      <c r="BJ163" s="274"/>
      <c r="BK163" s="274"/>
      <c r="BL163" s="274"/>
      <c r="BM163" s="274"/>
      <c r="BN163" s="274"/>
      <c r="BO163" s="274"/>
      <c r="BP163" s="274"/>
      <c r="BQ163" s="274"/>
      <c r="BR163" s="274"/>
      <c r="BS163" s="274"/>
      <c r="BT163" s="274"/>
      <c r="BU163" s="274"/>
      <c r="BV163" s="274"/>
      <c r="BW163" s="274"/>
      <c r="BX163" s="274"/>
    </row>
    <row r="164" spans="1:76" s="105" customFormat="1" ht="11.25" customHeight="1" x14ac:dyDescent="0.25">
      <c r="A164" s="279"/>
      <c r="B164" s="273"/>
      <c r="C164" s="94"/>
      <c r="D164" s="94"/>
      <c r="E164" s="94"/>
      <c r="F164" s="268"/>
      <c r="G164" s="268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4"/>
      <c r="AG164" s="274"/>
      <c r="AH164" s="274"/>
      <c r="AI164" s="274"/>
      <c r="AJ164" s="274"/>
      <c r="AK164" s="274"/>
      <c r="AL164" s="274"/>
      <c r="AM164" s="274"/>
      <c r="AN164" s="274"/>
      <c r="AO164" s="274"/>
      <c r="AP164" s="274"/>
      <c r="AQ164" s="274"/>
      <c r="AR164" s="274"/>
      <c r="AS164" s="274"/>
      <c r="AT164" s="274"/>
      <c r="AU164" s="274"/>
      <c r="AV164" s="274"/>
      <c r="AW164" s="274"/>
      <c r="AX164" s="274"/>
      <c r="AY164" s="274"/>
      <c r="AZ164" s="274"/>
      <c r="BA164" s="274"/>
      <c r="BB164" s="274"/>
      <c r="BC164" s="274"/>
      <c r="BD164" s="274"/>
      <c r="BE164" s="274"/>
      <c r="BF164" s="274"/>
      <c r="BG164" s="274"/>
      <c r="BH164" s="274"/>
      <c r="BI164" s="274"/>
      <c r="BJ164" s="274"/>
      <c r="BK164" s="274"/>
      <c r="BL164" s="274"/>
      <c r="BM164" s="274"/>
      <c r="BN164" s="274"/>
      <c r="BO164" s="274"/>
      <c r="BP164" s="274"/>
      <c r="BQ164" s="274"/>
      <c r="BR164" s="274"/>
      <c r="BS164" s="274"/>
      <c r="BT164" s="274"/>
      <c r="BU164" s="274"/>
      <c r="BV164" s="274"/>
      <c r="BW164" s="274"/>
      <c r="BX164" s="274"/>
    </row>
    <row r="165" spans="1:76" s="105" customFormat="1" ht="11.25" customHeight="1" x14ac:dyDescent="0.25">
      <c r="A165" s="279"/>
      <c r="B165" s="273"/>
      <c r="C165" s="94"/>
      <c r="D165" s="94"/>
      <c r="E165" s="94"/>
      <c r="F165" s="268"/>
      <c r="G165" s="268"/>
      <c r="H165" s="281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4"/>
      <c r="AG165" s="274"/>
      <c r="AH165" s="274"/>
      <c r="AI165" s="274"/>
      <c r="AJ165" s="274"/>
      <c r="AK165" s="274"/>
      <c r="AL165" s="274"/>
      <c r="AM165" s="274"/>
      <c r="AN165" s="274"/>
      <c r="AO165" s="274"/>
      <c r="AP165" s="274"/>
      <c r="AQ165" s="274"/>
      <c r="AR165" s="274"/>
      <c r="AS165" s="274"/>
      <c r="AT165" s="274"/>
      <c r="AU165" s="274"/>
      <c r="AV165" s="274"/>
      <c r="AW165" s="274"/>
      <c r="AX165" s="274"/>
      <c r="AY165" s="274"/>
      <c r="AZ165" s="274"/>
      <c r="BA165" s="274"/>
      <c r="BB165" s="274"/>
      <c r="BC165" s="274"/>
      <c r="BD165" s="274"/>
      <c r="BE165" s="274"/>
      <c r="BF165" s="274"/>
      <c r="BG165" s="274"/>
      <c r="BH165" s="274"/>
      <c r="BI165" s="274"/>
      <c r="BJ165" s="274"/>
      <c r="BK165" s="274"/>
      <c r="BL165" s="274"/>
      <c r="BM165" s="274"/>
      <c r="BN165" s="274"/>
      <c r="BO165" s="274"/>
      <c r="BP165" s="274"/>
      <c r="BQ165" s="274"/>
      <c r="BR165" s="274"/>
      <c r="BS165" s="274"/>
      <c r="BT165" s="274"/>
      <c r="BU165" s="274"/>
      <c r="BV165" s="274"/>
      <c r="BW165" s="274"/>
      <c r="BX165" s="274"/>
    </row>
    <row r="166" spans="1:76" s="105" customFormat="1" ht="11.25" customHeight="1" x14ac:dyDescent="0.25">
      <c r="A166" s="279"/>
      <c r="B166" s="273"/>
      <c r="C166" s="94"/>
      <c r="D166" s="94"/>
      <c r="E166" s="94"/>
      <c r="F166" s="268"/>
      <c r="G166" s="268"/>
      <c r="H166" s="281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  <c r="AA166" s="274"/>
      <c r="AB166" s="274"/>
      <c r="AC166" s="274"/>
      <c r="AD166" s="274"/>
      <c r="AE166" s="274"/>
      <c r="AF166" s="274"/>
      <c r="AG166" s="274"/>
      <c r="AH166" s="274"/>
      <c r="AI166" s="274"/>
      <c r="AJ166" s="274"/>
      <c r="AK166" s="274"/>
      <c r="AL166" s="274"/>
      <c r="AM166" s="274"/>
      <c r="AN166" s="274"/>
      <c r="AO166" s="274"/>
      <c r="AP166" s="274"/>
      <c r="AQ166" s="274"/>
      <c r="AR166" s="274"/>
      <c r="AS166" s="274"/>
      <c r="AT166" s="274"/>
      <c r="AU166" s="274"/>
      <c r="AV166" s="274"/>
      <c r="AW166" s="274"/>
      <c r="AX166" s="274"/>
      <c r="AY166" s="274"/>
      <c r="AZ166" s="274"/>
      <c r="BA166" s="274"/>
      <c r="BB166" s="274"/>
      <c r="BC166" s="274"/>
      <c r="BD166" s="274"/>
      <c r="BE166" s="274"/>
      <c r="BF166" s="274"/>
      <c r="BG166" s="274"/>
      <c r="BH166" s="274"/>
      <c r="BI166" s="274"/>
      <c r="BJ166" s="274"/>
      <c r="BK166" s="274"/>
      <c r="BL166" s="274"/>
      <c r="BM166" s="274"/>
      <c r="BN166" s="274"/>
      <c r="BO166" s="274"/>
      <c r="BP166" s="274"/>
      <c r="BQ166" s="274"/>
      <c r="BR166" s="274"/>
      <c r="BS166" s="274"/>
      <c r="BT166" s="274"/>
      <c r="BU166" s="274"/>
      <c r="BV166" s="274"/>
      <c r="BW166" s="274"/>
      <c r="BX166" s="274"/>
    </row>
    <row r="167" spans="1:76" s="105" customFormat="1" ht="11.25" customHeight="1" x14ac:dyDescent="0.25">
      <c r="A167" s="279"/>
      <c r="B167" s="273"/>
      <c r="C167" s="94"/>
      <c r="D167" s="94"/>
      <c r="E167" s="94"/>
      <c r="F167" s="268"/>
      <c r="G167" s="268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  <c r="AA167" s="274"/>
      <c r="AB167" s="274"/>
      <c r="AC167" s="274"/>
      <c r="AD167" s="274"/>
      <c r="AE167" s="274"/>
      <c r="AF167" s="274"/>
      <c r="AG167" s="274"/>
      <c r="AH167" s="274"/>
      <c r="AI167" s="274"/>
      <c r="AJ167" s="274"/>
      <c r="AK167" s="274"/>
      <c r="AL167" s="274"/>
      <c r="AM167" s="274"/>
      <c r="AN167" s="274"/>
      <c r="AO167" s="274"/>
      <c r="AP167" s="274"/>
      <c r="AQ167" s="274"/>
      <c r="AR167" s="274"/>
      <c r="AS167" s="274"/>
      <c r="AT167" s="274"/>
      <c r="AU167" s="274"/>
      <c r="AV167" s="274"/>
      <c r="AW167" s="274"/>
      <c r="AX167" s="274"/>
      <c r="AY167" s="274"/>
      <c r="AZ167" s="274"/>
      <c r="BA167" s="274"/>
      <c r="BB167" s="274"/>
      <c r="BC167" s="274"/>
      <c r="BD167" s="274"/>
      <c r="BE167" s="274"/>
      <c r="BF167" s="274"/>
      <c r="BG167" s="274"/>
      <c r="BH167" s="274"/>
      <c r="BI167" s="274"/>
      <c r="BJ167" s="274"/>
      <c r="BK167" s="274"/>
      <c r="BL167" s="274"/>
      <c r="BM167" s="274"/>
      <c r="BN167" s="274"/>
      <c r="BO167" s="274"/>
      <c r="BP167" s="274"/>
      <c r="BQ167" s="274"/>
      <c r="BR167" s="274"/>
      <c r="BS167" s="274"/>
      <c r="BT167" s="274"/>
      <c r="BU167" s="274"/>
      <c r="BV167" s="274"/>
      <c r="BW167" s="274"/>
      <c r="BX167" s="274"/>
    </row>
    <row r="168" spans="1:76" s="105" customFormat="1" ht="11.25" customHeight="1" x14ac:dyDescent="0.25">
      <c r="A168" s="273"/>
      <c r="B168" s="94"/>
      <c r="C168" s="94"/>
      <c r="D168" s="94"/>
      <c r="E168" s="94"/>
      <c r="F168" s="268"/>
      <c r="G168" s="268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4"/>
      <c r="AG168" s="274"/>
      <c r="AH168" s="274"/>
      <c r="AI168" s="274"/>
      <c r="AJ168" s="274"/>
      <c r="AK168" s="274"/>
      <c r="AL168" s="274"/>
      <c r="AM168" s="274"/>
      <c r="AN168" s="274"/>
      <c r="AO168" s="274"/>
      <c r="AP168" s="274"/>
      <c r="AQ168" s="274"/>
      <c r="AR168" s="274"/>
      <c r="AS168" s="274"/>
      <c r="AT168" s="274"/>
      <c r="AU168" s="274"/>
      <c r="AV168" s="274"/>
      <c r="AW168" s="274"/>
      <c r="AX168" s="274"/>
      <c r="AY168" s="274"/>
      <c r="AZ168" s="274"/>
      <c r="BA168" s="274"/>
      <c r="BB168" s="274"/>
      <c r="BC168" s="274"/>
      <c r="BD168" s="274"/>
      <c r="BE168" s="274"/>
      <c r="BF168" s="274"/>
      <c r="BG168" s="274"/>
      <c r="BH168" s="274"/>
      <c r="BI168" s="274"/>
      <c r="BJ168" s="274"/>
      <c r="BK168" s="274"/>
      <c r="BL168" s="274"/>
      <c r="BM168" s="274"/>
      <c r="BN168" s="274"/>
      <c r="BO168" s="274"/>
      <c r="BP168" s="274"/>
      <c r="BQ168" s="274"/>
      <c r="BR168" s="274"/>
      <c r="BS168" s="274"/>
      <c r="BT168" s="274"/>
      <c r="BU168" s="274"/>
      <c r="BV168" s="274"/>
      <c r="BW168" s="274"/>
      <c r="BX168" s="274"/>
    </row>
    <row r="169" spans="1:76" s="105" customFormat="1" ht="11.25" customHeight="1" x14ac:dyDescent="0.25">
      <c r="A169" s="279"/>
      <c r="B169" s="273"/>
      <c r="C169" s="94"/>
      <c r="D169" s="94"/>
      <c r="E169" s="94"/>
      <c r="F169" s="268"/>
      <c r="G169" s="268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4"/>
      <c r="AG169" s="274"/>
      <c r="AH169" s="274"/>
      <c r="AI169" s="274"/>
      <c r="AJ169" s="274"/>
      <c r="AK169" s="274"/>
      <c r="AL169" s="274"/>
      <c r="AM169" s="274"/>
      <c r="AN169" s="274"/>
      <c r="AO169" s="274"/>
      <c r="AP169" s="274"/>
      <c r="AQ169" s="274"/>
      <c r="AR169" s="274"/>
      <c r="AS169" s="274"/>
      <c r="AT169" s="274"/>
      <c r="AU169" s="274"/>
      <c r="AV169" s="274"/>
      <c r="AW169" s="274"/>
      <c r="AX169" s="274"/>
      <c r="AY169" s="274"/>
      <c r="AZ169" s="274"/>
      <c r="BA169" s="274"/>
      <c r="BB169" s="274"/>
      <c r="BC169" s="274"/>
      <c r="BD169" s="274"/>
      <c r="BE169" s="274"/>
      <c r="BF169" s="274"/>
      <c r="BG169" s="274"/>
      <c r="BH169" s="274"/>
      <c r="BI169" s="274"/>
      <c r="BJ169" s="274"/>
      <c r="BK169" s="274"/>
      <c r="BL169" s="274"/>
      <c r="BM169" s="274"/>
      <c r="BN169" s="274"/>
      <c r="BO169" s="274"/>
      <c r="BP169" s="274"/>
      <c r="BQ169" s="274"/>
      <c r="BR169" s="274"/>
      <c r="BS169" s="274"/>
      <c r="BT169" s="274"/>
      <c r="BU169" s="274"/>
      <c r="BV169" s="274"/>
      <c r="BW169" s="274"/>
      <c r="BX169" s="274"/>
    </row>
    <row r="170" spans="1:76" s="105" customFormat="1" ht="11.25" customHeight="1" x14ac:dyDescent="0.25">
      <c r="A170" s="279"/>
      <c r="B170" s="273"/>
      <c r="C170" s="94"/>
      <c r="D170" s="94"/>
      <c r="E170" s="94"/>
      <c r="F170" s="268"/>
      <c r="G170" s="268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4"/>
      <c r="AG170" s="274"/>
      <c r="AH170" s="274"/>
      <c r="AI170" s="274"/>
      <c r="AJ170" s="274"/>
      <c r="AK170" s="274"/>
      <c r="AL170" s="274"/>
      <c r="AM170" s="274"/>
      <c r="AN170" s="274"/>
      <c r="AO170" s="274"/>
      <c r="AP170" s="274"/>
      <c r="AQ170" s="274"/>
      <c r="AR170" s="274"/>
      <c r="AS170" s="274"/>
      <c r="AT170" s="274"/>
      <c r="AU170" s="274"/>
      <c r="AV170" s="274"/>
      <c r="AW170" s="274"/>
      <c r="AX170" s="274"/>
      <c r="AY170" s="274"/>
      <c r="AZ170" s="274"/>
      <c r="BA170" s="274"/>
      <c r="BB170" s="274"/>
      <c r="BC170" s="274"/>
      <c r="BD170" s="274"/>
      <c r="BE170" s="274"/>
      <c r="BF170" s="274"/>
      <c r="BG170" s="274"/>
      <c r="BH170" s="274"/>
      <c r="BI170" s="274"/>
      <c r="BJ170" s="274"/>
      <c r="BK170" s="274"/>
      <c r="BL170" s="274"/>
      <c r="BM170" s="274"/>
      <c r="BN170" s="274"/>
      <c r="BO170" s="274"/>
      <c r="BP170" s="274"/>
      <c r="BQ170" s="274"/>
      <c r="BR170" s="274"/>
      <c r="BS170" s="274"/>
      <c r="BT170" s="274"/>
      <c r="BU170" s="274"/>
      <c r="BV170" s="274"/>
      <c r="BW170" s="274"/>
      <c r="BX170" s="274"/>
    </row>
    <row r="171" spans="1:76" s="105" customFormat="1" ht="11.25" customHeight="1" x14ac:dyDescent="0.25">
      <c r="A171" s="279"/>
      <c r="B171" s="273"/>
      <c r="C171" s="94"/>
      <c r="D171" s="94"/>
      <c r="E171" s="94"/>
      <c r="F171" s="268"/>
      <c r="G171" s="268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4"/>
      <c r="AG171" s="274"/>
      <c r="AH171" s="274"/>
      <c r="AI171" s="274"/>
      <c r="AJ171" s="274"/>
      <c r="AK171" s="274"/>
      <c r="AL171" s="274"/>
      <c r="AM171" s="274"/>
      <c r="AN171" s="274"/>
      <c r="AO171" s="274"/>
      <c r="AP171" s="274"/>
      <c r="AQ171" s="274"/>
      <c r="AR171" s="274"/>
      <c r="AS171" s="274"/>
      <c r="AT171" s="274"/>
      <c r="AU171" s="274"/>
      <c r="AV171" s="274"/>
      <c r="AW171" s="274"/>
      <c r="AX171" s="274"/>
      <c r="AY171" s="274"/>
      <c r="AZ171" s="274"/>
      <c r="BA171" s="274"/>
      <c r="BB171" s="274"/>
      <c r="BC171" s="274"/>
      <c r="BD171" s="274"/>
      <c r="BE171" s="274"/>
      <c r="BF171" s="274"/>
      <c r="BG171" s="274"/>
      <c r="BH171" s="274"/>
      <c r="BI171" s="274"/>
      <c r="BJ171" s="274"/>
      <c r="BK171" s="274"/>
      <c r="BL171" s="274"/>
      <c r="BM171" s="274"/>
      <c r="BN171" s="274"/>
      <c r="BO171" s="274"/>
      <c r="BP171" s="274"/>
      <c r="BQ171" s="274"/>
      <c r="BR171" s="274"/>
      <c r="BS171" s="274"/>
      <c r="BT171" s="274"/>
      <c r="BU171" s="274"/>
      <c r="BV171" s="274"/>
      <c r="BW171" s="274"/>
      <c r="BX171" s="274"/>
    </row>
    <row r="172" spans="1:76" s="105" customFormat="1" ht="11.25" customHeight="1" x14ac:dyDescent="0.25">
      <c r="A172" s="279"/>
      <c r="B172" s="273"/>
      <c r="C172" s="94"/>
      <c r="D172" s="94"/>
      <c r="E172" s="94"/>
      <c r="F172" s="268"/>
      <c r="G172" s="268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4"/>
      <c r="AG172" s="274"/>
      <c r="AH172" s="274"/>
      <c r="AI172" s="274"/>
      <c r="AJ172" s="274"/>
      <c r="AK172" s="274"/>
      <c r="AL172" s="274"/>
      <c r="AM172" s="274"/>
      <c r="AN172" s="274"/>
      <c r="AO172" s="274"/>
      <c r="AP172" s="274"/>
      <c r="AQ172" s="274"/>
      <c r="AR172" s="274"/>
      <c r="AS172" s="274"/>
      <c r="AT172" s="274"/>
      <c r="AU172" s="274"/>
      <c r="AV172" s="274"/>
      <c r="AW172" s="274"/>
      <c r="AX172" s="274"/>
      <c r="AY172" s="274"/>
      <c r="AZ172" s="274"/>
      <c r="BA172" s="274"/>
      <c r="BB172" s="274"/>
      <c r="BC172" s="274"/>
      <c r="BD172" s="274"/>
      <c r="BE172" s="274"/>
      <c r="BF172" s="274"/>
      <c r="BG172" s="274"/>
      <c r="BH172" s="274"/>
      <c r="BI172" s="274"/>
      <c r="BJ172" s="274"/>
      <c r="BK172" s="274"/>
      <c r="BL172" s="274"/>
      <c r="BM172" s="274"/>
      <c r="BN172" s="274"/>
      <c r="BO172" s="274"/>
      <c r="BP172" s="274"/>
      <c r="BQ172" s="274"/>
      <c r="BR172" s="274"/>
      <c r="BS172" s="274"/>
      <c r="BT172" s="274"/>
      <c r="BU172" s="274"/>
      <c r="BV172" s="274"/>
      <c r="BW172" s="274"/>
      <c r="BX172" s="274"/>
    </row>
    <row r="173" spans="1:76" s="105" customFormat="1" ht="11.25" customHeight="1" x14ac:dyDescent="0.25">
      <c r="A173" s="279"/>
      <c r="B173" s="273"/>
      <c r="C173" s="94"/>
      <c r="D173" s="94"/>
      <c r="E173" s="94"/>
      <c r="F173" s="268"/>
      <c r="G173" s="268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4"/>
      <c r="AG173" s="274"/>
      <c r="AH173" s="274"/>
      <c r="AI173" s="274"/>
      <c r="AJ173" s="274"/>
      <c r="AK173" s="274"/>
      <c r="AL173" s="274"/>
      <c r="AM173" s="274"/>
      <c r="AN173" s="274"/>
      <c r="AO173" s="274"/>
      <c r="AP173" s="274"/>
      <c r="AQ173" s="274"/>
      <c r="AR173" s="274"/>
      <c r="AS173" s="274"/>
      <c r="AT173" s="274"/>
      <c r="AU173" s="274"/>
      <c r="AV173" s="274"/>
      <c r="AW173" s="274"/>
      <c r="AX173" s="274"/>
      <c r="AY173" s="274"/>
      <c r="AZ173" s="274"/>
      <c r="BA173" s="274"/>
      <c r="BB173" s="274"/>
      <c r="BC173" s="274"/>
      <c r="BD173" s="274"/>
      <c r="BE173" s="274"/>
      <c r="BF173" s="274"/>
      <c r="BG173" s="274"/>
      <c r="BH173" s="274"/>
      <c r="BI173" s="274"/>
      <c r="BJ173" s="274"/>
      <c r="BK173" s="274"/>
      <c r="BL173" s="274"/>
      <c r="BM173" s="274"/>
      <c r="BN173" s="274"/>
      <c r="BO173" s="274"/>
      <c r="BP173" s="274"/>
      <c r="BQ173" s="274"/>
      <c r="BR173" s="274"/>
      <c r="BS173" s="274"/>
      <c r="BT173" s="274"/>
      <c r="BU173" s="274"/>
      <c r="BV173" s="274"/>
      <c r="BW173" s="274"/>
      <c r="BX173" s="274"/>
    </row>
    <row r="174" spans="1:76" s="105" customFormat="1" ht="11.25" customHeight="1" x14ac:dyDescent="0.25">
      <c r="A174" s="267"/>
      <c r="B174" s="267"/>
      <c r="C174" s="267"/>
      <c r="D174" s="267"/>
      <c r="E174" s="267"/>
      <c r="F174" s="268"/>
      <c r="G174" s="268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  <c r="AB174" s="269"/>
      <c r="AC174" s="269"/>
      <c r="AD174" s="269"/>
      <c r="AE174" s="269"/>
      <c r="AF174" s="269"/>
      <c r="AG174" s="269"/>
      <c r="AH174" s="269"/>
      <c r="AI174" s="269"/>
      <c r="AJ174" s="269"/>
      <c r="AK174" s="269"/>
      <c r="AL174" s="269"/>
      <c r="AM174" s="269"/>
      <c r="AN174" s="269"/>
      <c r="AO174" s="269"/>
      <c r="AP174" s="269"/>
      <c r="AQ174" s="269"/>
      <c r="AR174" s="269"/>
      <c r="AS174" s="269"/>
      <c r="AT174" s="269"/>
      <c r="AU174" s="269"/>
      <c r="AV174" s="269"/>
      <c r="AW174" s="269"/>
      <c r="AX174" s="269"/>
      <c r="AY174" s="269"/>
      <c r="AZ174" s="269"/>
      <c r="BA174" s="269"/>
      <c r="BB174" s="269"/>
      <c r="BC174" s="269"/>
      <c r="BD174" s="269"/>
      <c r="BE174" s="269"/>
      <c r="BF174" s="269"/>
      <c r="BG174" s="269"/>
      <c r="BH174" s="269"/>
      <c r="BI174" s="269"/>
      <c r="BJ174" s="269"/>
      <c r="BK174" s="269"/>
      <c r="BL174" s="269"/>
      <c r="BM174" s="269"/>
      <c r="BN174" s="269"/>
      <c r="BO174" s="269"/>
      <c r="BP174" s="269"/>
      <c r="BQ174" s="269"/>
      <c r="BR174" s="269"/>
      <c r="BS174" s="269"/>
      <c r="BT174" s="269"/>
      <c r="BU174" s="269"/>
      <c r="BV174" s="269"/>
      <c r="BW174" s="269"/>
      <c r="BX174" s="269"/>
    </row>
    <row r="175" spans="1:76" s="105" customFormat="1" ht="11.25" customHeight="1" x14ac:dyDescent="0.25">
      <c r="A175" s="279"/>
      <c r="B175" s="279"/>
      <c r="C175" s="279"/>
      <c r="D175" s="279"/>
      <c r="E175" s="279"/>
      <c r="F175" s="268"/>
      <c r="G175" s="268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  <c r="AB175" s="282"/>
      <c r="AC175" s="282"/>
      <c r="AD175" s="282"/>
      <c r="AE175" s="282"/>
      <c r="AF175" s="282"/>
      <c r="AG175" s="282"/>
      <c r="AH175" s="282"/>
      <c r="AI175" s="282"/>
      <c r="AJ175" s="282"/>
      <c r="AK175" s="282"/>
      <c r="AL175" s="282"/>
      <c r="AM175" s="282"/>
      <c r="AN175" s="282"/>
      <c r="AO175" s="282"/>
      <c r="AP175" s="282"/>
      <c r="AQ175" s="282"/>
      <c r="AR175" s="282"/>
      <c r="AS175" s="28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79"/>
      <c r="BF175" s="279"/>
      <c r="BG175" s="279"/>
      <c r="BH175" s="279"/>
      <c r="BI175" s="279"/>
      <c r="BJ175" s="279"/>
      <c r="BK175" s="279"/>
      <c r="BL175" s="279"/>
      <c r="BM175" s="279"/>
      <c r="BN175" s="279"/>
      <c r="BO175" s="279"/>
      <c r="BP175" s="279"/>
      <c r="BQ175" s="279"/>
      <c r="BR175" s="279"/>
      <c r="BS175" s="279"/>
      <c r="BT175" s="279"/>
      <c r="BU175" s="279"/>
      <c r="BV175" s="279"/>
      <c r="BW175" s="279"/>
      <c r="BX175" s="279"/>
    </row>
    <row r="176" spans="1:76" s="105" customFormat="1" ht="11.25" customHeight="1" x14ac:dyDescent="0.25">
      <c r="A176" s="279"/>
      <c r="B176" s="279"/>
      <c r="C176" s="279"/>
      <c r="D176" s="279"/>
      <c r="E176" s="279"/>
      <c r="F176" s="268"/>
      <c r="G176" s="268"/>
      <c r="H176" s="268"/>
      <c r="I176" s="268"/>
      <c r="J176" s="268"/>
      <c r="K176" s="268"/>
      <c r="L176" s="268"/>
      <c r="M176" s="268"/>
      <c r="N176" s="268"/>
      <c r="O176" s="268"/>
      <c r="P176" s="279"/>
      <c r="Q176" s="279"/>
      <c r="R176" s="279"/>
      <c r="S176" s="279"/>
      <c r="T176" s="279"/>
      <c r="U176" s="279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79"/>
      <c r="AG176" s="279"/>
      <c r="AH176" s="279"/>
      <c r="AI176" s="279"/>
      <c r="AJ176" s="279"/>
      <c r="AK176" s="279"/>
      <c r="AL176" s="279"/>
      <c r="AM176" s="279"/>
      <c r="AN176" s="279"/>
      <c r="AO176" s="279"/>
      <c r="AP176" s="268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  <c r="BD176" s="279"/>
      <c r="BE176" s="279"/>
      <c r="BF176" s="279"/>
      <c r="BG176" s="279"/>
      <c r="BH176" s="279"/>
      <c r="BI176" s="279"/>
      <c r="BJ176" s="279"/>
      <c r="BK176" s="279"/>
      <c r="BL176" s="279"/>
      <c r="BM176" s="279"/>
      <c r="BN176" s="279"/>
      <c r="BO176" s="279"/>
      <c r="BP176" s="279"/>
      <c r="BQ176" s="279"/>
      <c r="BR176" s="279"/>
      <c r="BS176" s="279"/>
      <c r="BT176" s="279"/>
      <c r="BU176" s="279"/>
      <c r="BV176" s="279"/>
      <c r="BW176" s="279"/>
      <c r="BX176" s="279"/>
    </row>
    <row r="177" s="105" customFormat="1" ht="11.25" customHeight="1" x14ac:dyDescent="0.25"/>
    <row r="178" s="105" customFormat="1" ht="11.25" customHeight="1" x14ac:dyDescent="0.25"/>
    <row r="179" s="105" customFormat="1" ht="11.25" customHeight="1" x14ac:dyDescent="0.25"/>
    <row r="180" s="105" customFormat="1" x14ac:dyDescent="0.25"/>
    <row r="181" s="105" customFormat="1" x14ac:dyDescent="0.25"/>
    <row r="182" s="105" customFormat="1" x14ac:dyDescent="0.25"/>
    <row r="183" s="105" customFormat="1" x14ac:dyDescent="0.25"/>
    <row r="184" s="105" customFormat="1" x14ac:dyDescent="0.25"/>
    <row r="185" s="105" customFormat="1" x14ac:dyDescent="0.25"/>
    <row r="186" s="105" customFormat="1" x14ac:dyDescent="0.25"/>
    <row r="187" s="105" customFormat="1" x14ac:dyDescent="0.25"/>
    <row r="188" s="105" customFormat="1" x14ac:dyDescent="0.25"/>
    <row r="189" s="105" customFormat="1" x14ac:dyDescent="0.25"/>
    <row r="190" s="105" customFormat="1" x14ac:dyDescent="0.25"/>
    <row r="191" s="105" customFormat="1" x14ac:dyDescent="0.25"/>
    <row r="192" s="105" customFormat="1" x14ac:dyDescent="0.25"/>
    <row r="193" s="105" customFormat="1" x14ac:dyDescent="0.25"/>
    <row r="194" s="105" customFormat="1" x14ac:dyDescent="0.25"/>
    <row r="195" s="105" customFormat="1" x14ac:dyDescent="0.25"/>
    <row r="196" s="105" customFormat="1" x14ac:dyDescent="0.25"/>
    <row r="197" s="105" customFormat="1" x14ac:dyDescent="0.25"/>
    <row r="198" s="105" customFormat="1" x14ac:dyDescent="0.25"/>
    <row r="199" s="105" customFormat="1" x14ac:dyDescent="0.25"/>
    <row r="200" s="105" customFormat="1" x14ac:dyDescent="0.25"/>
    <row r="201" s="105" customFormat="1" x14ac:dyDescent="0.25"/>
    <row r="202" s="105" customFormat="1" x14ac:dyDescent="0.25"/>
    <row r="203" s="105" customFormat="1" x14ac:dyDescent="0.25"/>
    <row r="204" s="105" customFormat="1" x14ac:dyDescent="0.25"/>
    <row r="205" s="105" customFormat="1" x14ac:dyDescent="0.25"/>
    <row r="206" s="105" customFormat="1" x14ac:dyDescent="0.25"/>
    <row r="207" s="105" customFormat="1" x14ac:dyDescent="0.25"/>
    <row r="208" s="105" customFormat="1" x14ac:dyDescent="0.25"/>
    <row r="209" s="105" customFormat="1" x14ac:dyDescent="0.25"/>
    <row r="210" s="105" customFormat="1" x14ac:dyDescent="0.25"/>
    <row r="211" s="105" customFormat="1" x14ac:dyDescent="0.25"/>
    <row r="212" s="105" customFormat="1" x14ac:dyDescent="0.25"/>
    <row r="213" s="105" customFormat="1" x14ac:dyDescent="0.25"/>
    <row r="214" s="105" customFormat="1" x14ac:dyDescent="0.25"/>
    <row r="215" s="105" customFormat="1" x14ac:dyDescent="0.25"/>
    <row r="216" s="105" customFormat="1" x14ac:dyDescent="0.25"/>
    <row r="217" s="105" customFormat="1" x14ac:dyDescent="0.25"/>
    <row r="218" s="105" customFormat="1" x14ac:dyDescent="0.25"/>
    <row r="219" s="105" customFormat="1" x14ac:dyDescent="0.25"/>
    <row r="220" s="105" customFormat="1" x14ac:dyDescent="0.25"/>
    <row r="221" s="105" customFormat="1" x14ac:dyDescent="0.25"/>
    <row r="222" s="105" customFormat="1" x14ac:dyDescent="0.25"/>
    <row r="223" s="105" customFormat="1" x14ac:dyDescent="0.25"/>
    <row r="224" s="105" customFormat="1" x14ac:dyDescent="0.25"/>
    <row r="225" s="105" customFormat="1" x14ac:dyDescent="0.25"/>
    <row r="226" s="105" customFormat="1" x14ac:dyDescent="0.25"/>
    <row r="227" s="105" customFormat="1" x14ac:dyDescent="0.25"/>
    <row r="228" s="105" customFormat="1" x14ac:dyDescent="0.25"/>
    <row r="229" s="105" customFormat="1" x14ac:dyDescent="0.25"/>
    <row r="230" s="77" customFormat="1" x14ac:dyDescent="0.25"/>
    <row r="231" s="77" customFormat="1" x14ac:dyDescent="0.25"/>
    <row r="232" s="77" customFormat="1" x14ac:dyDescent="0.25"/>
    <row r="233" s="77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W345"/>
  <sheetViews>
    <sheetView topLeftCell="A50" zoomScale="70" zoomScaleNormal="70" workbookViewId="0">
      <selection activeCell="A50" sqref="A1:XFD1048576"/>
    </sheetView>
  </sheetViews>
  <sheetFormatPr defaultRowHeight="13.2" x14ac:dyDescent="0.25"/>
  <cols>
    <col min="1" max="1" width="8.88671875" style="77"/>
    <col min="2" max="2" width="26" style="77" customWidth="1"/>
    <col min="3" max="3" width="15.109375" style="77" customWidth="1"/>
    <col min="4" max="4" width="24.44140625" style="77" customWidth="1"/>
    <col min="5" max="5" width="54.5546875" style="77" bestFit="1" customWidth="1"/>
    <col min="6" max="6" width="12.6640625" style="77" customWidth="1"/>
    <col min="7" max="7" width="24.33203125" style="77" bestFit="1" customWidth="1"/>
    <col min="8" max="8" width="13.6640625" style="58" bestFit="1" customWidth="1"/>
    <col min="9" max="9" width="18.44140625" style="77" customWidth="1"/>
    <col min="10" max="10" width="17" style="77" bestFit="1" customWidth="1"/>
    <col min="11" max="11" width="5" style="77" customWidth="1"/>
    <col min="12" max="14" width="8.88671875" style="77"/>
    <col min="15" max="15" width="16.5546875" style="77" bestFit="1" customWidth="1"/>
    <col min="16" max="16" width="36.44140625" style="77" customWidth="1"/>
    <col min="17" max="16384" width="8.88671875" style="77"/>
  </cols>
  <sheetData>
    <row r="1" spans="2:21" ht="15.6" x14ac:dyDescent="0.3">
      <c r="B1" s="18" t="s">
        <v>269</v>
      </c>
    </row>
    <row r="2" spans="2:21" ht="15" x14ac:dyDescent="0.25">
      <c r="B2" s="96"/>
      <c r="D2" s="58">
        <f>COUNTA(D7:J105)</f>
        <v>315</v>
      </c>
      <c r="E2" s="77" t="s">
        <v>524</v>
      </c>
    </row>
    <row r="3" spans="2:21" ht="15" x14ac:dyDescent="0.25">
      <c r="B3" s="96"/>
    </row>
    <row r="4" spans="2:21" x14ac:dyDescent="0.25">
      <c r="B4" s="100" t="s">
        <v>16</v>
      </c>
      <c r="C4" s="100"/>
      <c r="D4" s="98"/>
      <c r="E4" s="98"/>
      <c r="F4" s="98"/>
      <c r="G4" s="98"/>
      <c r="H4" s="288"/>
      <c r="I4" s="98"/>
      <c r="J4" s="98"/>
      <c r="M4" s="100" t="s">
        <v>16</v>
      </c>
      <c r="N4" s="100"/>
      <c r="O4" s="98"/>
      <c r="P4" s="98"/>
      <c r="Q4" s="98"/>
      <c r="R4" s="98"/>
      <c r="S4" s="98"/>
      <c r="T4" s="98"/>
      <c r="U4" s="98"/>
    </row>
    <row r="5" spans="2:21" x14ac:dyDescent="0.25">
      <c r="B5" s="285" t="s">
        <v>9</v>
      </c>
      <c r="C5" s="82" t="s">
        <v>34</v>
      </c>
      <c r="D5" s="285" t="s">
        <v>0</v>
      </c>
      <c r="E5" s="285" t="s">
        <v>4</v>
      </c>
      <c r="F5" s="286" t="s">
        <v>5</v>
      </c>
      <c r="G5" s="286" t="s">
        <v>10</v>
      </c>
      <c r="H5" s="287" t="s">
        <v>11</v>
      </c>
      <c r="I5" s="286" t="s">
        <v>12</v>
      </c>
      <c r="J5" s="286" t="s">
        <v>14</v>
      </c>
      <c r="M5" s="285" t="s">
        <v>9</v>
      </c>
      <c r="N5" s="82" t="s">
        <v>34</v>
      </c>
      <c r="O5" s="285" t="s">
        <v>0</v>
      </c>
      <c r="P5" s="285" t="s">
        <v>4</v>
      </c>
      <c r="Q5" s="286" t="s">
        <v>5</v>
      </c>
      <c r="R5" s="286" t="s">
        <v>10</v>
      </c>
      <c r="S5" s="286" t="s">
        <v>11</v>
      </c>
      <c r="T5" s="286" t="s">
        <v>12</v>
      </c>
      <c r="U5" s="286" t="s">
        <v>14</v>
      </c>
    </row>
    <row r="6" spans="2:21" ht="13.8" thickBot="1" x14ac:dyDescent="0.3">
      <c r="B6" s="289" t="s">
        <v>46</v>
      </c>
      <c r="C6" s="54" t="s">
        <v>35</v>
      </c>
      <c r="D6" s="289" t="s">
        <v>30</v>
      </c>
      <c r="E6" s="289" t="s">
        <v>31</v>
      </c>
      <c r="F6" s="289" t="s">
        <v>5</v>
      </c>
      <c r="G6" s="289" t="s">
        <v>48</v>
      </c>
      <c r="H6" s="290" t="s">
        <v>49</v>
      </c>
      <c r="I6" s="289" t="s">
        <v>32</v>
      </c>
      <c r="J6" s="289" t="s">
        <v>33</v>
      </c>
      <c r="M6" s="289" t="s">
        <v>46</v>
      </c>
      <c r="N6" s="54" t="s">
        <v>35</v>
      </c>
      <c r="O6" s="289" t="s">
        <v>30</v>
      </c>
      <c r="P6" s="289" t="s">
        <v>31</v>
      </c>
      <c r="Q6" s="289" t="s">
        <v>5</v>
      </c>
      <c r="R6" s="289" t="s">
        <v>48</v>
      </c>
      <c r="S6" s="289" t="s">
        <v>49</v>
      </c>
      <c r="T6" s="289" t="s">
        <v>32</v>
      </c>
      <c r="U6" s="289" t="s">
        <v>33</v>
      </c>
    </row>
    <row r="7" spans="2:21" ht="13.8" x14ac:dyDescent="0.25">
      <c r="B7" s="11" t="s">
        <v>52</v>
      </c>
      <c r="C7" s="11"/>
      <c r="D7" s="11" t="s">
        <v>170</v>
      </c>
      <c r="E7" s="11" t="s">
        <v>727</v>
      </c>
      <c r="F7" s="10" t="str">
        <f>General!$B$2</f>
        <v>PJ</v>
      </c>
      <c r="G7" s="11"/>
      <c r="H7" s="10"/>
      <c r="I7" s="11"/>
      <c r="J7" s="11"/>
      <c r="M7" s="77" t="s">
        <v>87</v>
      </c>
      <c r="O7" s="77" t="s">
        <v>263</v>
      </c>
      <c r="P7" s="77" t="s">
        <v>264</v>
      </c>
      <c r="Q7" s="58" t="s">
        <v>88</v>
      </c>
    </row>
    <row r="8" spans="2:21" ht="13.8" x14ac:dyDescent="0.25">
      <c r="B8" s="11"/>
      <c r="C8" s="11"/>
      <c r="D8" s="11" t="s">
        <v>711</v>
      </c>
      <c r="E8" s="11" t="s">
        <v>572</v>
      </c>
      <c r="F8" s="10" t="str">
        <f>General!$B$2</f>
        <v>PJ</v>
      </c>
      <c r="G8" s="11"/>
      <c r="H8" s="10"/>
      <c r="I8" s="11"/>
      <c r="J8" s="11"/>
      <c r="O8" s="77" t="s">
        <v>265</v>
      </c>
      <c r="P8" s="77" t="s">
        <v>266</v>
      </c>
      <c r="Q8" s="58" t="s">
        <v>88</v>
      </c>
    </row>
    <row r="9" spans="2:21" ht="13.8" x14ac:dyDescent="0.25">
      <c r="B9" s="11"/>
      <c r="C9" s="11"/>
      <c r="D9" s="11" t="s">
        <v>712</v>
      </c>
      <c r="E9" s="11" t="s">
        <v>749</v>
      </c>
      <c r="F9" s="10" t="str">
        <f>General!$B$2</f>
        <v>PJ</v>
      </c>
      <c r="G9" s="11"/>
      <c r="H9" s="10"/>
      <c r="I9" s="11"/>
      <c r="J9" s="11"/>
      <c r="O9" s="77" t="s">
        <v>267</v>
      </c>
      <c r="P9" s="77" t="s">
        <v>268</v>
      </c>
      <c r="Q9" s="58" t="s">
        <v>88</v>
      </c>
    </row>
    <row r="10" spans="2:21" ht="13.8" x14ac:dyDescent="0.25">
      <c r="B10" s="11"/>
      <c r="C10" s="11"/>
      <c r="D10" s="11" t="s">
        <v>171</v>
      </c>
      <c r="E10" s="11" t="s">
        <v>54</v>
      </c>
      <c r="F10" s="10" t="str">
        <f>General!$B$2</f>
        <v>PJ</v>
      </c>
      <c r="G10" s="11"/>
      <c r="H10" s="10"/>
      <c r="I10" s="11"/>
      <c r="J10" s="11"/>
      <c r="O10" s="77" t="s">
        <v>545</v>
      </c>
      <c r="P10" s="77" t="s">
        <v>546</v>
      </c>
      <c r="Q10" s="58" t="s">
        <v>88</v>
      </c>
    </row>
    <row r="11" spans="2:21" ht="13.8" x14ac:dyDescent="0.25">
      <c r="B11" s="11"/>
      <c r="C11" s="11"/>
      <c r="D11" s="11" t="s">
        <v>172</v>
      </c>
      <c r="E11" s="11" t="s">
        <v>55</v>
      </c>
      <c r="F11" s="10" t="str">
        <f>General!$B$2</f>
        <v>PJ</v>
      </c>
      <c r="G11" s="11"/>
      <c r="H11" s="10"/>
      <c r="I11" s="11"/>
      <c r="J11" s="11"/>
      <c r="O11" s="77" t="s">
        <v>637</v>
      </c>
      <c r="P11" s="77" t="s">
        <v>638</v>
      </c>
      <c r="Q11" s="58" t="s">
        <v>88</v>
      </c>
    </row>
    <row r="12" spans="2:21" ht="13.8" x14ac:dyDescent="0.25">
      <c r="B12" s="11"/>
      <c r="C12" s="11"/>
      <c r="D12" s="11" t="s">
        <v>173</v>
      </c>
      <c r="E12" s="11" t="s">
        <v>77</v>
      </c>
      <c r="F12" s="10" t="str">
        <f>General!$B$2</f>
        <v>PJ</v>
      </c>
      <c r="G12" s="11"/>
      <c r="H12" s="10"/>
      <c r="I12" s="11"/>
      <c r="J12" s="11"/>
      <c r="O12" s="77" t="s">
        <v>639</v>
      </c>
      <c r="P12" s="77" t="s">
        <v>640</v>
      </c>
      <c r="Q12" s="58" t="s">
        <v>88</v>
      </c>
    </row>
    <row r="13" spans="2:21" ht="13.8" x14ac:dyDescent="0.25">
      <c r="B13" s="11"/>
      <c r="C13" s="11"/>
      <c r="D13" s="11" t="s">
        <v>174</v>
      </c>
      <c r="E13" s="11" t="s">
        <v>78</v>
      </c>
      <c r="F13" s="10" t="str">
        <f>General!$B$2</f>
        <v>PJ</v>
      </c>
      <c r="G13" s="11"/>
      <c r="H13" s="10"/>
      <c r="I13" s="11"/>
      <c r="J13" s="11"/>
      <c r="O13" s="77" t="s">
        <v>641</v>
      </c>
      <c r="P13" s="77" t="s">
        <v>642</v>
      </c>
      <c r="Q13" s="58" t="s">
        <v>88</v>
      </c>
    </row>
    <row r="14" spans="2:21" ht="13.8" x14ac:dyDescent="0.25">
      <c r="B14" s="11"/>
      <c r="C14" s="11"/>
      <c r="D14" s="11" t="s">
        <v>561</v>
      </c>
      <c r="E14" s="11" t="s">
        <v>122</v>
      </c>
      <c r="F14" s="10" t="str">
        <f>General!$B$2</f>
        <v>PJ</v>
      </c>
      <c r="G14" s="11"/>
      <c r="H14" s="10"/>
      <c r="I14" s="11"/>
      <c r="J14" s="11"/>
    </row>
    <row r="15" spans="2:21" ht="13.8" x14ac:dyDescent="0.25">
      <c r="B15" s="11"/>
      <c r="C15" s="11"/>
      <c r="D15" s="11" t="s">
        <v>175</v>
      </c>
      <c r="E15" s="11" t="s">
        <v>56</v>
      </c>
      <c r="F15" s="10" t="str">
        <f>General!$B$2</f>
        <v>PJ</v>
      </c>
      <c r="G15" s="11"/>
      <c r="H15" s="10"/>
      <c r="I15" s="11"/>
      <c r="J15" s="11"/>
    </row>
    <row r="16" spans="2:21" ht="13.8" x14ac:dyDescent="0.25">
      <c r="B16" s="11"/>
      <c r="C16" s="11"/>
      <c r="D16" s="11" t="s">
        <v>176</v>
      </c>
      <c r="E16" s="11" t="s">
        <v>81</v>
      </c>
      <c r="F16" s="10" t="str">
        <f>General!$B$2</f>
        <v>PJ</v>
      </c>
      <c r="G16" s="11"/>
      <c r="H16" s="10"/>
      <c r="I16" s="11"/>
      <c r="J16" s="11"/>
    </row>
    <row r="17" spans="2:10" ht="13.8" x14ac:dyDescent="0.25">
      <c r="B17" s="11"/>
      <c r="C17" s="11"/>
      <c r="D17" s="11" t="s">
        <v>177</v>
      </c>
      <c r="E17" s="11" t="s">
        <v>59</v>
      </c>
      <c r="F17" s="10" t="str">
        <f>General!$B$2</f>
        <v>PJ</v>
      </c>
      <c r="G17" s="11"/>
      <c r="H17" s="10"/>
      <c r="I17" s="11"/>
      <c r="J17" s="11"/>
    </row>
    <row r="18" spans="2:10" ht="13.8" x14ac:dyDescent="0.25">
      <c r="B18" s="11"/>
      <c r="C18" s="11"/>
      <c r="D18" s="11" t="s">
        <v>178</v>
      </c>
      <c r="E18" s="11" t="s">
        <v>60</v>
      </c>
      <c r="F18" s="10" t="str">
        <f>General!$B$2</f>
        <v>PJ</v>
      </c>
      <c r="G18" s="11"/>
      <c r="H18" s="10"/>
      <c r="I18" s="11"/>
      <c r="J18" s="11"/>
    </row>
    <row r="19" spans="2:10" ht="13.8" x14ac:dyDescent="0.25">
      <c r="B19" s="11"/>
      <c r="C19" s="11"/>
      <c r="D19" s="11" t="s">
        <v>179</v>
      </c>
      <c r="E19" s="11" t="s">
        <v>61</v>
      </c>
      <c r="F19" s="10" t="str">
        <f>General!$B$2</f>
        <v>PJ</v>
      </c>
      <c r="G19" s="11"/>
      <c r="H19" s="10"/>
      <c r="I19" s="11"/>
      <c r="J19" s="11"/>
    </row>
    <row r="20" spans="2:10" ht="13.8" x14ac:dyDescent="0.25">
      <c r="B20" s="11"/>
      <c r="C20" s="11"/>
      <c r="D20" s="11" t="s">
        <v>180</v>
      </c>
      <c r="E20" s="11" t="s">
        <v>169</v>
      </c>
      <c r="F20" s="10" t="str">
        <f>General!$B$2</f>
        <v>PJ</v>
      </c>
      <c r="G20" s="11"/>
      <c r="H20" s="10"/>
      <c r="I20" s="11"/>
      <c r="J20" s="11"/>
    </row>
    <row r="21" spans="2:10" ht="13.8" x14ac:dyDescent="0.25">
      <c r="B21" s="11"/>
      <c r="C21" s="11"/>
      <c r="D21" s="11" t="s">
        <v>181</v>
      </c>
      <c r="E21" s="11" t="s">
        <v>62</v>
      </c>
      <c r="F21" s="10" t="str">
        <f>General!$B$2</f>
        <v>PJ</v>
      </c>
      <c r="G21" s="11"/>
      <c r="H21" s="10"/>
      <c r="I21" s="11"/>
      <c r="J21" s="11"/>
    </row>
    <row r="22" spans="2:10" ht="13.8" x14ac:dyDescent="0.25">
      <c r="B22" s="11"/>
      <c r="C22" s="11"/>
      <c r="D22" s="11" t="s">
        <v>182</v>
      </c>
      <c r="E22" s="11" t="s">
        <v>68</v>
      </c>
      <c r="F22" s="10" t="str">
        <f>General!$B$2</f>
        <v>PJ</v>
      </c>
      <c r="G22" s="11"/>
      <c r="H22" s="10"/>
      <c r="I22" s="11"/>
      <c r="J22" s="11"/>
    </row>
    <row r="23" spans="2:10" ht="13.8" x14ac:dyDescent="0.25">
      <c r="B23" s="11"/>
      <c r="C23" s="11"/>
      <c r="D23" s="11" t="s">
        <v>184</v>
      </c>
      <c r="E23" s="11" t="s">
        <v>63</v>
      </c>
      <c r="F23" s="10" t="str">
        <f>General!$B$2</f>
        <v>PJ</v>
      </c>
      <c r="G23" s="11"/>
      <c r="H23" s="10"/>
      <c r="I23" s="11"/>
      <c r="J23" s="11"/>
    </row>
    <row r="24" spans="2:10" ht="13.8" x14ac:dyDescent="0.25">
      <c r="B24" s="11"/>
      <c r="C24" s="11"/>
      <c r="D24" s="11" t="s">
        <v>183</v>
      </c>
      <c r="E24" s="11" t="s">
        <v>64</v>
      </c>
      <c r="F24" s="10" t="str">
        <f>General!$B$2</f>
        <v>PJ</v>
      </c>
      <c r="G24" s="11"/>
      <c r="H24" s="10"/>
      <c r="I24" s="11"/>
      <c r="J24" s="11"/>
    </row>
    <row r="25" spans="2:10" ht="13.8" x14ac:dyDescent="0.25">
      <c r="B25" s="11"/>
      <c r="C25" s="11"/>
      <c r="D25" s="11" t="s">
        <v>185</v>
      </c>
      <c r="E25" s="11" t="s">
        <v>65</v>
      </c>
      <c r="F25" s="10" t="str">
        <f>General!$B$2</f>
        <v>PJ</v>
      </c>
      <c r="G25" s="11"/>
      <c r="H25" s="10"/>
      <c r="I25" s="11"/>
      <c r="J25" s="11"/>
    </row>
    <row r="26" spans="2:10" ht="13.8" x14ac:dyDescent="0.25">
      <c r="B26" s="11"/>
      <c r="C26" s="11"/>
      <c r="D26" s="11" t="s">
        <v>186</v>
      </c>
      <c r="E26" s="11" t="s">
        <v>66</v>
      </c>
      <c r="F26" s="10" t="str">
        <f>General!$B$2</f>
        <v>PJ</v>
      </c>
      <c r="G26" s="11"/>
      <c r="H26" s="10"/>
      <c r="I26" s="11"/>
      <c r="J26" s="11"/>
    </row>
    <row r="27" spans="2:10" ht="13.8" x14ac:dyDescent="0.25">
      <c r="B27" s="11"/>
      <c r="C27" s="11"/>
      <c r="D27" s="11" t="s">
        <v>187</v>
      </c>
      <c r="E27" s="11" t="s">
        <v>67</v>
      </c>
      <c r="F27" s="10" t="str">
        <f>General!$B$2</f>
        <v>PJ</v>
      </c>
      <c r="G27" s="11"/>
      <c r="H27" s="10"/>
      <c r="I27" s="11"/>
      <c r="J27" s="11"/>
    </row>
    <row r="28" spans="2:10" ht="13.8" x14ac:dyDescent="0.25">
      <c r="B28" s="11"/>
      <c r="C28" s="11"/>
      <c r="D28" s="11" t="s">
        <v>188</v>
      </c>
      <c r="E28" s="11" t="s">
        <v>82</v>
      </c>
      <c r="F28" s="10" t="str">
        <f>General!$B$2</f>
        <v>PJ</v>
      </c>
      <c r="G28" s="11"/>
      <c r="H28" s="10"/>
      <c r="I28" s="11"/>
      <c r="J28" s="11"/>
    </row>
    <row r="29" spans="2:10" ht="13.8" x14ac:dyDescent="0.25">
      <c r="B29" s="11"/>
      <c r="C29" s="11"/>
      <c r="D29" s="11" t="s">
        <v>189</v>
      </c>
      <c r="E29" s="11" t="s">
        <v>83</v>
      </c>
      <c r="F29" s="10" t="str">
        <f>General!$B$2</f>
        <v>PJ</v>
      </c>
      <c r="G29" s="11"/>
      <c r="H29" s="10"/>
      <c r="I29" s="11"/>
      <c r="J29" s="11"/>
    </row>
    <row r="30" spans="2:10" ht="13.8" x14ac:dyDescent="0.25">
      <c r="B30" s="11"/>
      <c r="C30" s="11"/>
      <c r="D30" s="11" t="s">
        <v>190</v>
      </c>
      <c r="E30" s="11" t="s">
        <v>84</v>
      </c>
      <c r="F30" s="10" t="str">
        <f>General!$B$2</f>
        <v>PJ</v>
      </c>
      <c r="G30" s="11"/>
      <c r="H30" s="10"/>
      <c r="I30" s="11"/>
      <c r="J30" s="11"/>
    </row>
    <row r="31" spans="2:10" ht="13.8" x14ac:dyDescent="0.25">
      <c r="B31" s="11"/>
      <c r="C31" s="11"/>
      <c r="D31" s="11" t="s">
        <v>191</v>
      </c>
      <c r="E31" s="11" t="s">
        <v>85</v>
      </c>
      <c r="F31" s="10" t="str">
        <f>General!$B$2</f>
        <v>PJ</v>
      </c>
      <c r="G31" s="11"/>
      <c r="H31" s="10"/>
      <c r="I31" s="11"/>
      <c r="J31" s="11"/>
    </row>
    <row r="32" spans="2:10" ht="13.8" x14ac:dyDescent="0.25">
      <c r="B32" s="11"/>
      <c r="C32" s="11"/>
      <c r="D32" s="11" t="s">
        <v>192</v>
      </c>
      <c r="E32" s="11" t="s">
        <v>69</v>
      </c>
      <c r="F32" s="10" t="str">
        <f>General!$B$2</f>
        <v>PJ</v>
      </c>
      <c r="G32" s="11"/>
      <c r="H32" s="10"/>
      <c r="I32" s="11"/>
      <c r="J32" s="11"/>
    </row>
    <row r="33" spans="2:10" ht="13.8" x14ac:dyDescent="0.25">
      <c r="B33" s="11"/>
      <c r="C33" s="11"/>
      <c r="D33" s="11" t="s">
        <v>193</v>
      </c>
      <c r="E33" s="11" t="s">
        <v>194</v>
      </c>
      <c r="F33" s="10" t="str">
        <f>General!$B$2</f>
        <v>PJ</v>
      </c>
      <c r="G33" s="11"/>
      <c r="H33" s="10"/>
      <c r="I33" s="11"/>
      <c r="J33" s="11"/>
    </row>
    <row r="34" spans="2:10" ht="13.8" x14ac:dyDescent="0.25">
      <c r="B34" s="11"/>
      <c r="C34" s="11"/>
      <c r="D34" s="11" t="s">
        <v>195</v>
      </c>
      <c r="E34" s="11" t="s">
        <v>196</v>
      </c>
      <c r="F34" s="10" t="str">
        <f>General!$B$2</f>
        <v>PJ</v>
      </c>
      <c r="G34" s="11"/>
      <c r="H34" s="10"/>
      <c r="I34" s="11"/>
      <c r="J34" s="11"/>
    </row>
    <row r="35" spans="2:10" ht="13.8" x14ac:dyDescent="0.25">
      <c r="B35" s="11"/>
      <c r="C35" s="11"/>
      <c r="D35" s="11" t="s">
        <v>197</v>
      </c>
      <c r="E35" s="11" t="s">
        <v>198</v>
      </c>
      <c r="F35" s="10" t="str">
        <f>General!$B$2</f>
        <v>PJ</v>
      </c>
      <c r="G35" s="11"/>
      <c r="H35" s="10"/>
      <c r="I35" s="11"/>
      <c r="J35" s="11"/>
    </row>
    <row r="36" spans="2:10" ht="13.8" x14ac:dyDescent="0.25">
      <c r="B36" s="11"/>
      <c r="C36" s="11"/>
      <c r="D36" s="11" t="s">
        <v>199</v>
      </c>
      <c r="E36" s="11" t="s">
        <v>200</v>
      </c>
      <c r="F36" s="10" t="str">
        <f>General!$B$2</f>
        <v>PJ</v>
      </c>
      <c r="G36" s="11"/>
      <c r="H36" s="10"/>
      <c r="I36" s="11"/>
      <c r="J36" s="11"/>
    </row>
    <row r="37" spans="2:10" ht="13.8" x14ac:dyDescent="0.25">
      <c r="B37" s="11"/>
      <c r="C37" s="11"/>
      <c r="D37" s="11" t="s">
        <v>562</v>
      </c>
      <c r="E37" s="11" t="s">
        <v>563</v>
      </c>
      <c r="F37" s="10" t="str">
        <f>General!$B$2</f>
        <v>PJ</v>
      </c>
      <c r="G37" s="11"/>
      <c r="H37" s="10"/>
      <c r="I37" s="11"/>
      <c r="J37" s="11"/>
    </row>
    <row r="38" spans="2:10" ht="13.8" x14ac:dyDescent="0.25">
      <c r="B38" s="11"/>
      <c r="C38" s="11"/>
      <c r="D38" s="11" t="s">
        <v>201</v>
      </c>
      <c r="E38" s="11" t="s">
        <v>202</v>
      </c>
      <c r="F38" s="10" t="str">
        <f>General!$B$2</f>
        <v>PJ</v>
      </c>
      <c r="G38" s="11"/>
      <c r="H38" s="10"/>
      <c r="I38" s="11"/>
      <c r="J38" s="11"/>
    </row>
    <row r="39" spans="2:10" ht="13.8" x14ac:dyDescent="0.25">
      <c r="B39" s="11"/>
      <c r="C39" s="11"/>
      <c r="D39" s="11" t="s">
        <v>203</v>
      </c>
      <c r="E39" s="11" t="s">
        <v>204</v>
      </c>
      <c r="F39" s="10" t="str">
        <f>General!$B$2</f>
        <v>PJ</v>
      </c>
      <c r="G39" s="11"/>
      <c r="H39" s="10"/>
      <c r="I39" s="11"/>
      <c r="J39" s="11"/>
    </row>
    <row r="40" spans="2:10" ht="13.8" x14ac:dyDescent="0.25">
      <c r="B40" s="11"/>
      <c r="C40" s="11"/>
      <c r="D40" s="11" t="s">
        <v>205</v>
      </c>
      <c r="E40" s="11" t="s">
        <v>206</v>
      </c>
      <c r="F40" s="10" t="str">
        <f>General!$B$2</f>
        <v>PJ</v>
      </c>
      <c r="G40" s="11"/>
      <c r="H40" s="10"/>
      <c r="I40" s="11"/>
      <c r="J40" s="11"/>
    </row>
    <row r="41" spans="2:10" ht="13.8" x14ac:dyDescent="0.25">
      <c r="B41" s="11"/>
      <c r="C41" s="11"/>
      <c r="D41" s="11" t="s">
        <v>207</v>
      </c>
      <c r="E41" s="11" t="s">
        <v>208</v>
      </c>
      <c r="F41" s="10" t="str">
        <f>General!$B$2</f>
        <v>PJ</v>
      </c>
      <c r="G41" s="11"/>
      <c r="H41" s="10" t="s">
        <v>549</v>
      </c>
      <c r="I41" s="11"/>
      <c r="J41" s="11"/>
    </row>
    <row r="42" spans="2:10" ht="13.8" x14ac:dyDescent="0.25">
      <c r="B42" s="11"/>
      <c r="C42" s="11"/>
      <c r="D42" s="11" t="s">
        <v>209</v>
      </c>
      <c r="E42" s="11" t="s">
        <v>210</v>
      </c>
      <c r="F42" s="10" t="str">
        <f>General!$B$2</f>
        <v>PJ</v>
      </c>
      <c r="G42" s="11"/>
      <c r="H42" s="10"/>
      <c r="I42" s="11"/>
      <c r="J42" s="11"/>
    </row>
    <row r="43" spans="2:10" ht="13.8" x14ac:dyDescent="0.25">
      <c r="B43" s="11"/>
      <c r="C43" s="11"/>
      <c r="D43" s="11" t="s">
        <v>212</v>
      </c>
      <c r="E43" s="11" t="s">
        <v>213</v>
      </c>
      <c r="F43" s="10" t="str">
        <f>General!$B$2</f>
        <v>PJ</v>
      </c>
      <c r="G43" s="11"/>
      <c r="H43" s="10"/>
      <c r="I43" s="11"/>
      <c r="J43" s="11"/>
    </row>
    <row r="44" spans="2:10" ht="13.8" x14ac:dyDescent="0.25">
      <c r="B44" s="11"/>
      <c r="C44" s="11"/>
      <c r="D44" s="11" t="s">
        <v>211</v>
      </c>
      <c r="E44" s="11" t="s">
        <v>214</v>
      </c>
      <c r="F44" s="10" t="str">
        <f>General!$B$2</f>
        <v>PJ</v>
      </c>
      <c r="G44" s="11"/>
      <c r="H44" s="10"/>
      <c r="I44" s="11"/>
      <c r="J44" s="11"/>
    </row>
    <row r="45" spans="2:10" ht="13.8" x14ac:dyDescent="0.25">
      <c r="B45" s="11"/>
      <c r="C45" s="11"/>
      <c r="D45" s="11" t="s">
        <v>215</v>
      </c>
      <c r="E45" s="11" t="s">
        <v>216</v>
      </c>
      <c r="F45" s="10" t="str">
        <f>General!$B$2</f>
        <v>PJ</v>
      </c>
      <c r="G45" s="11"/>
      <c r="H45" s="10"/>
      <c r="I45" s="11"/>
      <c r="J45" s="11"/>
    </row>
    <row r="46" spans="2:10" ht="13.8" x14ac:dyDescent="0.25">
      <c r="B46" s="11"/>
      <c r="C46" s="11"/>
      <c r="D46" s="11" t="s">
        <v>217</v>
      </c>
      <c r="E46" s="11" t="s">
        <v>218</v>
      </c>
      <c r="F46" s="10" t="str">
        <f>General!$B$2</f>
        <v>PJ</v>
      </c>
      <c r="G46" s="11"/>
      <c r="H46" s="10"/>
      <c r="I46" s="11"/>
      <c r="J46" s="11"/>
    </row>
    <row r="47" spans="2:10" ht="13.8" x14ac:dyDescent="0.25">
      <c r="B47" s="11"/>
      <c r="C47" s="11"/>
      <c r="D47" s="11" t="s">
        <v>219</v>
      </c>
      <c r="E47" s="11" t="s">
        <v>220</v>
      </c>
      <c r="F47" s="10" t="str">
        <f>General!$B$2</f>
        <v>PJ</v>
      </c>
      <c r="G47" s="11"/>
      <c r="H47" s="10"/>
      <c r="I47" s="11"/>
      <c r="J47" s="11"/>
    </row>
    <row r="48" spans="2:10" ht="13.8" x14ac:dyDescent="0.25">
      <c r="B48" s="11"/>
      <c r="C48" s="11"/>
      <c r="D48" s="11" t="s">
        <v>221</v>
      </c>
      <c r="E48" s="11" t="s">
        <v>222</v>
      </c>
      <c r="F48" s="10" t="str">
        <f>General!$B$2</f>
        <v>PJ</v>
      </c>
      <c r="G48" s="11"/>
      <c r="H48" s="10"/>
      <c r="I48" s="11"/>
      <c r="J48" s="11"/>
    </row>
    <row r="49" spans="2:10" ht="13.8" x14ac:dyDescent="0.25">
      <c r="B49" s="11"/>
      <c r="C49" s="11"/>
      <c r="D49" s="11" t="s">
        <v>223</v>
      </c>
      <c r="E49" s="11" t="s">
        <v>224</v>
      </c>
      <c r="F49" s="10" t="str">
        <f>General!$B$2</f>
        <v>PJ</v>
      </c>
      <c r="G49" s="11"/>
      <c r="H49" s="10"/>
      <c r="I49" s="11"/>
      <c r="J49" s="11"/>
    </row>
    <row r="50" spans="2:10" ht="13.8" x14ac:dyDescent="0.25">
      <c r="B50" s="11"/>
      <c r="C50" s="11"/>
      <c r="D50" s="11" t="s">
        <v>225</v>
      </c>
      <c r="E50" s="11" t="s">
        <v>226</v>
      </c>
      <c r="F50" s="10" t="str">
        <f>General!$B$2</f>
        <v>PJ</v>
      </c>
      <c r="G50" s="11"/>
      <c r="H50" s="10"/>
      <c r="I50" s="11"/>
      <c r="J50" s="11"/>
    </row>
    <row r="51" spans="2:10" ht="13.8" x14ac:dyDescent="0.25">
      <c r="B51" s="11"/>
      <c r="C51" s="11"/>
      <c r="D51" s="11" t="s">
        <v>227</v>
      </c>
      <c r="E51" s="11" t="s">
        <v>228</v>
      </c>
      <c r="F51" s="10" t="str">
        <f>General!$B$2</f>
        <v>PJ</v>
      </c>
      <c r="G51" s="11"/>
      <c r="H51" s="10"/>
      <c r="I51" s="11"/>
      <c r="J51" s="11"/>
    </row>
    <row r="52" spans="2:10" ht="13.8" x14ac:dyDescent="0.25">
      <c r="B52" s="11"/>
      <c r="C52" s="11"/>
      <c r="D52" s="11" t="s">
        <v>737</v>
      </c>
      <c r="E52" s="11" t="s">
        <v>731</v>
      </c>
      <c r="F52" s="10" t="str">
        <f>General!$B$2</f>
        <v>PJ</v>
      </c>
      <c r="G52" s="11"/>
      <c r="H52" s="10"/>
      <c r="I52" s="11"/>
      <c r="J52" s="11"/>
    </row>
    <row r="53" spans="2:10" ht="13.8" x14ac:dyDescent="0.25">
      <c r="B53" s="11"/>
      <c r="C53" s="11"/>
      <c r="D53" s="11" t="s">
        <v>732</v>
      </c>
      <c r="E53" s="11" t="s">
        <v>733</v>
      </c>
      <c r="F53" s="10" t="str">
        <f>General!$B$2</f>
        <v>PJ</v>
      </c>
      <c r="G53" s="11"/>
      <c r="H53" s="10"/>
      <c r="I53" s="11"/>
      <c r="J53" s="11"/>
    </row>
    <row r="54" spans="2:10" ht="13.8" x14ac:dyDescent="0.25">
      <c r="B54" s="11"/>
      <c r="C54" s="11"/>
      <c r="D54" s="11" t="s">
        <v>735</v>
      </c>
      <c r="E54" s="11" t="s">
        <v>734</v>
      </c>
      <c r="F54" s="10" t="str">
        <f>General!$B$2</f>
        <v>PJ</v>
      </c>
      <c r="G54" s="11"/>
      <c r="H54" s="10"/>
      <c r="I54" s="11"/>
      <c r="J54" s="11"/>
    </row>
    <row r="55" spans="2:10" ht="13.8" x14ac:dyDescent="0.25">
      <c r="B55" s="11"/>
      <c r="C55" s="11"/>
      <c r="D55" s="11" t="s">
        <v>229</v>
      </c>
      <c r="E55" s="11" t="s">
        <v>230</v>
      </c>
      <c r="F55" s="10" t="str">
        <f>General!$B$2</f>
        <v>PJ</v>
      </c>
      <c r="G55" s="11"/>
      <c r="H55" s="10"/>
      <c r="I55" s="11"/>
      <c r="J55" s="11"/>
    </row>
    <row r="56" spans="2:10" ht="13.8" x14ac:dyDescent="0.25">
      <c r="B56" s="11"/>
      <c r="C56" s="11"/>
      <c r="D56" s="11" t="s">
        <v>564</v>
      </c>
      <c r="E56" s="11" t="s">
        <v>565</v>
      </c>
      <c r="F56" s="10" t="str">
        <f>General!$B$2</f>
        <v>PJ</v>
      </c>
      <c r="G56" s="11"/>
      <c r="H56" s="10"/>
      <c r="I56" s="11"/>
      <c r="J56" s="11"/>
    </row>
    <row r="57" spans="2:10" ht="13.8" x14ac:dyDescent="0.25">
      <c r="B57" s="11"/>
      <c r="C57" s="11"/>
      <c r="D57" s="11" t="s">
        <v>231</v>
      </c>
      <c r="E57" s="11" t="s">
        <v>232</v>
      </c>
      <c r="F57" s="10" t="str">
        <f>General!$B$2</f>
        <v>PJ</v>
      </c>
      <c r="G57" s="11"/>
      <c r="H57" s="10" t="s">
        <v>549</v>
      </c>
      <c r="I57" s="11"/>
      <c r="J57" s="11"/>
    </row>
    <row r="58" spans="2:10" ht="13.8" x14ac:dyDescent="0.25">
      <c r="B58" s="11"/>
      <c r="C58" s="11"/>
      <c r="D58" s="11" t="s">
        <v>233</v>
      </c>
      <c r="E58" s="11" t="s">
        <v>234</v>
      </c>
      <c r="F58" s="10" t="str">
        <f>General!$B$2</f>
        <v>PJ</v>
      </c>
      <c r="G58" s="11"/>
      <c r="H58" s="10"/>
      <c r="I58" s="11"/>
      <c r="J58" s="11"/>
    </row>
    <row r="59" spans="2:10" ht="13.8" x14ac:dyDescent="0.25">
      <c r="B59" s="11"/>
      <c r="C59" s="11"/>
      <c r="D59" s="11" t="s">
        <v>235</v>
      </c>
      <c r="E59" s="11" t="s">
        <v>236</v>
      </c>
      <c r="F59" s="10" t="str">
        <f>General!$B$2</f>
        <v>PJ</v>
      </c>
      <c r="G59" s="11"/>
      <c r="H59" s="10"/>
      <c r="I59" s="11"/>
      <c r="J59" s="11"/>
    </row>
    <row r="60" spans="2:10" ht="13.8" x14ac:dyDescent="0.25">
      <c r="B60" s="11"/>
      <c r="C60" s="11"/>
      <c r="D60" s="11" t="s">
        <v>237</v>
      </c>
      <c r="E60" s="11" t="s">
        <v>238</v>
      </c>
      <c r="F60" s="10" t="str">
        <f>General!$B$2</f>
        <v>PJ</v>
      </c>
      <c r="G60" s="11"/>
      <c r="H60" s="10"/>
      <c r="I60" s="11"/>
      <c r="J60" s="11"/>
    </row>
    <row r="61" spans="2:10" ht="13.8" x14ac:dyDescent="0.25">
      <c r="B61" s="11"/>
      <c r="C61" s="11"/>
      <c r="D61" s="11" t="s">
        <v>239</v>
      </c>
      <c r="E61" s="11" t="s">
        <v>240</v>
      </c>
      <c r="F61" s="10" t="str">
        <f>General!$B$2</f>
        <v>PJ</v>
      </c>
      <c r="G61" s="11"/>
      <c r="H61" s="10"/>
      <c r="I61" s="11"/>
      <c r="J61" s="11"/>
    </row>
    <row r="62" spans="2:10" ht="13.8" x14ac:dyDescent="0.25">
      <c r="B62" s="11"/>
      <c r="C62" s="11"/>
      <c r="D62" s="11" t="s">
        <v>241</v>
      </c>
      <c r="E62" s="11" t="s">
        <v>242</v>
      </c>
      <c r="F62" s="10" t="str">
        <f>General!$B$2</f>
        <v>PJ</v>
      </c>
      <c r="G62" s="11"/>
      <c r="H62" s="10"/>
      <c r="I62" s="11"/>
      <c r="J62" s="11"/>
    </row>
    <row r="63" spans="2:10" ht="13.8" x14ac:dyDescent="0.25">
      <c r="B63" s="11"/>
      <c r="C63" s="11"/>
      <c r="D63" s="11" t="s">
        <v>243</v>
      </c>
      <c r="E63" s="11" t="s">
        <v>244</v>
      </c>
      <c r="F63" s="10" t="str">
        <f>General!$B$2</f>
        <v>PJ</v>
      </c>
      <c r="G63" s="11"/>
      <c r="H63" s="10"/>
      <c r="I63" s="11"/>
      <c r="J63" s="11"/>
    </row>
    <row r="64" spans="2:10" ht="13.8" x14ac:dyDescent="0.25">
      <c r="B64" s="11"/>
      <c r="C64" s="11"/>
      <c r="D64" s="11" t="s">
        <v>245</v>
      </c>
      <c r="E64" s="11" t="s">
        <v>246</v>
      </c>
      <c r="F64" s="10" t="str">
        <f>General!$B$2</f>
        <v>PJ</v>
      </c>
      <c r="G64" s="11"/>
      <c r="H64" s="10"/>
      <c r="I64" s="11"/>
      <c r="J64" s="11"/>
    </row>
    <row r="65" spans="2:11" ht="13.8" x14ac:dyDescent="0.25">
      <c r="B65" s="11"/>
      <c r="C65" s="11"/>
      <c r="D65" s="11" t="s">
        <v>247</v>
      </c>
      <c r="E65" s="11" t="s">
        <v>248</v>
      </c>
      <c r="F65" s="10" t="str">
        <f>General!$B$2</f>
        <v>PJ</v>
      </c>
      <c r="G65" s="11"/>
      <c r="H65" s="10"/>
      <c r="I65" s="11"/>
      <c r="J65" s="11"/>
    </row>
    <row r="66" spans="2:11" ht="13.8" x14ac:dyDescent="0.25">
      <c r="B66" s="11"/>
      <c r="C66" s="11"/>
      <c r="D66" s="11" t="s">
        <v>249</v>
      </c>
      <c r="E66" s="11" t="s">
        <v>250</v>
      </c>
      <c r="F66" s="10" t="str">
        <f>General!$B$2</f>
        <v>PJ</v>
      </c>
      <c r="G66" s="11"/>
      <c r="H66" s="10"/>
      <c r="I66" s="11"/>
      <c r="J66" s="11"/>
    </row>
    <row r="67" spans="2:11" ht="13.8" x14ac:dyDescent="0.25">
      <c r="B67" s="11"/>
      <c r="C67" s="11"/>
      <c r="D67" s="11" t="s">
        <v>700</v>
      </c>
      <c r="E67" s="11" t="s">
        <v>704</v>
      </c>
      <c r="F67" s="10" t="str">
        <f>General!$B$2</f>
        <v>PJ</v>
      </c>
      <c r="G67" s="11"/>
      <c r="H67" s="10" t="s">
        <v>251</v>
      </c>
      <c r="I67" s="11"/>
      <c r="J67" s="11" t="s">
        <v>70</v>
      </c>
    </row>
    <row r="68" spans="2:11" ht="13.8" x14ac:dyDescent="0.25">
      <c r="B68" s="11"/>
      <c r="C68" s="11"/>
      <c r="D68" s="11" t="s">
        <v>252</v>
      </c>
      <c r="E68" s="11" t="s">
        <v>89</v>
      </c>
      <c r="F68" s="10" t="str">
        <f>General!$B$2</f>
        <v>PJ</v>
      </c>
      <c r="G68" s="11"/>
      <c r="H68" s="10" t="s">
        <v>251</v>
      </c>
      <c r="I68" s="11"/>
      <c r="J68" s="11" t="s">
        <v>70</v>
      </c>
    </row>
    <row r="69" spans="2:11" ht="13.8" x14ac:dyDescent="0.25">
      <c r="B69" s="11"/>
      <c r="C69" s="11"/>
      <c r="D69" s="11" t="s">
        <v>703</v>
      </c>
      <c r="E69" s="11" t="s">
        <v>705</v>
      </c>
      <c r="F69" s="10" t="str">
        <f>General!$B$2</f>
        <v>PJ</v>
      </c>
      <c r="G69" s="11"/>
      <c r="H69" s="10" t="s">
        <v>251</v>
      </c>
      <c r="I69" s="11"/>
      <c r="J69" s="11" t="s">
        <v>70</v>
      </c>
    </row>
    <row r="70" spans="2:11" ht="13.8" x14ac:dyDescent="0.25">
      <c r="B70" s="11"/>
      <c r="C70" s="11"/>
      <c r="D70" s="11" t="s">
        <v>522</v>
      </c>
      <c r="E70" s="11" t="s">
        <v>523</v>
      </c>
      <c r="F70" s="10" t="str">
        <f>General!$B$2</f>
        <v>PJ</v>
      </c>
      <c r="G70" s="11"/>
      <c r="H70" s="10" t="s">
        <v>251</v>
      </c>
      <c r="I70" s="11"/>
      <c r="J70" s="11" t="s">
        <v>70</v>
      </c>
    </row>
    <row r="71" spans="2:11" ht="13.8" x14ac:dyDescent="0.25">
      <c r="B71" s="11"/>
      <c r="C71" s="11"/>
      <c r="D71" s="11" t="s">
        <v>532</v>
      </c>
      <c r="E71" s="11" t="s">
        <v>534</v>
      </c>
      <c r="F71" s="10" t="str">
        <f>General!$B$2</f>
        <v>PJ</v>
      </c>
      <c r="G71" s="11"/>
      <c r="H71" s="10" t="s">
        <v>251</v>
      </c>
      <c r="I71" s="11"/>
      <c r="J71" s="11" t="s">
        <v>70</v>
      </c>
    </row>
    <row r="72" spans="2:11" ht="13.8" x14ac:dyDescent="0.25">
      <c r="B72" s="11"/>
      <c r="C72" s="11"/>
      <c r="D72" s="11" t="s">
        <v>701</v>
      </c>
      <c r="E72" s="11" t="s">
        <v>702</v>
      </c>
      <c r="F72" s="10" t="str">
        <f>General!$B$2</f>
        <v>PJ</v>
      </c>
      <c r="G72" s="11"/>
      <c r="H72" s="10" t="s">
        <v>251</v>
      </c>
      <c r="I72" s="11"/>
      <c r="J72" s="11" t="s">
        <v>70</v>
      </c>
    </row>
    <row r="73" spans="2:11" ht="13.8" x14ac:dyDescent="0.25">
      <c r="B73" s="11"/>
      <c r="C73" s="11"/>
      <c r="D73" s="11" t="s">
        <v>533</v>
      </c>
      <c r="E73" s="11" t="s">
        <v>535</v>
      </c>
      <c r="F73" s="10" t="str">
        <f>General!$B$2</f>
        <v>PJ</v>
      </c>
      <c r="G73" s="11"/>
      <c r="H73" s="10" t="s">
        <v>251</v>
      </c>
      <c r="I73" s="11"/>
      <c r="J73" s="11" t="s">
        <v>70</v>
      </c>
    </row>
    <row r="74" spans="2:11" ht="13.8" x14ac:dyDescent="0.25">
      <c r="B74" s="11"/>
      <c r="C74" s="11"/>
      <c r="D74" s="11" t="s">
        <v>253</v>
      </c>
      <c r="E74" s="11" t="s">
        <v>254</v>
      </c>
      <c r="F74" s="10" t="str">
        <f>General!$B$2</f>
        <v>PJ</v>
      </c>
      <c r="G74" s="11"/>
      <c r="H74" s="10" t="s">
        <v>251</v>
      </c>
      <c r="I74" s="11"/>
      <c r="J74" s="11" t="s">
        <v>70</v>
      </c>
    </row>
    <row r="75" spans="2:11" ht="13.8" x14ac:dyDescent="0.25">
      <c r="B75" s="11"/>
      <c r="C75" s="11"/>
      <c r="D75" s="11" t="s">
        <v>255</v>
      </c>
      <c r="E75" s="11" t="s">
        <v>256</v>
      </c>
      <c r="F75" s="10" t="str">
        <f>General!$B$2</f>
        <v>PJ</v>
      </c>
      <c r="G75" s="11"/>
      <c r="H75" s="10" t="s">
        <v>251</v>
      </c>
      <c r="I75" s="11"/>
      <c r="J75" s="11" t="s">
        <v>70</v>
      </c>
    </row>
    <row r="76" spans="2:11" ht="13.8" x14ac:dyDescent="0.25">
      <c r="B76" s="11"/>
      <c r="C76" s="11"/>
      <c r="D76" s="11" t="s">
        <v>257</v>
      </c>
      <c r="E76" s="11" t="s">
        <v>258</v>
      </c>
      <c r="F76" s="10" t="str">
        <f>General!$B$2</f>
        <v>PJ</v>
      </c>
      <c r="G76" s="11"/>
      <c r="H76" s="10" t="s">
        <v>251</v>
      </c>
      <c r="I76" s="11"/>
      <c r="J76" s="11" t="s">
        <v>70</v>
      </c>
    </row>
    <row r="77" spans="2:11" ht="13.8" x14ac:dyDescent="0.25">
      <c r="B77" s="11"/>
      <c r="C77" s="11"/>
      <c r="D77" s="11" t="s">
        <v>789</v>
      </c>
      <c r="E77" s="11" t="s">
        <v>790</v>
      </c>
      <c r="F77" s="10" t="str">
        <f>General!$B$2</f>
        <v>PJ</v>
      </c>
      <c r="G77" s="11"/>
      <c r="H77" s="10" t="s">
        <v>251</v>
      </c>
      <c r="I77" s="11"/>
      <c r="J77" s="11" t="s">
        <v>70</v>
      </c>
    </row>
    <row r="78" spans="2:11" ht="13.8" x14ac:dyDescent="0.25">
      <c r="B78" s="11"/>
      <c r="C78" s="11"/>
      <c r="D78" s="11" t="s">
        <v>259</v>
      </c>
      <c r="E78" s="11" t="s">
        <v>260</v>
      </c>
      <c r="F78" s="10" t="str">
        <f>General!$B$2</f>
        <v>PJ</v>
      </c>
      <c r="G78" s="11"/>
      <c r="H78" s="10" t="s">
        <v>251</v>
      </c>
      <c r="I78" s="11"/>
      <c r="J78" s="11" t="s">
        <v>70</v>
      </c>
    </row>
    <row r="79" spans="2:11" ht="13.8" x14ac:dyDescent="0.25">
      <c r="B79" s="11"/>
      <c r="C79" s="11"/>
      <c r="D79" s="11" t="s">
        <v>261</v>
      </c>
      <c r="E79" s="11" t="s">
        <v>262</v>
      </c>
      <c r="F79" s="10" t="str">
        <f>General!$B$2</f>
        <v>PJ</v>
      </c>
      <c r="G79" s="11"/>
      <c r="H79" s="10" t="s">
        <v>251</v>
      </c>
      <c r="I79" s="11"/>
      <c r="J79" s="11" t="s">
        <v>70</v>
      </c>
    </row>
    <row r="80" spans="2:11" ht="13.8" x14ac:dyDescent="0.25">
      <c r="B80" s="11"/>
      <c r="C80" s="11"/>
      <c r="D80" s="11" t="s">
        <v>539</v>
      </c>
      <c r="E80" s="11" t="s">
        <v>540</v>
      </c>
      <c r="F80" s="10" t="s">
        <v>71</v>
      </c>
      <c r="G80" s="11"/>
      <c r="H80" s="10" t="s">
        <v>549</v>
      </c>
      <c r="I80" s="11"/>
      <c r="J80" s="11"/>
      <c r="K80" s="11"/>
    </row>
    <row r="81" spans="2:11" ht="13.8" x14ac:dyDescent="0.25">
      <c r="B81" s="11"/>
      <c r="C81" s="11"/>
      <c r="D81" s="11" t="s">
        <v>541</v>
      </c>
      <c r="E81" s="11" t="s">
        <v>542</v>
      </c>
      <c r="F81" s="10" t="s">
        <v>71</v>
      </c>
      <c r="G81" s="11"/>
      <c r="H81" s="10" t="s">
        <v>549</v>
      </c>
      <c r="I81" s="11"/>
      <c r="J81" s="11"/>
      <c r="K81" s="11"/>
    </row>
    <row r="82" spans="2:11" ht="13.8" x14ac:dyDescent="0.25">
      <c r="B82" s="11"/>
      <c r="C82" s="11"/>
      <c r="D82" s="11" t="s">
        <v>543</v>
      </c>
      <c r="E82" s="11" t="s">
        <v>544</v>
      </c>
      <c r="F82" s="10" t="s">
        <v>71</v>
      </c>
      <c r="G82" s="11"/>
      <c r="H82" s="10" t="s">
        <v>549</v>
      </c>
      <c r="I82" s="11"/>
      <c r="J82" s="11"/>
      <c r="K82" s="11"/>
    </row>
    <row r="83" spans="2:11" ht="13.8" x14ac:dyDescent="0.25">
      <c r="B83" s="11"/>
      <c r="C83" s="11"/>
      <c r="D83" s="11" t="s">
        <v>623</v>
      </c>
      <c r="E83" s="11" t="s">
        <v>624</v>
      </c>
      <c r="F83" s="10" t="s">
        <v>71</v>
      </c>
      <c r="G83" s="11"/>
      <c r="H83" s="10" t="s">
        <v>251</v>
      </c>
      <c r="I83" s="11"/>
      <c r="J83" s="11"/>
    </row>
    <row r="84" spans="2:11" ht="13.8" x14ac:dyDescent="0.25">
      <c r="D84" s="11" t="s">
        <v>643</v>
      </c>
      <c r="E84" s="11" t="s">
        <v>738</v>
      </c>
      <c r="F84" s="58" t="s">
        <v>71</v>
      </c>
      <c r="H84" s="77"/>
    </row>
    <row r="85" spans="2:11" ht="13.8" x14ac:dyDescent="0.25">
      <c r="D85" s="11" t="s">
        <v>742</v>
      </c>
      <c r="E85" s="11" t="s">
        <v>739</v>
      </c>
      <c r="F85" s="58" t="s">
        <v>71</v>
      </c>
      <c r="H85" s="77"/>
    </row>
    <row r="86" spans="2:11" ht="13.8" x14ac:dyDescent="0.25">
      <c r="D86" s="11" t="s">
        <v>740</v>
      </c>
      <c r="E86" s="11" t="s">
        <v>741</v>
      </c>
      <c r="F86" s="58" t="s">
        <v>71</v>
      </c>
      <c r="H86" s="77"/>
    </row>
    <row r="87" spans="2:11" ht="13.8" x14ac:dyDescent="0.25">
      <c r="D87" s="11" t="s">
        <v>655</v>
      </c>
      <c r="E87" s="11" t="s">
        <v>658</v>
      </c>
      <c r="F87" s="58" t="s">
        <v>71</v>
      </c>
      <c r="H87" s="77"/>
    </row>
    <row r="88" spans="2:11" ht="13.8" x14ac:dyDescent="0.25">
      <c r="D88" s="11" t="s">
        <v>634</v>
      </c>
      <c r="E88" s="11" t="s">
        <v>644</v>
      </c>
      <c r="F88" s="58" t="s">
        <v>71</v>
      </c>
      <c r="H88" s="77"/>
    </row>
    <row r="89" spans="2:11" ht="13.8" x14ac:dyDescent="0.25">
      <c r="D89" s="11" t="s">
        <v>635</v>
      </c>
      <c r="E89" s="11" t="s">
        <v>645</v>
      </c>
      <c r="F89" s="58" t="s">
        <v>71</v>
      </c>
      <c r="H89" s="77"/>
    </row>
    <row r="90" spans="2:11" ht="13.8" x14ac:dyDescent="0.25">
      <c r="D90" s="11" t="s">
        <v>646</v>
      </c>
      <c r="E90" s="11" t="s">
        <v>647</v>
      </c>
      <c r="F90" s="58" t="s">
        <v>71</v>
      </c>
      <c r="H90" s="77"/>
    </row>
    <row r="91" spans="2:11" ht="13.8" x14ac:dyDescent="0.25">
      <c r="D91" s="11" t="s">
        <v>648</v>
      </c>
      <c r="E91" s="11" t="s">
        <v>649</v>
      </c>
      <c r="F91" s="58" t="s">
        <v>71</v>
      </c>
      <c r="H91" s="77"/>
    </row>
    <row r="92" spans="2:11" ht="13.8" x14ac:dyDescent="0.25">
      <c r="D92" s="11" t="s">
        <v>685</v>
      </c>
      <c r="E92" s="11" t="s">
        <v>686</v>
      </c>
      <c r="F92" s="58" t="s">
        <v>71</v>
      </c>
      <c r="H92" s="77" t="s">
        <v>251</v>
      </c>
      <c r="J92" s="11" t="s">
        <v>70</v>
      </c>
    </row>
    <row r="93" spans="2:11" ht="13.8" x14ac:dyDescent="0.25">
      <c r="D93" s="11" t="s">
        <v>656</v>
      </c>
      <c r="E93" s="11" t="s">
        <v>657</v>
      </c>
      <c r="F93" s="58" t="s">
        <v>71</v>
      </c>
      <c r="H93" s="77" t="s">
        <v>251</v>
      </c>
    </row>
    <row r="94" spans="2:11" ht="13.8" x14ac:dyDescent="0.25">
      <c r="D94" s="11" t="s">
        <v>791</v>
      </c>
      <c r="E94" s="11" t="s">
        <v>792</v>
      </c>
      <c r="F94" s="58" t="s">
        <v>71</v>
      </c>
      <c r="H94" s="77" t="s">
        <v>251</v>
      </c>
    </row>
    <row r="95" spans="2:11" ht="13.8" x14ac:dyDescent="0.25">
      <c r="D95" s="11" t="s">
        <v>797</v>
      </c>
      <c r="E95" s="11" t="s">
        <v>798</v>
      </c>
      <c r="F95" s="58" t="s">
        <v>71</v>
      </c>
      <c r="H95" s="77" t="s">
        <v>251</v>
      </c>
    </row>
    <row r="96" spans="2:11" ht="13.8" x14ac:dyDescent="0.25">
      <c r="D96" s="11" t="s">
        <v>815</v>
      </c>
      <c r="E96" s="11" t="s">
        <v>816</v>
      </c>
      <c r="F96" s="58" t="s">
        <v>71</v>
      </c>
      <c r="H96" s="77" t="s">
        <v>251</v>
      </c>
    </row>
    <row r="97" spans="2:8" ht="13.8" x14ac:dyDescent="0.25">
      <c r="D97" s="11" t="s">
        <v>659</v>
      </c>
      <c r="E97" s="11" t="s">
        <v>660</v>
      </c>
      <c r="F97" s="58" t="s">
        <v>71</v>
      </c>
      <c r="H97" s="77" t="s">
        <v>251</v>
      </c>
    </row>
    <row r="98" spans="2:8" ht="13.8" x14ac:dyDescent="0.25">
      <c r="D98" s="11" t="s">
        <v>690</v>
      </c>
      <c r="E98" s="11" t="s">
        <v>691</v>
      </c>
      <c r="F98" s="58" t="s">
        <v>71</v>
      </c>
      <c r="H98" s="77"/>
    </row>
    <row r="99" spans="2:8" ht="13.8" x14ac:dyDescent="0.25">
      <c r="B99" s="11"/>
    </row>
    <row r="100" spans="2:8" ht="13.8" x14ac:dyDescent="0.25">
      <c r="B100" s="11"/>
    </row>
    <row r="101" spans="2:8" ht="13.8" x14ac:dyDescent="0.25">
      <c r="B101" s="11"/>
    </row>
    <row r="102" spans="2:8" ht="13.8" x14ac:dyDescent="0.25">
      <c r="B102" s="11"/>
    </row>
    <row r="103" spans="2:8" ht="13.8" x14ac:dyDescent="0.25">
      <c r="B103" s="11"/>
    </row>
    <row r="104" spans="2:8" ht="13.8" x14ac:dyDescent="0.25">
      <c r="B104" s="11"/>
    </row>
    <row r="105" spans="2:8" ht="13.8" x14ac:dyDescent="0.25">
      <c r="B105" s="11"/>
    </row>
    <row r="106" spans="2:8" ht="13.8" x14ac:dyDescent="0.25">
      <c r="B106" s="11"/>
    </row>
    <row r="107" spans="2:8" ht="13.8" x14ac:dyDescent="0.25">
      <c r="B107" s="11"/>
    </row>
    <row r="108" spans="2:8" ht="13.8" x14ac:dyDescent="0.25">
      <c r="B108" s="11"/>
    </row>
    <row r="109" spans="2:8" ht="13.8" x14ac:dyDescent="0.25">
      <c r="B109" s="11"/>
    </row>
    <row r="110" spans="2:8" ht="13.8" x14ac:dyDescent="0.25">
      <c r="B110" s="11"/>
    </row>
    <row r="111" spans="2:8" ht="13.8" x14ac:dyDescent="0.25">
      <c r="B111" s="11"/>
    </row>
    <row r="116" spans="2:2" ht="13.8" x14ac:dyDescent="0.25">
      <c r="B116" s="11"/>
    </row>
    <row r="117" spans="2:2" ht="13.8" x14ac:dyDescent="0.25">
      <c r="B117" s="11"/>
    </row>
    <row r="118" spans="2:2" ht="13.8" x14ac:dyDescent="0.25">
      <c r="B118" s="11"/>
    </row>
    <row r="293" spans="1:14" ht="13.8" x14ac:dyDescent="0.25">
      <c r="N293" s="11"/>
    </row>
    <row r="294" spans="1:14" ht="13.8" x14ac:dyDescent="0.25">
      <c r="N294" s="11"/>
    </row>
    <row r="295" spans="1:14" ht="13.8" x14ac:dyDescent="0.25">
      <c r="N295" s="11"/>
    </row>
    <row r="297" spans="1:14" ht="13.8" x14ac:dyDescent="0.25">
      <c r="L297" s="11"/>
    </row>
    <row r="298" spans="1:14" ht="13.8" x14ac:dyDescent="0.25">
      <c r="L298" s="11"/>
      <c r="M298" s="11"/>
    </row>
    <row r="299" spans="1:14" ht="13.8" x14ac:dyDescent="0.25">
      <c r="L299" s="11"/>
      <c r="M299" s="11"/>
    </row>
    <row r="300" spans="1:14" ht="13.8" x14ac:dyDescent="0.25">
      <c r="M300" s="11"/>
    </row>
    <row r="304" spans="1:14" ht="13.8" x14ac:dyDescent="0.25">
      <c r="A304" s="11"/>
    </row>
    <row r="305" spans="1:23" ht="13.8" x14ac:dyDescent="0.25">
      <c r="A305" s="11"/>
    </row>
    <row r="306" spans="1:23" ht="13.8" x14ac:dyDescent="0.25">
      <c r="A306" s="11"/>
    </row>
    <row r="319" spans="1:23" ht="13.8" x14ac:dyDescent="0.25"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3.8" x14ac:dyDescent="0.25"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5:23" ht="13.8" x14ac:dyDescent="0.25">
      <c r="O321" s="11"/>
      <c r="P321" s="11"/>
      <c r="Q321" s="11"/>
      <c r="R321" s="11"/>
      <c r="S321" s="11"/>
      <c r="T321" s="11"/>
      <c r="U321" s="11"/>
      <c r="V321" s="11"/>
      <c r="W321" s="11"/>
    </row>
    <row r="343" spans="1:23" s="11" customFormat="1" ht="13.8" x14ac:dyDescent="0.25">
      <c r="A343" s="77"/>
      <c r="B343" s="77"/>
      <c r="C343" s="77"/>
      <c r="D343" s="77"/>
      <c r="E343" s="77"/>
      <c r="F343" s="77"/>
      <c r="G343" s="77"/>
      <c r="H343" s="58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</row>
    <row r="344" spans="1:23" s="11" customFormat="1" ht="13.8" x14ac:dyDescent="0.25">
      <c r="A344" s="77"/>
      <c r="B344" s="77"/>
      <c r="C344" s="77"/>
      <c r="D344" s="77"/>
      <c r="E344" s="77"/>
      <c r="F344" s="77"/>
      <c r="G344" s="77"/>
      <c r="H344" s="58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</row>
    <row r="345" spans="1:23" s="11" customFormat="1" ht="13.8" x14ac:dyDescent="0.25">
      <c r="A345" s="77"/>
      <c r="B345" s="77"/>
      <c r="C345" s="77"/>
      <c r="D345" s="77"/>
      <c r="E345" s="77"/>
      <c r="F345" s="77"/>
      <c r="G345" s="77"/>
      <c r="H345" s="58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U58"/>
  <sheetViews>
    <sheetView topLeftCell="A11" zoomScale="85" zoomScaleNormal="85" workbookViewId="0">
      <selection activeCell="A11" sqref="A1:XFD1048576"/>
    </sheetView>
  </sheetViews>
  <sheetFormatPr defaultRowHeight="13.2" x14ac:dyDescent="0.25"/>
  <cols>
    <col min="1" max="1" width="8.88671875" style="77"/>
    <col min="2" max="2" width="24.88671875" style="77" customWidth="1"/>
    <col min="3" max="3" width="19.6640625" style="77" customWidth="1"/>
    <col min="4" max="4" width="14" style="77" bestFit="1" customWidth="1"/>
    <col min="5" max="5" width="21.5546875" style="77" customWidth="1"/>
    <col min="6" max="6" width="11.6640625" style="77" customWidth="1"/>
    <col min="7" max="7" width="9.88671875" style="77" customWidth="1"/>
    <col min="8" max="8" width="12.33203125" style="77" customWidth="1"/>
    <col min="9" max="9" width="11.88671875" style="77" customWidth="1"/>
    <col min="10" max="10" width="15.109375" style="77" customWidth="1"/>
    <col min="11" max="11" width="20.109375" style="77" customWidth="1"/>
    <col min="12" max="12" width="12.6640625" style="77" customWidth="1"/>
    <col min="13" max="13" width="21.33203125" style="77" customWidth="1"/>
    <col min="14" max="14" width="16.44140625" style="77" customWidth="1"/>
    <col min="15" max="15" width="29.6640625" style="77" customWidth="1"/>
    <col min="16" max="16" width="33.33203125" style="77" customWidth="1"/>
    <col min="17" max="17" width="16.33203125" style="77" customWidth="1"/>
    <col min="18" max="18" width="16.88671875" style="77" customWidth="1"/>
    <col min="19" max="19" width="15.6640625" style="77" customWidth="1"/>
    <col min="20" max="20" width="13.88671875" style="77" customWidth="1"/>
    <col min="21" max="21" width="16.33203125" style="77" customWidth="1"/>
    <col min="22" max="16384" width="8.88671875" style="77"/>
  </cols>
  <sheetData>
    <row r="2" spans="2:21" ht="15.6" x14ac:dyDescent="0.3">
      <c r="B2" s="18" t="s">
        <v>567</v>
      </c>
    </row>
    <row r="3" spans="2:21" ht="15" x14ac:dyDescent="0.25">
      <c r="N3" s="96" t="s">
        <v>104</v>
      </c>
    </row>
    <row r="5" spans="2:21" ht="17.399999999999999" x14ac:dyDescent="0.3">
      <c r="B5" s="2"/>
      <c r="D5" s="93"/>
      <c r="E5" s="93"/>
      <c r="F5" s="93"/>
      <c r="H5" s="95"/>
      <c r="I5" s="70"/>
      <c r="N5" s="97" t="s">
        <v>41</v>
      </c>
      <c r="O5" s="98"/>
      <c r="P5" s="98"/>
      <c r="Q5" s="98"/>
      <c r="R5" s="98"/>
      <c r="S5" s="98"/>
      <c r="T5" s="98"/>
      <c r="U5" s="98"/>
    </row>
    <row r="6" spans="2:21" x14ac:dyDescent="0.25">
      <c r="E6" s="14" t="s">
        <v>15</v>
      </c>
      <c r="F6" s="14"/>
      <c r="I6" s="70"/>
      <c r="N6" s="100" t="s">
        <v>19</v>
      </c>
      <c r="O6" s="98"/>
      <c r="P6" s="98"/>
      <c r="Q6" s="98"/>
      <c r="R6" s="98"/>
      <c r="S6" s="98"/>
      <c r="T6" s="98"/>
      <c r="U6" s="98"/>
    </row>
    <row r="7" spans="2:21" x14ac:dyDescent="0.25">
      <c r="B7" s="44" t="s">
        <v>1</v>
      </c>
      <c r="C7" s="44" t="s">
        <v>44</v>
      </c>
      <c r="D7" s="44" t="s">
        <v>7</v>
      </c>
      <c r="E7" s="45" t="s">
        <v>8</v>
      </c>
      <c r="F7" s="79" t="s">
        <v>17</v>
      </c>
      <c r="G7" s="79" t="s">
        <v>3</v>
      </c>
      <c r="H7" s="79" t="s">
        <v>6</v>
      </c>
      <c r="N7" s="82" t="s">
        <v>13</v>
      </c>
      <c r="O7" s="82" t="s">
        <v>1</v>
      </c>
      <c r="P7" s="82" t="s">
        <v>2</v>
      </c>
      <c r="Q7" s="82" t="s">
        <v>20</v>
      </c>
      <c r="R7" s="82" t="s">
        <v>21</v>
      </c>
      <c r="S7" s="82" t="s">
        <v>22</v>
      </c>
      <c r="T7" s="82" t="s">
        <v>23</v>
      </c>
      <c r="U7" s="82" t="s">
        <v>24</v>
      </c>
    </row>
    <row r="8" spans="2:21" ht="40.200000000000003" thickBot="1" x14ac:dyDescent="0.3">
      <c r="B8" s="291" t="s">
        <v>621</v>
      </c>
      <c r="C8" s="291" t="s">
        <v>26</v>
      </c>
      <c r="D8" s="291" t="s">
        <v>36</v>
      </c>
      <c r="E8" s="297" t="s">
        <v>37</v>
      </c>
      <c r="F8" s="291" t="s">
        <v>38</v>
      </c>
      <c r="G8" s="291" t="s">
        <v>43</v>
      </c>
      <c r="H8" s="291" t="s">
        <v>42</v>
      </c>
      <c r="N8" s="107" t="s">
        <v>47</v>
      </c>
      <c r="O8" s="107" t="s">
        <v>25</v>
      </c>
      <c r="P8" s="107" t="s">
        <v>26</v>
      </c>
      <c r="Q8" s="107" t="s">
        <v>27</v>
      </c>
      <c r="R8" s="107" t="s">
        <v>28</v>
      </c>
      <c r="S8" s="107" t="s">
        <v>51</v>
      </c>
      <c r="T8" s="107" t="s">
        <v>50</v>
      </c>
      <c r="U8" s="107" t="s">
        <v>29</v>
      </c>
    </row>
    <row r="9" spans="2:21" x14ac:dyDescent="0.25">
      <c r="B9" s="101"/>
      <c r="C9" s="102"/>
      <c r="D9" s="102"/>
      <c r="E9" s="298" t="s">
        <v>495</v>
      </c>
      <c r="F9" s="102" t="s">
        <v>498</v>
      </c>
      <c r="G9" s="102" t="str">
        <f>General!B3&amp;"/year"</f>
        <v>M$/year</v>
      </c>
      <c r="H9" s="102" t="str">
        <f>General!B3&amp;"/PJ"</f>
        <v>M$/PJ</v>
      </c>
      <c r="N9" s="77" t="s">
        <v>625</v>
      </c>
      <c r="O9" s="77" t="str">
        <f>"FT-"&amp;Commodities!D55&amp;"00"</f>
        <v>FT-ELEOILDSL00</v>
      </c>
      <c r="P9" s="77" t="s">
        <v>550</v>
      </c>
      <c r="Q9" s="77" t="str">
        <f>General!$B$2</f>
        <v>PJ</v>
      </c>
      <c r="R9" s="77" t="str">
        <f>General!$B$2&amp;"a"</f>
        <v>PJa</v>
      </c>
    </row>
    <row r="10" spans="2:21" x14ac:dyDescent="0.25">
      <c r="B10" s="77" t="str">
        <f>O9</f>
        <v>FT-ELEOILDSL00</v>
      </c>
      <c r="C10" s="77" t="str">
        <f>P9</f>
        <v>Fuel Tech -Diesel (ELE)</v>
      </c>
      <c r="D10" s="116" t="str">
        <f>Commodities!D10</f>
        <v>OILDSL</v>
      </c>
      <c r="E10" s="91"/>
      <c r="F10" s="58">
        <v>1</v>
      </c>
      <c r="G10" s="58"/>
      <c r="H10" s="58"/>
      <c r="O10" s="77" t="str">
        <f>"FT-"&amp;Commodities!D56&amp;"00"</f>
        <v>FT-ELEOILHFO00</v>
      </c>
      <c r="P10" s="77" t="s">
        <v>588</v>
      </c>
      <c r="Q10" s="77" t="str">
        <f>General!$B$2</f>
        <v>PJ</v>
      </c>
      <c r="R10" s="77" t="str">
        <f>General!$B$2&amp;"a"</f>
        <v>PJa</v>
      </c>
    </row>
    <row r="11" spans="2:21" x14ac:dyDescent="0.25">
      <c r="D11" s="116"/>
      <c r="E11" s="91" t="str">
        <f>"ELE"&amp;D10</f>
        <v>ELEOILDSL</v>
      </c>
      <c r="F11" s="58"/>
      <c r="G11" s="58"/>
      <c r="H11" s="58"/>
      <c r="O11" s="77" t="str">
        <f>"FT-"&amp;Commodities!D57&amp;"00"</f>
        <v>FT-ELEGASNAT00</v>
      </c>
      <c r="P11" s="77" t="s">
        <v>551</v>
      </c>
      <c r="Q11" s="77" t="str">
        <f>General!$B$2</f>
        <v>PJ</v>
      </c>
      <c r="R11" s="77" t="str">
        <f>General!$B$2&amp;"a"</f>
        <v>PJa</v>
      </c>
    </row>
    <row r="12" spans="2:21" x14ac:dyDescent="0.25">
      <c r="B12" s="77" t="str">
        <f>O10</f>
        <v>FT-ELEOILHFO00</v>
      </c>
      <c r="C12" s="77" t="str">
        <f>P10</f>
        <v>Fuel Tech -Fuel Oil (ELE)</v>
      </c>
      <c r="D12" s="77" t="str">
        <f>Commodities!D14</f>
        <v>OILHFO</v>
      </c>
      <c r="E12" s="91"/>
      <c r="F12" s="58">
        <v>1</v>
      </c>
      <c r="G12" s="58"/>
      <c r="H12" s="58"/>
      <c r="O12" s="77" t="str">
        <f>"FT-"&amp;Commodities!D58&amp;"00"</f>
        <v>FT-ELEBIOLOG00</v>
      </c>
      <c r="P12" s="77" t="s">
        <v>552</v>
      </c>
      <c r="Q12" s="77" t="str">
        <f>General!$B$2</f>
        <v>PJ</v>
      </c>
      <c r="R12" s="77" t="str">
        <f>General!$B$2&amp;"a"</f>
        <v>PJa</v>
      </c>
    </row>
    <row r="13" spans="2:21" x14ac:dyDescent="0.25">
      <c r="E13" s="91" t="str">
        <f>"ELE"&amp;D12</f>
        <v>ELEOILHFO</v>
      </c>
      <c r="O13" s="77" t="str">
        <f>"FT-"&amp;Commodities!D59&amp;"00"</f>
        <v>FT-ELEBIOWMU00</v>
      </c>
      <c r="P13" s="77" t="s">
        <v>553</v>
      </c>
      <c r="Q13" s="77" t="str">
        <f>General!$B$2</f>
        <v>PJ</v>
      </c>
      <c r="R13" s="77" t="str">
        <f>General!$B$2&amp;"a"</f>
        <v>PJa</v>
      </c>
    </row>
    <row r="14" spans="2:21" x14ac:dyDescent="0.25">
      <c r="B14" s="77" t="str">
        <f>O11</f>
        <v>FT-ELEGASNAT00</v>
      </c>
      <c r="C14" s="77" t="str">
        <f>P11</f>
        <v>Fuel Tech -Natural Gas (ELE)</v>
      </c>
      <c r="D14" s="77" t="str">
        <f>Commodities!D80</f>
        <v>GASNAT_HP</v>
      </c>
      <c r="E14" s="91"/>
      <c r="F14" s="58">
        <v>1</v>
      </c>
      <c r="G14" s="58"/>
      <c r="H14" s="58"/>
      <c r="O14" s="77" t="str">
        <f>"FT-"&amp;Commodities!D60&amp;"00"</f>
        <v>FT-ELEBIOWID00</v>
      </c>
      <c r="P14" s="77" t="s">
        <v>554</v>
      </c>
      <c r="Q14" s="77" t="str">
        <f>General!$B$2</f>
        <v>PJ</v>
      </c>
      <c r="R14" s="77" t="str">
        <f>General!$B$2&amp;"a"</f>
        <v>PJa</v>
      </c>
    </row>
    <row r="15" spans="2:21" x14ac:dyDescent="0.25">
      <c r="E15" s="91" t="str">
        <f>"ELE"&amp;LEFT(D14,6)</f>
        <v>ELEGASNAT</v>
      </c>
      <c r="O15" s="77" t="str">
        <f>"FT-"&amp;Commodities!D61&amp;"00"</f>
        <v>FT-ELEBIOBGS00</v>
      </c>
      <c r="P15" s="77" t="s">
        <v>555</v>
      </c>
      <c r="Q15" s="77" t="str">
        <f>General!$B$2</f>
        <v>PJ</v>
      </c>
      <c r="R15" s="77" t="str">
        <f>General!$B$2&amp;"a"</f>
        <v>PJa</v>
      </c>
    </row>
    <row r="16" spans="2:21" x14ac:dyDescent="0.25">
      <c r="B16" s="77" t="str">
        <f>O12</f>
        <v>FT-ELEBIOLOG00</v>
      </c>
      <c r="C16" s="77" t="str">
        <f>P12</f>
        <v>Fuel Tech -Wood (ELE)</v>
      </c>
      <c r="D16" s="116" t="str">
        <f>Commodities!D18</f>
        <v>BIOLOG</v>
      </c>
      <c r="E16" s="91"/>
      <c r="F16" s="58">
        <v>1</v>
      </c>
      <c r="G16" s="58"/>
      <c r="H16" s="58"/>
      <c r="O16" s="77" t="str">
        <f>"FT-"&amp;Commodities!D62&amp;"00"</f>
        <v>FT-ELERESHYD00</v>
      </c>
      <c r="P16" s="77" t="s">
        <v>556</v>
      </c>
      <c r="Q16" s="77" t="str">
        <f>General!$B$2</f>
        <v>PJ</v>
      </c>
      <c r="R16" s="77" t="str">
        <f>General!$B$2&amp;"a"</f>
        <v>PJa</v>
      </c>
    </row>
    <row r="17" spans="2:21" x14ac:dyDescent="0.25">
      <c r="D17" s="116"/>
      <c r="E17" s="91" t="str">
        <f>"ELE"&amp;D16</f>
        <v>ELEBIOLOG</v>
      </c>
      <c r="F17" s="58"/>
      <c r="G17" s="58"/>
      <c r="H17" s="58"/>
      <c r="O17" s="77" t="str">
        <f>"FT-"&amp;Commodities!D63&amp;"00"</f>
        <v>FT-ELERESSOL00</v>
      </c>
      <c r="P17" s="77" t="s">
        <v>557</v>
      </c>
      <c r="Q17" s="77" t="str">
        <f>General!$B$2</f>
        <v>PJ</v>
      </c>
      <c r="R17" s="77" t="str">
        <f>General!$B$2&amp;"a"</f>
        <v>PJa</v>
      </c>
    </row>
    <row r="18" spans="2:21" x14ac:dyDescent="0.25">
      <c r="B18" s="77" t="str">
        <f>O13</f>
        <v>FT-ELEBIOWMU00</v>
      </c>
      <c r="C18" s="77" t="str">
        <f>P13</f>
        <v>Fuel Tech -Municipal waste (ELE)</v>
      </c>
      <c r="D18" s="77" t="str">
        <f>Commodities!D19</f>
        <v>BIOWMU</v>
      </c>
      <c r="E18" s="91"/>
      <c r="F18" s="58">
        <v>1</v>
      </c>
      <c r="G18" s="58"/>
      <c r="H18" s="58"/>
      <c r="O18" s="77" t="str">
        <f>"FT-"&amp;Commodities!D64&amp;"00"</f>
        <v>FT-ELERESWIN00</v>
      </c>
      <c r="P18" s="77" t="s">
        <v>558</v>
      </c>
      <c r="Q18" s="77" t="str">
        <f>General!$B$2</f>
        <v>PJ</v>
      </c>
      <c r="R18" s="77" t="str">
        <f>General!$B$2&amp;"a"</f>
        <v>PJa</v>
      </c>
    </row>
    <row r="19" spans="2:21" x14ac:dyDescent="0.25">
      <c r="E19" s="91" t="str">
        <f>"ELE"&amp;D18</f>
        <v>ELEBIOWMU</v>
      </c>
      <c r="O19" s="77" t="str">
        <f>"FT-"&amp;Commodities!D65&amp;"00"</f>
        <v>FT-ELERESGEO00</v>
      </c>
      <c r="P19" s="77" t="s">
        <v>559</v>
      </c>
      <c r="Q19" s="77" t="str">
        <f>General!$B$2</f>
        <v>PJ</v>
      </c>
      <c r="R19" s="77" t="str">
        <f>General!$B$2&amp;"a"</f>
        <v>PJa</v>
      </c>
    </row>
    <row r="20" spans="2:21" x14ac:dyDescent="0.25">
      <c r="B20" s="77" t="str">
        <f>O14</f>
        <v>FT-ELEBIOWID00</v>
      </c>
      <c r="C20" s="77" t="str">
        <f>P14</f>
        <v>Fuel Tech -Industrial Waste (ELE)</v>
      </c>
      <c r="D20" s="116" t="str">
        <f>Commodities!D20</f>
        <v>BIOWID</v>
      </c>
      <c r="E20" s="91"/>
      <c r="F20" s="58">
        <v>1</v>
      </c>
      <c r="G20" s="58"/>
      <c r="H20" s="58"/>
      <c r="N20" s="86"/>
      <c r="O20" s="86" t="str">
        <f>"FT-"&amp;Commodities!D66&amp;"00"</f>
        <v>FT-ELENUCLFL00</v>
      </c>
      <c r="P20" s="86" t="s">
        <v>560</v>
      </c>
      <c r="Q20" s="86" t="str">
        <f>General!$B$2</f>
        <v>PJ</v>
      </c>
      <c r="R20" s="86" t="str">
        <f>General!$B$2&amp;"a"</f>
        <v>PJa</v>
      </c>
      <c r="S20" s="86"/>
      <c r="T20" s="86"/>
      <c r="U20" s="86"/>
    </row>
    <row r="21" spans="2:21" x14ac:dyDescent="0.25">
      <c r="D21" s="116"/>
      <c r="E21" s="91" t="str">
        <f>"ELE"&amp;D20</f>
        <v>ELEBIOWID</v>
      </c>
      <c r="F21" s="58"/>
      <c r="G21" s="58"/>
      <c r="H21" s="58"/>
      <c r="O21" s="77" t="str">
        <f>"FT-"&amp;(RIGHT(Commodities!D52,9)&amp;"00")</f>
        <v>FT-ELECOABIC00</v>
      </c>
      <c r="P21" s="77" t="s">
        <v>746</v>
      </c>
      <c r="Q21" s="77" t="str">
        <f>General!$B$2</f>
        <v>PJ</v>
      </c>
      <c r="R21" s="77" t="str">
        <f>General!$B$2&amp;"a"</f>
        <v>PJa</v>
      </c>
    </row>
    <row r="22" spans="2:21" x14ac:dyDescent="0.25">
      <c r="B22" s="77" t="str">
        <f>O15</f>
        <v>FT-ELEBIOBGS00</v>
      </c>
      <c r="C22" s="77" t="str">
        <f>P15</f>
        <v>Fuel Tech -Biogas (ELE)</v>
      </c>
      <c r="D22" s="77" t="str">
        <f>Commodities!D25</f>
        <v>BIOBGS</v>
      </c>
      <c r="E22" s="91"/>
      <c r="F22" s="58">
        <v>1</v>
      </c>
      <c r="G22" s="58"/>
      <c r="H22" s="58"/>
      <c r="O22" s="77" t="str">
        <f>"FT-"&amp;(RIGHT(Commodities!D53,9)&amp;"00")</f>
        <v>FT-ELECOASUB00</v>
      </c>
      <c r="P22" s="77" t="s">
        <v>747</v>
      </c>
      <c r="Q22" s="77" t="str">
        <f>General!$B$2</f>
        <v>PJ</v>
      </c>
      <c r="R22" s="77" t="str">
        <f>General!$B$2&amp;"a"</f>
        <v>PJa</v>
      </c>
    </row>
    <row r="23" spans="2:21" x14ac:dyDescent="0.25">
      <c r="E23" s="91" t="str">
        <f>"ELE"&amp;D22</f>
        <v>ELEBIOBGS</v>
      </c>
      <c r="O23" s="77" t="str">
        <f>"FT-"&amp;(RIGHT(Commodities!D54,9)&amp;"00")</f>
        <v>FT-ELECOABCO00</v>
      </c>
      <c r="P23" s="77" t="s">
        <v>748</v>
      </c>
      <c r="Q23" s="77" t="str">
        <f>General!$B$2</f>
        <v>PJ</v>
      </c>
      <c r="R23" s="77" t="str">
        <f>General!$B$2&amp;"a"</f>
        <v>PJa</v>
      </c>
    </row>
    <row r="24" spans="2:21" x14ac:dyDescent="0.25">
      <c r="B24" s="77" t="str">
        <f>O16</f>
        <v>FT-ELERESHYD00</v>
      </c>
      <c r="C24" s="77" t="str">
        <f>P16</f>
        <v>Fuel Tech -Hydro Energy (ELE)</v>
      </c>
      <c r="D24" s="116" t="str">
        <f>Commodities!D28</f>
        <v>RESHYD</v>
      </c>
      <c r="E24" s="91"/>
      <c r="F24" s="58">
        <v>1</v>
      </c>
      <c r="G24" s="58"/>
      <c r="H24" s="58"/>
      <c r="N24" s="77" t="s">
        <v>633</v>
      </c>
    </row>
    <row r="25" spans="2:21" x14ac:dyDescent="0.25">
      <c r="D25" s="116"/>
      <c r="E25" s="91" t="str">
        <f>"ELE"&amp;D24</f>
        <v>ELERESHYD</v>
      </c>
      <c r="F25" s="58"/>
      <c r="G25" s="58"/>
      <c r="H25" s="58"/>
      <c r="N25" s="77" t="s">
        <v>625</v>
      </c>
      <c r="O25" s="77" t="s">
        <v>531</v>
      </c>
      <c r="P25" s="77" t="s">
        <v>697</v>
      </c>
      <c r="Q25" s="77" t="s">
        <v>71</v>
      </c>
      <c r="R25" s="77" t="s">
        <v>500</v>
      </c>
      <c r="S25" s="77" t="s">
        <v>251</v>
      </c>
      <c r="U25" s="77" t="s">
        <v>501</v>
      </c>
    </row>
    <row r="26" spans="2:21" x14ac:dyDescent="0.25">
      <c r="B26" s="77" t="str">
        <f>O17</f>
        <v>FT-ELERESSOL00</v>
      </c>
      <c r="C26" s="77" t="str">
        <f>P17</f>
        <v>Fuel Tech -Solar Energy (ELE)</v>
      </c>
      <c r="D26" s="77" t="str">
        <f>Commodities!D29</f>
        <v>RESSOL</v>
      </c>
      <c r="E26" s="91"/>
      <c r="F26" s="58">
        <v>1</v>
      </c>
      <c r="G26" s="58"/>
      <c r="H26" s="58"/>
      <c r="O26" s="77" t="s">
        <v>699</v>
      </c>
      <c r="P26" s="77" t="s">
        <v>698</v>
      </c>
      <c r="Q26" s="77" t="s">
        <v>71</v>
      </c>
      <c r="R26" s="77" t="s">
        <v>500</v>
      </c>
      <c r="S26" s="77" t="s">
        <v>251</v>
      </c>
      <c r="U26" s="77" t="s">
        <v>501</v>
      </c>
    </row>
    <row r="27" spans="2:21" x14ac:dyDescent="0.25">
      <c r="E27" s="91" t="str">
        <f>"ELE"&amp;D26</f>
        <v>ELERESSOL</v>
      </c>
      <c r="O27" s="77" t="s">
        <v>706</v>
      </c>
      <c r="P27" s="77" t="s">
        <v>566</v>
      </c>
      <c r="Q27" s="77" t="s">
        <v>71</v>
      </c>
      <c r="R27" s="77" t="s">
        <v>500</v>
      </c>
      <c r="S27" s="77" t="s">
        <v>251</v>
      </c>
      <c r="U27" s="77" t="s">
        <v>501</v>
      </c>
    </row>
    <row r="28" spans="2:21" x14ac:dyDescent="0.25">
      <c r="B28" s="77" t="str">
        <f>O18</f>
        <v>FT-ELERESWIN00</v>
      </c>
      <c r="C28" s="77" t="str">
        <f>P18</f>
        <v>Fuel Tech -Wind Energy (ELE)</v>
      </c>
      <c r="D28" s="116" t="str">
        <f>Commodities!D30</f>
        <v>RESWIN</v>
      </c>
      <c r="E28" s="91"/>
      <c r="F28" s="58">
        <v>1</v>
      </c>
      <c r="G28" s="58"/>
      <c r="H28" s="58"/>
    </row>
    <row r="29" spans="2:21" x14ac:dyDescent="0.25">
      <c r="D29" s="116"/>
      <c r="E29" s="91" t="str">
        <f>"ELE"&amp;D28</f>
        <v>ELERESWIN</v>
      </c>
      <c r="F29" s="58"/>
      <c r="G29" s="58"/>
      <c r="H29" s="58"/>
    </row>
    <row r="30" spans="2:21" x14ac:dyDescent="0.25">
      <c r="B30" s="77" t="str">
        <f>O19</f>
        <v>FT-ELERESGEO00</v>
      </c>
      <c r="C30" s="77" t="str">
        <f>P19</f>
        <v>Fuel Tech -Geothermal Energy (ELE)</v>
      </c>
      <c r="D30" s="77" t="str">
        <f>Commodities!D31</f>
        <v>RESGEO</v>
      </c>
      <c r="E30" s="91"/>
      <c r="F30" s="58">
        <v>1</v>
      </c>
      <c r="G30" s="58"/>
      <c r="H30" s="58"/>
    </row>
    <row r="31" spans="2:21" x14ac:dyDescent="0.25">
      <c r="E31" s="91" t="str">
        <f>"ELE"&amp;D30</f>
        <v>ELERESGEO</v>
      </c>
    </row>
    <row r="32" spans="2:21" x14ac:dyDescent="0.25">
      <c r="B32" s="77" t="str">
        <f>O20</f>
        <v>FT-ELENUCLFL00</v>
      </c>
      <c r="C32" s="77" t="str">
        <f>P20</f>
        <v>Fuel Tech -Nuclear Fuel (ELE)</v>
      </c>
      <c r="D32" s="116" t="str">
        <f>Commodities!D32</f>
        <v>NUCLFL</v>
      </c>
      <c r="E32" s="91"/>
      <c r="F32" s="58">
        <v>1</v>
      </c>
      <c r="G32" s="58"/>
      <c r="H32" s="58"/>
    </row>
    <row r="33" spans="2:11" x14ac:dyDescent="0.25">
      <c r="B33" s="86"/>
      <c r="C33" s="86"/>
      <c r="D33" s="299"/>
      <c r="E33" s="185" t="str">
        <f>"ELE"&amp;D32</f>
        <v>ELENUCLFL</v>
      </c>
      <c r="F33" s="67"/>
      <c r="G33" s="67"/>
      <c r="H33" s="67"/>
    </row>
    <row r="34" spans="2:11" x14ac:dyDescent="0.25">
      <c r="B34" s="77" t="str">
        <f>O21</f>
        <v>FT-ELECOABIC00</v>
      </c>
      <c r="C34" s="77" t="str">
        <f>P21</f>
        <v>Fuel Tech -Bituminous coal (ELE)</v>
      </c>
      <c r="D34" s="116" t="str">
        <f>Commodities!D7</f>
        <v>COABIC</v>
      </c>
      <c r="E34" s="91"/>
      <c r="F34" s="58">
        <v>1</v>
      </c>
      <c r="G34" s="58"/>
      <c r="H34" s="58"/>
    </row>
    <row r="35" spans="2:11" x14ac:dyDescent="0.25">
      <c r="D35" s="116"/>
      <c r="E35" s="91" t="str">
        <f>"ELE"&amp;D34</f>
        <v>ELECOABIC</v>
      </c>
      <c r="F35" s="58"/>
      <c r="G35" s="58"/>
      <c r="H35" s="58"/>
    </row>
    <row r="36" spans="2:11" x14ac:dyDescent="0.25">
      <c r="B36" s="77" t="str">
        <f>O22</f>
        <v>FT-ELECOASUB00</v>
      </c>
      <c r="C36" s="77" t="str">
        <f>P22</f>
        <v>Fuel Tech -Sub-Bituminous coal (ELE)</v>
      </c>
      <c r="D36" s="77" t="str">
        <f>Commodities!D8</f>
        <v>COASUB</v>
      </c>
      <c r="E36" s="91"/>
      <c r="F36" s="58">
        <v>1</v>
      </c>
      <c r="G36" s="58"/>
      <c r="H36" s="58"/>
    </row>
    <row r="37" spans="2:11" x14ac:dyDescent="0.25">
      <c r="E37" s="91" t="str">
        <f>"ELE"&amp;D36</f>
        <v>ELECOASUB</v>
      </c>
    </row>
    <row r="38" spans="2:11" x14ac:dyDescent="0.25">
      <c r="B38" s="77" t="str">
        <f>O23</f>
        <v>FT-ELECOABCO00</v>
      </c>
      <c r="C38" s="77" t="str">
        <f>P23</f>
        <v>Fuel Tech -BrownCoal/Lignite (ELE)</v>
      </c>
      <c r="D38" s="116" t="str">
        <f>Commodities!D9</f>
        <v>COABCO</v>
      </c>
      <c r="E38" s="91"/>
      <c r="F38" s="58">
        <v>1</v>
      </c>
      <c r="G38" s="58"/>
      <c r="H38" s="58"/>
    </row>
    <row r="39" spans="2:11" x14ac:dyDescent="0.25">
      <c r="B39" s="86"/>
      <c r="C39" s="86"/>
      <c r="D39" s="299"/>
      <c r="E39" s="185" t="str">
        <f>"ELE"&amp;D38</f>
        <v>ELECOABCO</v>
      </c>
      <c r="F39" s="67"/>
      <c r="G39" s="67"/>
      <c r="H39" s="67"/>
    </row>
    <row r="44" spans="2:11" x14ac:dyDescent="0.25">
      <c r="E44" s="300" t="s">
        <v>15</v>
      </c>
      <c r="F44" s="300"/>
      <c r="G44" s="300"/>
    </row>
    <row r="45" spans="2:11" x14ac:dyDescent="0.25">
      <c r="B45" s="44" t="s">
        <v>1</v>
      </c>
      <c r="C45" s="44" t="s">
        <v>44</v>
      </c>
      <c r="D45" s="44" t="s">
        <v>7</v>
      </c>
      <c r="E45" s="44" t="s">
        <v>8</v>
      </c>
      <c r="F45" s="44" t="s">
        <v>497</v>
      </c>
      <c r="G45" s="79" t="s">
        <v>17</v>
      </c>
      <c r="H45" s="44" t="s">
        <v>515</v>
      </c>
      <c r="I45" s="44" t="s">
        <v>6</v>
      </c>
      <c r="J45" s="44" t="s">
        <v>3</v>
      </c>
      <c r="K45" s="44" t="s">
        <v>496</v>
      </c>
    </row>
    <row r="46" spans="2:11" ht="13.8" thickBot="1" x14ac:dyDescent="0.3">
      <c r="B46" s="292"/>
      <c r="C46" s="292"/>
      <c r="D46" s="292"/>
      <c r="E46" s="292" t="s">
        <v>626</v>
      </c>
      <c r="F46" s="292"/>
      <c r="G46" s="291" t="s">
        <v>38</v>
      </c>
      <c r="H46" s="291" t="s">
        <v>780</v>
      </c>
      <c r="I46" s="291" t="str">
        <f>General!D11</f>
        <v>M$/PJ</v>
      </c>
      <c r="J46" s="292" t="str">
        <f>General!D10</f>
        <v>M$/GW/year</v>
      </c>
      <c r="K46" s="292" t="s">
        <v>530</v>
      </c>
    </row>
    <row r="47" spans="2:11" x14ac:dyDescent="0.25">
      <c r="B47" s="77" t="str">
        <f>O25</f>
        <v>EVTRANS_H-H</v>
      </c>
      <c r="C47" s="77" t="str">
        <f>P25</f>
        <v>Transmission 500kV</v>
      </c>
      <c r="D47" s="77" t="s">
        <v>252</v>
      </c>
      <c r="E47" s="58"/>
      <c r="F47" s="58"/>
      <c r="G47" s="58">
        <v>1</v>
      </c>
      <c r="I47" s="58"/>
      <c r="J47" s="58">
        <v>1.0000000000000001E-5</v>
      </c>
      <c r="K47" s="77">
        <v>31.536000000000001</v>
      </c>
    </row>
    <row r="48" spans="2:11" x14ac:dyDescent="0.25">
      <c r="B48" s="58"/>
      <c r="C48" s="58"/>
      <c r="D48" s="58"/>
      <c r="E48" s="77" t="s">
        <v>700</v>
      </c>
      <c r="F48" s="63">
        <v>0.99</v>
      </c>
      <c r="G48" s="58"/>
      <c r="H48" s="58"/>
      <c r="I48" s="58"/>
      <c r="J48" s="58"/>
      <c r="K48" s="58"/>
    </row>
    <row r="49" spans="2:16" x14ac:dyDescent="0.25">
      <c r="B49" s="86"/>
      <c r="C49" s="86"/>
      <c r="D49" s="86"/>
      <c r="E49" s="86" t="s">
        <v>532</v>
      </c>
      <c r="F49" s="112">
        <f>1-F48</f>
        <v>1.0000000000000009E-2</v>
      </c>
      <c r="G49" s="67"/>
      <c r="H49" s="86"/>
      <c r="I49" s="67"/>
      <c r="J49" s="67"/>
      <c r="K49" s="86"/>
      <c r="M49" s="77" t="s">
        <v>707</v>
      </c>
    </row>
    <row r="50" spans="2:16" ht="15" customHeight="1" x14ac:dyDescent="0.25">
      <c r="B50" s="77" t="str">
        <f>O26</f>
        <v>EVTRANS_H-HM</v>
      </c>
      <c r="C50" s="77" t="str">
        <f>P26</f>
        <v>Transmission 220kV</v>
      </c>
      <c r="D50" s="77" t="s">
        <v>700</v>
      </c>
      <c r="E50" s="58"/>
      <c r="F50" s="63"/>
      <c r="G50" s="58">
        <v>1</v>
      </c>
      <c r="H50" s="58"/>
      <c r="I50" s="58"/>
      <c r="J50" s="58">
        <v>1.0000000000000001E-5</v>
      </c>
      <c r="K50" s="77">
        <v>31.536000000000001</v>
      </c>
    </row>
    <row r="51" spans="2:16" x14ac:dyDescent="0.25">
      <c r="B51" s="58"/>
      <c r="C51" s="58"/>
      <c r="D51" s="58"/>
      <c r="E51" s="77" t="s">
        <v>703</v>
      </c>
      <c r="F51" s="63">
        <v>0.97499999999999998</v>
      </c>
      <c r="G51" s="58"/>
      <c r="H51" s="58"/>
      <c r="I51" s="58"/>
      <c r="J51" s="58"/>
      <c r="K51" s="58"/>
    </row>
    <row r="52" spans="2:16" ht="13.8" thickBot="1" x14ac:dyDescent="0.3">
      <c r="B52" s="86"/>
      <c r="C52" s="86"/>
      <c r="D52" s="86"/>
      <c r="E52" s="86" t="s">
        <v>701</v>
      </c>
      <c r="F52" s="112">
        <f>1-F51</f>
        <v>2.5000000000000022E-2</v>
      </c>
      <c r="G52" s="129"/>
      <c r="H52" s="86"/>
      <c r="I52" s="67"/>
      <c r="J52" s="67"/>
      <c r="K52" s="86"/>
      <c r="M52" s="77" t="s">
        <v>673</v>
      </c>
    </row>
    <row r="53" spans="2:16" x14ac:dyDescent="0.25">
      <c r="B53" s="77" t="str">
        <f>O27</f>
        <v>EVTRANS_HM-ML</v>
      </c>
      <c r="C53" s="77" t="str">
        <f>P27</f>
        <v>Distribution</v>
      </c>
      <c r="D53" s="77" t="str">
        <f>E51</f>
        <v>ELCHIG2</v>
      </c>
      <c r="E53" s="58"/>
      <c r="F53" s="63"/>
      <c r="G53" s="58">
        <v>1</v>
      </c>
      <c r="H53" s="58"/>
      <c r="I53" s="58"/>
      <c r="J53" s="58">
        <v>1.0000000000000001E-5</v>
      </c>
      <c r="K53" s="77">
        <v>31.536000000000001</v>
      </c>
      <c r="M53" s="301"/>
      <c r="N53" s="293"/>
      <c r="O53" s="293" t="s">
        <v>752</v>
      </c>
      <c r="P53" s="294" t="s">
        <v>671</v>
      </c>
    </row>
    <row r="54" spans="2:16" x14ac:dyDescent="0.25">
      <c r="B54" s="58"/>
      <c r="C54" s="58"/>
      <c r="D54" s="58"/>
      <c r="E54" s="77" t="s">
        <v>522</v>
      </c>
      <c r="F54" s="63">
        <v>0.94</v>
      </c>
      <c r="G54" s="58"/>
      <c r="H54" s="58"/>
      <c r="I54" s="58"/>
      <c r="J54" s="58"/>
      <c r="K54" s="58"/>
      <c r="M54" s="295" t="s">
        <v>670</v>
      </c>
      <c r="N54" s="302"/>
      <c r="O54" s="303">
        <f>'En.Bal-Primary-Transf.'!BX46</f>
        <v>2091</v>
      </c>
      <c r="P54" s="304"/>
    </row>
    <row r="55" spans="2:16" x14ac:dyDescent="0.25">
      <c r="B55" s="86"/>
      <c r="C55" s="86"/>
      <c r="D55" s="86"/>
      <c r="E55" s="86" t="s">
        <v>533</v>
      </c>
      <c r="F55" s="112">
        <f>1-F54</f>
        <v>6.0000000000000053E-2</v>
      </c>
      <c r="G55" s="129"/>
      <c r="H55" s="86"/>
      <c r="I55" s="67"/>
      <c r="J55" s="67"/>
      <c r="K55" s="86"/>
      <c r="M55" s="295" t="s">
        <v>667</v>
      </c>
      <c r="N55" s="302"/>
      <c r="O55" s="305">
        <f>O54*F49</f>
        <v>20.910000000000018</v>
      </c>
      <c r="P55" s="306">
        <f>O55/O54</f>
        <v>1.0000000000000009E-2</v>
      </c>
    </row>
    <row r="56" spans="2:16" x14ac:dyDescent="0.25">
      <c r="M56" s="295" t="s">
        <v>668</v>
      </c>
      <c r="N56" s="302"/>
      <c r="O56" s="305">
        <f>'En.Bal-Primary-Transf.'!BX135</f>
        <v>194</v>
      </c>
      <c r="P56" s="306">
        <f>O56/O54</f>
        <v>9.277857484457197E-2</v>
      </c>
    </row>
    <row r="57" spans="2:16" ht="13.8" thickBot="1" x14ac:dyDescent="0.3">
      <c r="B57" s="77" t="s">
        <v>708</v>
      </c>
      <c r="E57" s="77">
        <f>1*F48*F51*F54</f>
        <v>0.90733499999999989</v>
      </c>
      <c r="M57" s="296" t="s">
        <v>669</v>
      </c>
      <c r="N57" s="307"/>
      <c r="O57" s="308">
        <f>O56-O55</f>
        <v>173.08999999999997</v>
      </c>
      <c r="P57" s="309">
        <f>O57/(O54-O55)</f>
        <v>8.3614722065224203E-2</v>
      </c>
    </row>
    <row r="58" spans="2:16" x14ac:dyDescent="0.25">
      <c r="O58" s="31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2:W65"/>
  <sheetViews>
    <sheetView topLeftCell="A18" zoomScale="70" zoomScaleNormal="70" workbookViewId="0">
      <selection activeCell="A18" sqref="A1:XFD1048576"/>
    </sheetView>
  </sheetViews>
  <sheetFormatPr defaultRowHeight="13.2" x14ac:dyDescent="0.25"/>
  <cols>
    <col min="1" max="1" width="8.88671875" style="77"/>
    <col min="2" max="2" width="24.6640625" style="77" customWidth="1"/>
    <col min="3" max="3" width="39" style="77" customWidth="1"/>
    <col min="4" max="4" width="30.88671875" style="77" customWidth="1"/>
    <col min="5" max="5" width="14" style="77" bestFit="1" customWidth="1"/>
    <col min="6" max="6" width="17.6640625" style="77" bestFit="1" customWidth="1"/>
    <col min="7" max="7" width="18.33203125" style="77" bestFit="1" customWidth="1"/>
    <col min="8" max="8" width="22.5546875" style="77" customWidth="1"/>
    <col min="9" max="9" width="19.6640625" style="77" customWidth="1"/>
    <col min="10" max="12" width="18.44140625" style="77" customWidth="1"/>
    <col min="13" max="13" width="24.6640625" style="77" customWidth="1"/>
    <col min="14" max="14" width="20.88671875" style="77" customWidth="1"/>
    <col min="15" max="15" width="28.6640625" style="77" customWidth="1"/>
    <col min="16" max="16" width="61.44140625" style="77" customWidth="1"/>
    <col min="17" max="17" width="16.33203125" style="77" customWidth="1"/>
    <col min="18" max="18" width="16.88671875" style="77" customWidth="1"/>
    <col min="19" max="19" width="15.6640625" style="77" customWidth="1"/>
    <col min="20" max="20" width="13.88671875" style="77" customWidth="1"/>
    <col min="21" max="21" width="16.33203125" style="77" customWidth="1"/>
    <col min="22" max="16384" width="8.88671875" style="77"/>
  </cols>
  <sheetData>
    <row r="2" spans="2:23" ht="15.6" x14ac:dyDescent="0.3">
      <c r="B2" s="18" t="s">
        <v>650</v>
      </c>
    </row>
    <row r="3" spans="2:23" ht="17.399999999999999" x14ac:dyDescent="0.3">
      <c r="B3" s="311"/>
      <c r="M3" s="96" t="s">
        <v>104</v>
      </c>
      <c r="N3" s="96"/>
    </row>
    <row r="4" spans="2:23" ht="15" x14ac:dyDescent="0.25">
      <c r="B4" s="96"/>
    </row>
    <row r="5" spans="2:23" ht="17.399999999999999" x14ac:dyDescent="0.3">
      <c r="B5" s="13"/>
      <c r="C5" s="2"/>
      <c r="E5" s="93"/>
      <c r="F5" s="93"/>
      <c r="G5" s="93"/>
      <c r="I5" s="95"/>
      <c r="J5" s="70"/>
      <c r="K5" s="70"/>
      <c r="L5" s="70"/>
      <c r="M5" s="97" t="s">
        <v>41</v>
      </c>
      <c r="N5" s="97"/>
      <c r="O5" s="98"/>
      <c r="P5" s="98"/>
      <c r="Q5" s="98"/>
      <c r="R5" s="98"/>
      <c r="S5" s="98"/>
      <c r="T5" s="98"/>
      <c r="U5" s="98"/>
    </row>
    <row r="6" spans="2:23" x14ac:dyDescent="0.25">
      <c r="F6" s="14" t="s">
        <v>15</v>
      </c>
      <c r="G6" s="14"/>
      <c r="J6" s="70"/>
      <c r="K6" s="70"/>
      <c r="L6" s="70"/>
      <c r="M6" s="100" t="s">
        <v>19</v>
      </c>
      <c r="N6" s="100"/>
      <c r="O6" s="98"/>
      <c r="P6" s="98"/>
      <c r="Q6" s="98"/>
      <c r="R6" s="98"/>
      <c r="S6" s="98"/>
      <c r="T6" s="98"/>
      <c r="U6" s="98"/>
    </row>
    <row r="7" spans="2:23" x14ac:dyDescent="0.25">
      <c r="B7" s="44" t="s">
        <v>34</v>
      </c>
      <c r="C7" s="44" t="s">
        <v>1</v>
      </c>
      <c r="D7" s="44" t="s">
        <v>44</v>
      </c>
      <c r="E7" s="44" t="s">
        <v>7</v>
      </c>
      <c r="F7" s="45" t="s">
        <v>8</v>
      </c>
      <c r="G7" s="79" t="s">
        <v>17</v>
      </c>
      <c r="H7" s="79" t="s">
        <v>3</v>
      </c>
      <c r="I7" s="79" t="s">
        <v>6</v>
      </c>
      <c r="M7" s="82" t="s">
        <v>13</v>
      </c>
      <c r="N7" s="82" t="s">
        <v>34</v>
      </c>
      <c r="O7" s="82" t="s">
        <v>1</v>
      </c>
      <c r="P7" s="82" t="s">
        <v>2</v>
      </c>
      <c r="Q7" s="82" t="s">
        <v>20</v>
      </c>
      <c r="R7" s="82" t="s">
        <v>21</v>
      </c>
      <c r="S7" s="82" t="s">
        <v>22</v>
      </c>
      <c r="T7" s="82" t="s">
        <v>23</v>
      </c>
      <c r="U7" s="82" t="s">
        <v>24</v>
      </c>
    </row>
    <row r="8" spans="2:23" ht="40.200000000000003" thickBot="1" x14ac:dyDescent="0.3">
      <c r="B8" s="292" t="s">
        <v>632</v>
      </c>
      <c r="C8" s="291" t="s">
        <v>25</v>
      </c>
      <c r="D8" s="291" t="s">
        <v>26</v>
      </c>
      <c r="E8" s="291" t="s">
        <v>36</v>
      </c>
      <c r="F8" s="297" t="s">
        <v>37</v>
      </c>
      <c r="G8" s="291" t="s">
        <v>38</v>
      </c>
      <c r="H8" s="291" t="s">
        <v>43</v>
      </c>
      <c r="I8" s="291" t="s">
        <v>42</v>
      </c>
      <c r="M8" s="107" t="s">
        <v>47</v>
      </c>
      <c r="N8" s="107" t="s">
        <v>35</v>
      </c>
      <c r="O8" s="107" t="s">
        <v>25</v>
      </c>
      <c r="P8" s="107" t="s">
        <v>26</v>
      </c>
      <c r="Q8" s="107" t="s">
        <v>27</v>
      </c>
      <c r="R8" s="107" t="s">
        <v>28</v>
      </c>
      <c r="S8" s="107" t="s">
        <v>51</v>
      </c>
      <c r="T8" s="107" t="s">
        <v>50</v>
      </c>
      <c r="U8" s="107" t="s">
        <v>29</v>
      </c>
    </row>
    <row r="9" spans="2:23" x14ac:dyDescent="0.25">
      <c r="B9" s="101" t="s">
        <v>633</v>
      </c>
      <c r="C9" s="101"/>
      <c r="D9" s="102"/>
      <c r="E9" s="102"/>
      <c r="F9" s="298" t="s">
        <v>495</v>
      </c>
      <c r="G9" s="102" t="s">
        <v>498</v>
      </c>
      <c r="H9" s="102" t="s">
        <v>781</v>
      </c>
      <c r="I9" s="102" t="s">
        <v>770</v>
      </c>
      <c r="M9" s="77" t="s">
        <v>633</v>
      </c>
      <c r="O9" s="77" t="str">
        <f>"FT-"&amp;Commodities!D84&amp;"00"</f>
        <v>FT-HETCOABIC00</v>
      </c>
      <c r="P9" s="77" t="s">
        <v>743</v>
      </c>
      <c r="Q9" s="77" t="s">
        <v>71</v>
      </c>
      <c r="R9" s="77" t="s">
        <v>666</v>
      </c>
    </row>
    <row r="10" spans="2:23" x14ac:dyDescent="0.25">
      <c r="C10" s="77" t="str">
        <f>O13</f>
        <v>FT-HETGASNAT00</v>
      </c>
      <c r="D10" s="77" t="str">
        <f>P13</f>
        <v>Fuel Tech -Natural Gas (HET)</v>
      </c>
      <c r="E10" s="116" t="str">
        <f>Commodities!D80</f>
        <v>GASNAT_HP</v>
      </c>
      <c r="F10" s="91"/>
      <c r="G10" s="58">
        <v>1</v>
      </c>
      <c r="H10" s="58"/>
      <c r="I10" s="58"/>
      <c r="M10" s="77" t="s">
        <v>625</v>
      </c>
      <c r="O10" s="77" t="str">
        <f>"FT-"&amp;Commodities!D85&amp;"00"</f>
        <v>FT-HETCOASUB00</v>
      </c>
      <c r="P10" s="77" t="s">
        <v>744</v>
      </c>
      <c r="Q10" s="77" t="s">
        <v>71</v>
      </c>
      <c r="R10" s="77" t="s">
        <v>666</v>
      </c>
    </row>
    <row r="11" spans="2:23" x14ac:dyDescent="0.25">
      <c r="E11" s="116"/>
      <c r="F11" s="312" t="str">
        <f>HET_Plants!E7</f>
        <v>HETGASNAT</v>
      </c>
      <c r="G11" s="58"/>
      <c r="H11" s="58"/>
      <c r="I11" s="58"/>
      <c r="O11" s="77" t="str">
        <f>"FT-"&amp;Commodities!D86&amp;"00"</f>
        <v>FT-HETCOABCO00</v>
      </c>
      <c r="P11" s="77" t="s">
        <v>745</v>
      </c>
      <c r="Q11" s="77" t="s">
        <v>71</v>
      </c>
      <c r="R11" s="77" t="s">
        <v>666</v>
      </c>
    </row>
    <row r="12" spans="2:23" x14ac:dyDescent="0.25">
      <c r="B12" s="105"/>
      <c r="C12" s="105" t="str">
        <f>O11</f>
        <v>FT-HETCOABCO00</v>
      </c>
      <c r="D12" s="105" t="str">
        <f>P11</f>
        <v>Fuel Tech - BrownCoal/Lignite  (HET)</v>
      </c>
      <c r="E12" s="105" t="str">
        <f>Commodities!D9</f>
        <v>COABCO</v>
      </c>
      <c r="F12" s="91"/>
      <c r="G12" s="78">
        <v>1</v>
      </c>
      <c r="H12" s="78"/>
      <c r="I12" s="78"/>
      <c r="O12" s="77" t="str">
        <f>"FT-"&amp;Commodities!D87&amp;"00"</f>
        <v>FT-HETOILHFO00</v>
      </c>
      <c r="P12" s="77" t="s">
        <v>654</v>
      </c>
      <c r="Q12" s="77" t="s">
        <v>71</v>
      </c>
      <c r="R12" s="77" t="s">
        <v>666</v>
      </c>
    </row>
    <row r="13" spans="2:23" x14ac:dyDescent="0.25">
      <c r="B13" s="105"/>
      <c r="C13" s="105"/>
      <c r="D13" s="105"/>
      <c r="E13" s="105"/>
      <c r="F13" s="91" t="str">
        <f>"HET"&amp;E12</f>
        <v>HETCOABCO</v>
      </c>
      <c r="G13" s="105"/>
      <c r="H13" s="105"/>
      <c r="I13" s="105"/>
      <c r="O13" s="77" t="str">
        <f>"FT-"&amp;Commodities!D88&amp;"00"</f>
        <v>FT-HETGASNAT00</v>
      </c>
      <c r="P13" s="77" t="s">
        <v>651</v>
      </c>
      <c r="Q13" s="77" t="s">
        <v>71</v>
      </c>
      <c r="R13" s="77" t="s">
        <v>666</v>
      </c>
    </row>
    <row r="14" spans="2:23" x14ac:dyDescent="0.25">
      <c r="B14" s="105"/>
      <c r="C14" s="105" t="str">
        <f>O12</f>
        <v>FT-HETOILHFO00</v>
      </c>
      <c r="D14" s="105" t="str">
        <f>P12</f>
        <v>Fuel Tech -Fuel Oil (HET)</v>
      </c>
      <c r="E14" s="151" t="str">
        <f>Commodities!D14</f>
        <v>OILHFO</v>
      </c>
      <c r="F14" s="91"/>
      <c r="G14" s="78">
        <v>1</v>
      </c>
      <c r="H14" s="78"/>
      <c r="I14" s="78"/>
      <c r="M14" s="105" t="s">
        <v>633</v>
      </c>
      <c r="N14" s="105"/>
      <c r="O14" s="77" t="str">
        <f>"FT-"&amp;Commodities!D89&amp;"00"</f>
        <v>FT-HETBIOLOG00</v>
      </c>
      <c r="P14" s="77" t="s">
        <v>652</v>
      </c>
      <c r="Q14" s="77" t="s">
        <v>71</v>
      </c>
      <c r="R14" s="77" t="s">
        <v>666</v>
      </c>
    </row>
    <row r="15" spans="2:23" x14ac:dyDescent="0.25">
      <c r="B15" s="105"/>
      <c r="C15" s="105"/>
      <c r="D15" s="105"/>
      <c r="E15" s="151"/>
      <c r="F15" s="91" t="str">
        <f>"HET"&amp;E14</f>
        <v>HETOILHFO</v>
      </c>
      <c r="G15" s="78"/>
      <c r="H15" s="78"/>
      <c r="I15" s="78"/>
      <c r="M15" s="105" t="s">
        <v>633</v>
      </c>
      <c r="N15" s="105"/>
      <c r="O15" s="105" t="str">
        <f>"FT-"&amp;Commodities!D91&amp;"00"</f>
        <v>FT-HETBIOPLT00</v>
      </c>
      <c r="P15" s="105" t="s">
        <v>653</v>
      </c>
      <c r="Q15" s="105" t="s">
        <v>71</v>
      </c>
      <c r="R15" s="105" t="s">
        <v>666</v>
      </c>
      <c r="S15" s="105"/>
      <c r="T15" s="105"/>
      <c r="U15" s="105"/>
      <c r="W15" s="68"/>
    </row>
    <row r="16" spans="2:23" x14ac:dyDescent="0.25">
      <c r="B16" s="105"/>
      <c r="C16" s="105" t="str">
        <f>O10</f>
        <v>FT-HETCOASUB00</v>
      </c>
      <c r="D16" s="105" t="str">
        <f>P10</f>
        <v>Fuel Tech - Sub-bituminous coal (HET)</v>
      </c>
      <c r="E16" s="105" t="str">
        <f>Commodities!D8</f>
        <v>COASUB</v>
      </c>
      <c r="F16" s="91"/>
      <c r="G16" s="78">
        <v>1</v>
      </c>
      <c r="H16" s="78"/>
      <c r="I16" s="78"/>
      <c r="M16" s="105" t="s">
        <v>633</v>
      </c>
      <c r="N16" s="105"/>
      <c r="O16" s="105" t="s">
        <v>687</v>
      </c>
      <c r="P16" s="105" t="s">
        <v>688</v>
      </c>
      <c r="Q16" s="105" t="s">
        <v>71</v>
      </c>
      <c r="R16" s="105" t="s">
        <v>666</v>
      </c>
      <c r="S16" s="105" t="s">
        <v>251</v>
      </c>
      <c r="T16" s="105"/>
      <c r="U16" s="105"/>
      <c r="W16" s="68"/>
    </row>
    <row r="17" spans="1:23" x14ac:dyDescent="0.25">
      <c r="B17" s="105"/>
      <c r="C17" s="105"/>
      <c r="D17" s="105"/>
      <c r="E17" s="105"/>
      <c r="F17" s="91" t="str">
        <f>Commodities!D85</f>
        <v>HETCOASUB</v>
      </c>
      <c r="G17" s="105"/>
      <c r="H17" s="105"/>
      <c r="I17" s="105"/>
      <c r="M17" s="77" t="s">
        <v>625</v>
      </c>
      <c r="N17" s="105"/>
      <c r="O17" s="77" t="str">
        <f>"FT-"&amp;Commodities!$D$93&amp;"D00"</f>
        <v>FT-RSDLTHD00</v>
      </c>
      <c r="P17" s="77" t="s">
        <v>773</v>
      </c>
      <c r="Q17" s="77" t="s">
        <v>71</v>
      </c>
      <c r="R17" s="77" t="s">
        <v>666</v>
      </c>
      <c r="S17" s="77" t="s">
        <v>251</v>
      </c>
      <c r="W17" s="68"/>
    </row>
    <row r="18" spans="1:23" ht="13.8" x14ac:dyDescent="0.25">
      <c r="B18" s="105" t="s">
        <v>633</v>
      </c>
      <c r="C18" s="105"/>
      <c r="D18" s="105"/>
      <c r="E18" s="151"/>
      <c r="F18" s="91"/>
      <c r="G18" s="78"/>
      <c r="H18" s="78"/>
      <c r="I18" s="78"/>
      <c r="M18" s="105"/>
      <c r="N18" s="105"/>
      <c r="O18" s="77" t="str">
        <f>"FT-"&amp;Commodities!$D$93&amp;"M00"</f>
        <v>FT-RSDLTHM00</v>
      </c>
      <c r="P18" s="77" t="s">
        <v>774</v>
      </c>
      <c r="Q18" s="77" t="s">
        <v>71</v>
      </c>
      <c r="R18" s="77" t="s">
        <v>666</v>
      </c>
      <c r="S18" s="77" t="s">
        <v>251</v>
      </c>
      <c r="W18" s="11"/>
    </row>
    <row r="19" spans="1:23" x14ac:dyDescent="0.25">
      <c r="B19" s="105" t="s">
        <v>633</v>
      </c>
      <c r="C19" s="105"/>
      <c r="D19" s="105"/>
      <c r="E19" s="151"/>
      <c r="F19" s="91"/>
      <c r="G19" s="78"/>
      <c r="H19" s="78"/>
      <c r="I19" s="78"/>
      <c r="M19" s="105"/>
      <c r="N19" s="105"/>
      <c r="O19" s="77" t="str">
        <f>"FT-"&amp;Commodities!$D$93&amp;"S00"</f>
        <v>FT-RSDLTHS00</v>
      </c>
      <c r="P19" s="77" t="s">
        <v>775</v>
      </c>
      <c r="Q19" s="77" t="s">
        <v>71</v>
      </c>
      <c r="R19" s="77" t="s">
        <v>666</v>
      </c>
      <c r="S19" s="77" t="s">
        <v>251</v>
      </c>
    </row>
    <row r="20" spans="1:23" x14ac:dyDescent="0.25">
      <c r="B20" s="105" t="s">
        <v>633</v>
      </c>
      <c r="C20" s="105"/>
      <c r="D20" s="105"/>
      <c r="E20" s="105"/>
      <c r="F20" s="91"/>
      <c r="G20" s="78"/>
      <c r="H20" s="78"/>
      <c r="I20" s="78"/>
      <c r="M20" s="105"/>
      <c r="N20" s="105"/>
      <c r="O20" s="77" t="str">
        <f>"FT-"&amp;Commodities!$D$94&amp;"D00"</f>
        <v>FT-TERLTHD00</v>
      </c>
      <c r="P20" s="77" t="s">
        <v>799</v>
      </c>
      <c r="Q20" s="77" t="s">
        <v>71</v>
      </c>
      <c r="R20" s="77" t="s">
        <v>666</v>
      </c>
      <c r="S20" s="77" t="s">
        <v>251</v>
      </c>
    </row>
    <row r="21" spans="1:23" x14ac:dyDescent="0.25">
      <c r="B21" s="105" t="s">
        <v>633</v>
      </c>
      <c r="C21" s="105"/>
      <c r="D21" s="105"/>
      <c r="E21" s="105"/>
      <c r="F21" s="91"/>
      <c r="G21" s="105"/>
      <c r="H21" s="105"/>
      <c r="I21" s="105"/>
      <c r="M21" s="105"/>
      <c r="N21" s="105"/>
      <c r="O21" s="77" t="str">
        <f>"FT-"&amp;Commodities!$D$94&amp;"M00"</f>
        <v>FT-TERLTHM00</v>
      </c>
      <c r="P21" s="77" t="s">
        <v>800</v>
      </c>
      <c r="Q21" s="77" t="s">
        <v>71</v>
      </c>
      <c r="R21" s="77" t="s">
        <v>666</v>
      </c>
      <c r="S21" s="77" t="s">
        <v>251</v>
      </c>
    </row>
    <row r="22" spans="1:23" x14ac:dyDescent="0.25">
      <c r="B22" s="105" t="s">
        <v>633</v>
      </c>
      <c r="C22" s="105"/>
      <c r="D22" s="105"/>
      <c r="E22" s="151"/>
      <c r="F22" s="91"/>
      <c r="G22" s="78"/>
      <c r="H22" s="78"/>
      <c r="I22" s="78"/>
      <c r="M22" s="105"/>
      <c r="N22" s="105"/>
      <c r="O22" s="77" t="str">
        <f>"FT-"&amp;Commodities!$D$94&amp;"S00"</f>
        <v>FT-TERLTHS00</v>
      </c>
      <c r="P22" s="77" t="s">
        <v>801</v>
      </c>
      <c r="Q22" s="77" t="s">
        <v>71</v>
      </c>
      <c r="R22" s="77" t="s">
        <v>666</v>
      </c>
      <c r="S22" s="77" t="s">
        <v>251</v>
      </c>
    </row>
    <row r="23" spans="1:23" x14ac:dyDescent="0.25">
      <c r="B23" s="105" t="s">
        <v>633</v>
      </c>
      <c r="C23" s="105"/>
      <c r="D23" s="105"/>
      <c r="E23" s="151"/>
      <c r="F23" s="91"/>
      <c r="G23" s="78"/>
      <c r="H23" s="78"/>
      <c r="I23" s="78"/>
      <c r="M23" s="105"/>
      <c r="N23" s="105"/>
      <c r="O23" s="77" t="str">
        <f>"FT-"&amp;Commodities!$D$95&amp;"00"</f>
        <v>FT-INDHTH00</v>
      </c>
      <c r="P23" s="77" t="s">
        <v>661</v>
      </c>
      <c r="Q23" s="77" t="s">
        <v>71</v>
      </c>
      <c r="R23" s="77" t="s">
        <v>666</v>
      </c>
      <c r="S23" s="77" t="s">
        <v>251</v>
      </c>
      <c r="V23" s="105"/>
    </row>
    <row r="24" spans="1:23" x14ac:dyDescent="0.25">
      <c r="M24" s="77" t="s">
        <v>625</v>
      </c>
      <c r="N24" s="105"/>
      <c r="O24" s="77" t="str">
        <f>"FT-"&amp;Commodities!$D$96&amp;"00"</f>
        <v>FT-SUPHTH00</v>
      </c>
      <c r="P24" s="77" t="s">
        <v>662</v>
      </c>
      <c r="Q24" s="77" t="s">
        <v>71</v>
      </c>
      <c r="R24" s="77" t="s">
        <v>666</v>
      </c>
      <c r="S24" s="77" t="s">
        <v>251</v>
      </c>
      <c r="V24" s="105"/>
    </row>
    <row r="25" spans="1:23" x14ac:dyDescent="0.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77" t="str">
        <f>"FT-"&amp;Commodities!$D$97&amp;"00"</f>
        <v>FT-AGRLTH00</v>
      </c>
      <c r="P25" s="77" t="s">
        <v>663</v>
      </c>
      <c r="Q25" s="77" t="s">
        <v>71</v>
      </c>
      <c r="R25" s="77" t="s">
        <v>666</v>
      </c>
      <c r="S25" s="77" t="s">
        <v>251</v>
      </c>
      <c r="V25" s="105"/>
    </row>
    <row r="26" spans="1:23" x14ac:dyDescent="0.25">
      <c r="M26" s="105"/>
      <c r="N26" s="105"/>
      <c r="O26" s="77" t="str">
        <f>"FT-"&amp;Commodities!$D$93&amp;"D01"</f>
        <v>FT-RSDLTHD01</v>
      </c>
      <c r="P26" s="77" t="s">
        <v>776</v>
      </c>
      <c r="Q26" s="77" t="s">
        <v>71</v>
      </c>
      <c r="R26" s="77" t="s">
        <v>666</v>
      </c>
      <c r="S26" s="77" t="s">
        <v>251</v>
      </c>
    </row>
    <row r="27" spans="1:23" x14ac:dyDescent="0.25">
      <c r="M27" s="105"/>
      <c r="N27" s="105"/>
      <c r="O27" s="77" t="str">
        <f>"FT-"&amp;Commodities!$D$93&amp;"M01"</f>
        <v>FT-RSDLTHM01</v>
      </c>
      <c r="P27" s="77" t="s">
        <v>777</v>
      </c>
      <c r="Q27" s="77" t="s">
        <v>71</v>
      </c>
      <c r="R27" s="77" t="s">
        <v>666</v>
      </c>
      <c r="S27" s="77" t="s">
        <v>251</v>
      </c>
    </row>
    <row r="28" spans="1:23" ht="15.6" x14ac:dyDescent="0.3">
      <c r="B28" s="18" t="s">
        <v>664</v>
      </c>
      <c r="M28" s="105"/>
      <c r="N28" s="105"/>
      <c r="O28" s="77" t="str">
        <f>"FT-"&amp;Commodities!$D$93&amp;"S01"</f>
        <v>FT-RSDLTHS01</v>
      </c>
      <c r="P28" s="77" t="s">
        <v>778</v>
      </c>
      <c r="Q28" s="77" t="s">
        <v>71</v>
      </c>
      <c r="R28" s="77" t="s">
        <v>666</v>
      </c>
      <c r="S28" s="77" t="s">
        <v>251</v>
      </c>
    </row>
    <row r="29" spans="1:23" x14ac:dyDescent="0.25">
      <c r="M29" s="105"/>
      <c r="N29" s="105"/>
      <c r="O29" s="77" t="str">
        <f>"FT-"&amp;Commodities!$D$94&amp;"D01"</f>
        <v>FT-TERLTHD01</v>
      </c>
      <c r="P29" s="77" t="s">
        <v>802</v>
      </c>
      <c r="Q29" s="77" t="s">
        <v>71</v>
      </c>
      <c r="R29" s="77" t="s">
        <v>666</v>
      </c>
      <c r="S29" s="77" t="s">
        <v>251</v>
      </c>
    </row>
    <row r="30" spans="1:23" x14ac:dyDescent="0.25">
      <c r="M30" s="105"/>
      <c r="N30" s="105"/>
      <c r="O30" s="77" t="str">
        <f>"FT-"&amp;Commodities!$D$94&amp;"M01"</f>
        <v>FT-TERLTHM01</v>
      </c>
      <c r="P30" s="77" t="s">
        <v>803</v>
      </c>
      <c r="Q30" s="77" t="s">
        <v>71</v>
      </c>
      <c r="R30" s="77" t="s">
        <v>666</v>
      </c>
      <c r="S30" s="77" t="s">
        <v>251</v>
      </c>
    </row>
    <row r="31" spans="1:23" x14ac:dyDescent="0.25">
      <c r="M31" s="105"/>
      <c r="N31" s="105"/>
      <c r="O31" s="77" t="str">
        <f>"FT-"&amp;Commodities!$D$94&amp;"S01"</f>
        <v>FT-TERLTHS01</v>
      </c>
      <c r="P31" s="77" t="s">
        <v>804</v>
      </c>
      <c r="Q31" s="77" t="s">
        <v>71</v>
      </c>
      <c r="R31" s="77" t="s">
        <v>666</v>
      </c>
      <c r="S31" s="77" t="s">
        <v>251</v>
      </c>
    </row>
    <row r="32" spans="1:23" x14ac:dyDescent="0.25">
      <c r="E32" s="14" t="s">
        <v>15</v>
      </c>
      <c r="G32" s="70"/>
    </row>
    <row r="33" spans="1:12" ht="13.8" x14ac:dyDescent="0.25">
      <c r="B33" s="44" t="s">
        <v>1</v>
      </c>
      <c r="C33" s="44" t="s">
        <v>44</v>
      </c>
      <c r="D33" s="44" t="s">
        <v>7</v>
      </c>
      <c r="E33" s="45" t="s">
        <v>8</v>
      </c>
      <c r="F33" s="79" t="s">
        <v>17</v>
      </c>
      <c r="G33" s="79" t="s">
        <v>3</v>
      </c>
      <c r="H33" s="313" t="s">
        <v>794</v>
      </c>
      <c r="I33" s="79" t="s">
        <v>515</v>
      </c>
      <c r="J33" s="79" t="s">
        <v>779</v>
      </c>
      <c r="K33" s="79" t="s">
        <v>814</v>
      </c>
    </row>
    <row r="34" spans="1:12" ht="27" thickBot="1" x14ac:dyDescent="0.3">
      <c r="B34" s="291" t="s">
        <v>621</v>
      </c>
      <c r="C34" s="291" t="s">
        <v>26</v>
      </c>
      <c r="D34" s="291" t="s">
        <v>36</v>
      </c>
      <c r="E34" s="297" t="s">
        <v>37</v>
      </c>
      <c r="F34" s="291" t="s">
        <v>38</v>
      </c>
      <c r="G34" s="291" t="s">
        <v>43</v>
      </c>
      <c r="H34" s="24" t="s">
        <v>795</v>
      </c>
      <c r="I34" s="291" t="s">
        <v>782</v>
      </c>
      <c r="J34" s="291"/>
      <c r="K34" s="291"/>
    </row>
    <row r="35" spans="1:12" ht="13.8" x14ac:dyDescent="0.25">
      <c r="B35" s="101"/>
      <c r="C35" s="102"/>
      <c r="D35" s="102"/>
      <c r="E35" s="298" t="s">
        <v>495</v>
      </c>
      <c r="F35" s="102" t="s">
        <v>498</v>
      </c>
      <c r="G35" s="102" t="s">
        <v>781</v>
      </c>
      <c r="H35" s="29" t="s">
        <v>796</v>
      </c>
      <c r="I35" s="102" t="s">
        <v>770</v>
      </c>
      <c r="J35" s="102"/>
      <c r="K35" s="102"/>
    </row>
    <row r="36" spans="1:12" x14ac:dyDescent="0.25">
      <c r="B36" s="105" t="str">
        <f>O17</f>
        <v>FT-RSDLTHD00</v>
      </c>
      <c r="C36" s="168" t="str">
        <f>P17</f>
        <v>FT-Heat in Residential (RSD) - Dense</v>
      </c>
      <c r="D36" s="105" t="str">
        <f>Commodities!$D$83</f>
        <v>HETHTH</v>
      </c>
      <c r="E36" s="91"/>
      <c r="F36" s="314">
        <v>0.85</v>
      </c>
      <c r="G36" s="315">
        <f>10/100</f>
        <v>0.1</v>
      </c>
      <c r="H36" s="316"/>
      <c r="I36" s="316"/>
      <c r="J36" s="316"/>
      <c r="K36" s="316"/>
    </row>
    <row r="37" spans="1:12" x14ac:dyDescent="0.25">
      <c r="B37" s="86"/>
      <c r="C37" s="105"/>
      <c r="D37" s="86"/>
      <c r="E37" s="185" t="str">
        <f>Commodities!$D$93</f>
        <v>RSDLTH</v>
      </c>
      <c r="F37" s="321"/>
      <c r="G37" s="153"/>
      <c r="H37" s="105"/>
      <c r="I37" s="105"/>
      <c r="J37" s="105"/>
      <c r="K37" s="105"/>
    </row>
    <row r="38" spans="1:12" x14ac:dyDescent="0.25">
      <c r="B38" s="105" t="str">
        <f>O18</f>
        <v>FT-RSDLTHM00</v>
      </c>
      <c r="C38" s="168" t="str">
        <f>P18</f>
        <v>FT-Heat in Residential (RSD) - Medium</v>
      </c>
      <c r="D38" s="105" t="str">
        <f>D36</f>
        <v>HETHTH</v>
      </c>
      <c r="E38" s="91"/>
      <c r="F38" s="314">
        <v>0.8</v>
      </c>
      <c r="G38" s="315">
        <f>20/100</f>
        <v>0.2</v>
      </c>
      <c r="H38" s="316"/>
      <c r="I38" s="316"/>
      <c r="J38" s="317">
        <v>2100</v>
      </c>
      <c r="K38" s="316"/>
    </row>
    <row r="39" spans="1:12" x14ac:dyDescent="0.25">
      <c r="B39" s="86"/>
      <c r="C39" s="105"/>
      <c r="D39" s="86"/>
      <c r="E39" s="185" t="str">
        <f>E37</f>
        <v>RSDLTH</v>
      </c>
      <c r="F39" s="321"/>
      <c r="G39" s="153"/>
      <c r="H39" s="105"/>
      <c r="I39" s="105"/>
      <c r="J39" s="61"/>
      <c r="K39" s="105"/>
    </row>
    <row r="40" spans="1:12" x14ac:dyDescent="0.25">
      <c r="B40" s="105" t="str">
        <f>O19</f>
        <v>FT-RSDLTHS00</v>
      </c>
      <c r="C40" s="168" t="str">
        <f>P19</f>
        <v>FT-Heat in Residential (RSD) - Sparse</v>
      </c>
      <c r="D40" s="105" t="str">
        <f>D38</f>
        <v>HETHTH</v>
      </c>
      <c r="E40" s="91"/>
      <c r="F40" s="314">
        <v>0.75</v>
      </c>
      <c r="G40" s="315">
        <f>35/100</f>
        <v>0.35</v>
      </c>
      <c r="H40" s="316"/>
      <c r="I40" s="316"/>
      <c r="J40" s="317">
        <v>2100</v>
      </c>
      <c r="K40" s="316"/>
    </row>
    <row r="41" spans="1:12" x14ac:dyDescent="0.25">
      <c r="B41" s="105"/>
      <c r="C41" s="105"/>
      <c r="D41" s="86"/>
      <c r="E41" s="185" t="str">
        <f>E39</f>
        <v>RSDLTH</v>
      </c>
      <c r="F41" s="321"/>
      <c r="G41" s="153"/>
      <c r="H41" s="105"/>
      <c r="I41" s="105"/>
      <c r="J41" s="61"/>
      <c r="K41" s="105"/>
    </row>
    <row r="42" spans="1:12" x14ac:dyDescent="0.25">
      <c r="B42" s="168" t="str">
        <f>O20</f>
        <v>FT-TERLTHD00</v>
      </c>
      <c r="C42" s="168" t="str">
        <f>P20</f>
        <v>FT-Heat in Tertiary (TER) - Dense</v>
      </c>
      <c r="D42" s="105" t="str">
        <f>Commodities!$D$83</f>
        <v>HETHTH</v>
      </c>
      <c r="E42" s="91"/>
      <c r="F42" s="314">
        <v>0.85</v>
      </c>
      <c r="G42" s="315">
        <f>10/100</f>
        <v>0.1</v>
      </c>
      <c r="H42" s="316"/>
      <c r="I42" s="316"/>
      <c r="J42" s="317"/>
      <c r="K42" s="316"/>
    </row>
    <row r="43" spans="1:12" x14ac:dyDescent="0.25">
      <c r="B43" s="86"/>
      <c r="C43" s="86"/>
      <c r="D43" s="86"/>
      <c r="E43" s="185" t="str">
        <f>Commodities!$D$94</f>
        <v>TERLTH</v>
      </c>
      <c r="F43" s="321"/>
      <c r="G43" s="153"/>
      <c r="H43" s="86"/>
      <c r="I43" s="86"/>
      <c r="J43" s="64"/>
      <c r="K43" s="86"/>
    </row>
    <row r="44" spans="1:12" x14ac:dyDescent="0.25">
      <c r="B44" s="105" t="str">
        <f>O21</f>
        <v>FT-TERLTHM00</v>
      </c>
      <c r="C44" s="105" t="str">
        <f>P21</f>
        <v>FT-Heat in Tertiary (TER) - Medium</v>
      </c>
      <c r="D44" s="105" t="str">
        <f>D42</f>
        <v>HETHTH</v>
      </c>
      <c r="E44" s="91"/>
      <c r="F44" s="314">
        <v>0.8</v>
      </c>
      <c r="G44" s="315">
        <f>20/100</f>
        <v>0.2</v>
      </c>
      <c r="H44" s="105"/>
      <c r="I44" s="105"/>
      <c r="J44" s="61">
        <v>2100</v>
      </c>
      <c r="K44" s="105"/>
    </row>
    <row r="45" spans="1:12" x14ac:dyDescent="0.25">
      <c r="B45" s="86"/>
      <c r="C45" s="86"/>
      <c r="D45" s="86"/>
      <c r="E45" s="185" t="str">
        <f>E43</f>
        <v>TERLTH</v>
      </c>
      <c r="F45" s="321"/>
      <c r="G45" s="153"/>
      <c r="H45" s="86"/>
      <c r="I45" s="86"/>
      <c r="J45" s="64"/>
      <c r="K45" s="86"/>
    </row>
    <row r="46" spans="1:12" x14ac:dyDescent="0.25">
      <c r="B46" s="105" t="str">
        <f>O22</f>
        <v>FT-TERLTHS00</v>
      </c>
      <c r="C46" s="105" t="str">
        <f>P22</f>
        <v>FT-Heat in Tertiary (TER) - Sparse</v>
      </c>
      <c r="D46" s="105" t="str">
        <f>D44</f>
        <v>HETHTH</v>
      </c>
      <c r="E46" s="91"/>
      <c r="F46" s="314">
        <v>0.75</v>
      </c>
      <c r="G46" s="315">
        <f>35/100</f>
        <v>0.35</v>
      </c>
      <c r="H46" s="105"/>
      <c r="I46" s="105"/>
      <c r="J46" s="61">
        <v>2100</v>
      </c>
      <c r="K46" s="105"/>
    </row>
    <row r="47" spans="1:12" ht="13.8" thickBot="1" x14ac:dyDescent="0.3">
      <c r="A47" s="322"/>
      <c r="B47" s="322"/>
      <c r="C47" s="322"/>
      <c r="D47" s="322"/>
      <c r="E47" s="318" t="str">
        <f>E45</f>
        <v>TERLTH</v>
      </c>
      <c r="F47" s="323"/>
      <c r="G47" s="322"/>
      <c r="H47" s="322"/>
      <c r="I47" s="322"/>
      <c r="J47" s="322"/>
      <c r="K47" s="322"/>
      <c r="L47" s="105"/>
    </row>
    <row r="48" spans="1:12" ht="13.8" thickTop="1" x14ac:dyDescent="0.25">
      <c r="B48" s="105" t="str">
        <f>O23</f>
        <v>FT-INDHTH00</v>
      </c>
      <c r="C48" s="105" t="str">
        <f>P23</f>
        <v>FT-Industrial Heat (IND)</v>
      </c>
      <c r="D48" s="105" t="str">
        <f>D46</f>
        <v>HETHTH</v>
      </c>
      <c r="E48" s="91"/>
      <c r="F48" s="114">
        <v>0.9</v>
      </c>
      <c r="G48" s="78"/>
      <c r="H48" s="78"/>
      <c r="I48" s="78">
        <v>5</v>
      </c>
      <c r="J48" s="78"/>
      <c r="K48" s="78"/>
    </row>
    <row r="49" spans="1:12" x14ac:dyDescent="0.25">
      <c r="B49" s="105"/>
      <c r="C49" s="105"/>
      <c r="D49" s="86"/>
      <c r="E49" s="185" t="str">
        <f>Commodities!D95</f>
        <v>INDHTH</v>
      </c>
      <c r="F49" s="321"/>
      <c r="G49" s="105"/>
      <c r="H49" s="105"/>
      <c r="I49" s="105"/>
      <c r="J49" s="105"/>
      <c r="K49" s="105"/>
    </row>
    <row r="50" spans="1:12" x14ac:dyDescent="0.25">
      <c r="B50" s="168" t="str">
        <f>O24</f>
        <v>FT-SUPHTH00</v>
      </c>
      <c r="C50" s="168" t="str">
        <f>P24</f>
        <v>FT-Supply Heat (SUP)</v>
      </c>
      <c r="D50" s="105" t="str">
        <f>Commodities!$D$83</f>
        <v>HETHTH</v>
      </c>
      <c r="E50" s="91"/>
      <c r="F50" s="314">
        <v>0.9</v>
      </c>
      <c r="G50" s="316"/>
      <c r="H50" s="316"/>
      <c r="I50" s="316">
        <v>3</v>
      </c>
      <c r="J50" s="316"/>
      <c r="K50" s="316"/>
    </row>
    <row r="51" spans="1:12" x14ac:dyDescent="0.25">
      <c r="B51" s="86"/>
      <c r="C51" s="86"/>
      <c r="D51" s="86"/>
      <c r="E51" s="185" t="str">
        <f>Commodities!$D$96</f>
        <v>SUPHTH</v>
      </c>
      <c r="F51" s="324"/>
      <c r="G51" s="86"/>
      <c r="H51" s="86"/>
      <c r="I51" s="86"/>
      <c r="J51" s="86"/>
      <c r="K51" s="86"/>
    </row>
    <row r="52" spans="1:12" x14ac:dyDescent="0.25">
      <c r="B52" s="168" t="str">
        <f>O25</f>
        <v>FT-AGRLTH00</v>
      </c>
      <c r="C52" s="168" t="str">
        <f>P25</f>
        <v>FT-Heat in Agriculture (AGR)</v>
      </c>
      <c r="D52" s="105" t="str">
        <f>Commodities!$D$83</f>
        <v>HETHTH</v>
      </c>
      <c r="E52" s="91"/>
      <c r="F52" s="314">
        <f>F42</f>
        <v>0.85</v>
      </c>
      <c r="G52" s="316"/>
      <c r="H52" s="316"/>
      <c r="I52" s="316">
        <v>10</v>
      </c>
      <c r="J52" s="316">
        <v>2100</v>
      </c>
      <c r="K52" s="316"/>
    </row>
    <row r="53" spans="1:12" ht="13.8" thickBot="1" x14ac:dyDescent="0.3">
      <c r="A53" s="322"/>
      <c r="B53" s="322"/>
      <c r="C53" s="322"/>
      <c r="D53" s="322"/>
      <c r="E53" s="318" t="str">
        <f>Commodities!$D$97</f>
        <v>AGRLTH</v>
      </c>
      <c r="F53" s="323"/>
      <c r="G53" s="322"/>
      <c r="H53" s="322"/>
      <c r="I53" s="322"/>
      <c r="J53" s="322"/>
      <c r="K53" s="322"/>
      <c r="L53" s="105"/>
    </row>
    <row r="54" spans="1:12" ht="13.8" thickTop="1" x14ac:dyDescent="0.25">
      <c r="B54" s="105" t="str">
        <f>O26</f>
        <v>FT-RSDLTHD01</v>
      </c>
      <c r="C54" s="105" t="str">
        <f>P26</f>
        <v>FT-Heat in Residential (RSD) - Dense New</v>
      </c>
      <c r="D54" s="105" t="str">
        <f>D36</f>
        <v>HETHTH</v>
      </c>
      <c r="E54" s="91"/>
      <c r="F54" s="319">
        <f>F36*1.05</f>
        <v>0.89249999999999996</v>
      </c>
      <c r="G54" s="315">
        <f>10/100</f>
        <v>0.1</v>
      </c>
      <c r="H54" s="78">
        <v>30</v>
      </c>
      <c r="I54" s="78">
        <v>10</v>
      </c>
      <c r="J54" s="58">
        <v>2018</v>
      </c>
      <c r="K54" s="78"/>
    </row>
    <row r="55" spans="1:12" x14ac:dyDescent="0.25">
      <c r="B55" s="86"/>
      <c r="C55" s="105"/>
      <c r="D55" s="86"/>
      <c r="E55" s="185" t="str">
        <f>E37</f>
        <v>RSDLTH</v>
      </c>
      <c r="F55" s="319"/>
      <c r="G55" s="153"/>
      <c r="H55" s="78"/>
      <c r="I55" s="86"/>
      <c r="J55" s="86"/>
      <c r="K55" s="86"/>
    </row>
    <row r="56" spans="1:12" x14ac:dyDescent="0.25">
      <c r="B56" s="105" t="str">
        <f>O27</f>
        <v>FT-RSDLTHM01</v>
      </c>
      <c r="C56" s="168" t="str">
        <f>P27</f>
        <v>FT-Heat in Residential (RSD) - Medium New</v>
      </c>
      <c r="D56" s="105" t="str">
        <f>D54</f>
        <v>HETHTH</v>
      </c>
      <c r="E56" s="91"/>
      <c r="F56" s="320">
        <f>F38*1.05</f>
        <v>0.84000000000000008</v>
      </c>
      <c r="G56" s="315">
        <f>20/100</f>
        <v>0.2</v>
      </c>
      <c r="H56" s="316">
        <v>30</v>
      </c>
      <c r="I56" s="78">
        <v>20</v>
      </c>
      <c r="J56" s="58">
        <v>2018</v>
      </c>
      <c r="K56" s="78"/>
    </row>
    <row r="57" spans="1:12" x14ac:dyDescent="0.25">
      <c r="B57" s="86"/>
      <c r="C57" s="105"/>
      <c r="D57" s="86"/>
      <c r="E57" s="185" t="str">
        <f>E55</f>
        <v>RSDLTH</v>
      </c>
      <c r="F57" s="319"/>
      <c r="G57" s="153"/>
      <c r="H57" s="78"/>
      <c r="I57" s="86"/>
      <c r="J57" s="86"/>
      <c r="K57" s="86"/>
    </row>
    <row r="58" spans="1:12" x14ac:dyDescent="0.25">
      <c r="B58" s="105" t="str">
        <f>O28</f>
        <v>FT-RSDLTHS01</v>
      </c>
      <c r="C58" s="168" t="str">
        <f>P28</f>
        <v>FT-Heat in Residential (RSD) - Sparse New</v>
      </c>
      <c r="D58" s="105" t="str">
        <f>D56</f>
        <v>HETHTH</v>
      </c>
      <c r="E58" s="91"/>
      <c r="F58" s="320">
        <f>F40*1.05</f>
        <v>0.78750000000000009</v>
      </c>
      <c r="G58" s="315">
        <f>35/100</f>
        <v>0.35</v>
      </c>
      <c r="H58" s="316">
        <v>30</v>
      </c>
      <c r="I58" s="78">
        <v>35</v>
      </c>
      <c r="J58" s="58">
        <v>2100</v>
      </c>
      <c r="K58" s="78"/>
    </row>
    <row r="59" spans="1:12" x14ac:dyDescent="0.25">
      <c r="B59" s="105"/>
      <c r="C59" s="105"/>
      <c r="D59" s="86"/>
      <c r="E59" s="185" t="str">
        <f>E57</f>
        <v>RSDLTH</v>
      </c>
      <c r="F59" s="319"/>
      <c r="G59" s="153"/>
      <c r="H59" s="78"/>
      <c r="I59" s="64"/>
      <c r="J59" s="86"/>
      <c r="K59" s="86"/>
    </row>
    <row r="60" spans="1:12" x14ac:dyDescent="0.25">
      <c r="B60" s="168" t="str">
        <f>O29</f>
        <v>FT-TERLTHD01</v>
      </c>
      <c r="C60" s="168" t="str">
        <f>P29</f>
        <v>FT-Heat in Tertiary (TER) - Dense New</v>
      </c>
      <c r="D60" s="105" t="str">
        <f>D58</f>
        <v>HETHTH</v>
      </c>
      <c r="E60" s="91"/>
      <c r="F60" s="320">
        <f>F42*1.05</f>
        <v>0.89249999999999996</v>
      </c>
      <c r="G60" s="315">
        <f>10/100</f>
        <v>0.1</v>
      </c>
      <c r="H60" s="316">
        <v>30</v>
      </c>
      <c r="I60" s="78">
        <v>10</v>
      </c>
      <c r="J60" s="58">
        <v>2018</v>
      </c>
      <c r="K60" s="78"/>
    </row>
    <row r="61" spans="1:12" x14ac:dyDescent="0.25">
      <c r="B61" s="86"/>
      <c r="C61" s="86"/>
      <c r="D61" s="86"/>
      <c r="E61" s="185" t="str">
        <f>E43</f>
        <v>TERLTH</v>
      </c>
      <c r="F61" s="325"/>
      <c r="G61" s="153"/>
      <c r="H61" s="67"/>
      <c r="I61" s="86"/>
      <c r="J61" s="86"/>
      <c r="K61" s="86"/>
    </row>
    <row r="62" spans="1:12" x14ac:dyDescent="0.25">
      <c r="B62" s="105" t="str">
        <f>O30</f>
        <v>FT-TERLTHM01</v>
      </c>
      <c r="C62" s="105" t="str">
        <f>P30</f>
        <v>FT-Heat in Tertiary (TER) - Medium New</v>
      </c>
      <c r="D62" s="105" t="str">
        <f>D60</f>
        <v>HETHTH</v>
      </c>
      <c r="E62" s="91"/>
      <c r="F62" s="319">
        <f>F44*1.05</f>
        <v>0.84000000000000008</v>
      </c>
      <c r="G62" s="315">
        <f>20/100</f>
        <v>0.2</v>
      </c>
      <c r="H62" s="78">
        <v>30</v>
      </c>
      <c r="I62" s="78">
        <v>20</v>
      </c>
      <c r="J62" s="58">
        <v>2018</v>
      </c>
      <c r="K62" s="78"/>
    </row>
    <row r="63" spans="1:12" x14ac:dyDescent="0.25">
      <c r="B63" s="86"/>
      <c r="C63" s="86"/>
      <c r="D63" s="86"/>
      <c r="E63" s="185" t="str">
        <f>E45</f>
        <v>TERLTH</v>
      </c>
      <c r="F63" s="325"/>
      <c r="G63" s="153"/>
      <c r="H63" s="67"/>
      <c r="I63" s="67"/>
      <c r="J63" s="86"/>
      <c r="K63" s="86"/>
    </row>
    <row r="64" spans="1:12" x14ac:dyDescent="0.25">
      <c r="B64" s="105" t="str">
        <f>O31</f>
        <v>FT-TERLTHS01</v>
      </c>
      <c r="C64" s="105" t="str">
        <f>P31</f>
        <v>FT-Heat in Tertiary (TER) - Sparse New</v>
      </c>
      <c r="D64" s="105" t="str">
        <f>D62</f>
        <v>HETHTH</v>
      </c>
      <c r="E64" s="91"/>
      <c r="F64" s="319">
        <f>F46*1.05</f>
        <v>0.78750000000000009</v>
      </c>
      <c r="G64" s="315">
        <f>35/100</f>
        <v>0.35</v>
      </c>
      <c r="H64" s="78">
        <v>30</v>
      </c>
      <c r="I64" s="78">
        <v>35</v>
      </c>
      <c r="J64" s="58">
        <v>2100</v>
      </c>
      <c r="K64" s="78"/>
    </row>
    <row r="65" spans="2:11" x14ac:dyDescent="0.25">
      <c r="B65" s="86"/>
      <c r="C65" s="86"/>
      <c r="D65" s="86"/>
      <c r="E65" s="185" t="str">
        <f>E47</f>
        <v>TERLTH</v>
      </c>
      <c r="F65" s="64"/>
      <c r="G65" s="86"/>
      <c r="H65" s="86"/>
      <c r="I65" s="86"/>
      <c r="J65" s="86"/>
      <c r="K65" s="86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2:W31"/>
  <sheetViews>
    <sheetView tabSelected="1" zoomScale="85" zoomScaleNormal="85" workbookViewId="0">
      <selection sqref="A1:XFD1048576"/>
    </sheetView>
  </sheetViews>
  <sheetFormatPr defaultRowHeight="13.2" x14ac:dyDescent="0.25"/>
  <cols>
    <col min="1" max="1" width="8.88671875" style="77"/>
    <col min="2" max="2" width="11.33203125" style="77" bestFit="1" customWidth="1"/>
    <col min="3" max="3" width="11.5546875" style="77" bestFit="1" customWidth="1"/>
    <col min="4" max="4" width="12.44140625" style="77" bestFit="1" customWidth="1"/>
    <col min="5" max="5" width="12.5546875" style="77" bestFit="1" customWidth="1"/>
    <col min="6" max="6" width="11" style="77" bestFit="1" customWidth="1"/>
    <col min="7" max="7" width="11.33203125" style="77" bestFit="1" customWidth="1"/>
    <col min="8" max="8" width="12.109375" style="77" bestFit="1" customWidth="1"/>
    <col min="9" max="9" width="11.5546875" style="77" bestFit="1" customWidth="1"/>
    <col min="10" max="11" width="11.33203125" style="77" bestFit="1" customWidth="1"/>
    <col min="12" max="12" width="9" style="77" bestFit="1" customWidth="1"/>
    <col min="13" max="13" width="8.6640625" style="77" bestFit="1" customWidth="1"/>
    <col min="14" max="14" width="8.88671875" style="77" bestFit="1" customWidth="1"/>
    <col min="15" max="15" width="12.109375" style="77" bestFit="1" customWidth="1"/>
    <col min="16" max="16" width="8.5546875" style="77" bestFit="1" customWidth="1"/>
    <col min="17" max="17" width="8.88671875" style="77" bestFit="1" customWidth="1"/>
    <col min="18" max="18" width="8.6640625" style="77" bestFit="1" customWidth="1"/>
    <col min="19" max="16384" width="8.88671875" style="77"/>
  </cols>
  <sheetData>
    <row r="2" spans="1:23" ht="12.75" customHeight="1" x14ac:dyDescent="0.25">
      <c r="B2" s="14" t="s">
        <v>18</v>
      </c>
    </row>
    <row r="3" spans="1:23" ht="26.4" x14ac:dyDescent="0.25">
      <c r="B3" s="331" t="s">
        <v>0</v>
      </c>
      <c r="C3" s="326" t="str">
        <f>Commodities!$D52</f>
        <v>ELECOABIC</v>
      </c>
      <c r="D3" s="326" t="str">
        <f>Commodities!$D53</f>
        <v>ELECOASUB</v>
      </c>
      <c r="E3" s="326" t="str">
        <f>Commodities!$D54</f>
        <v>ELECOABCO</v>
      </c>
      <c r="F3" s="326" t="str">
        <f>Commodities!$D55</f>
        <v>ELEOILDSL</v>
      </c>
      <c r="G3" s="326" t="str">
        <f>Commodities!$D56</f>
        <v>ELEOILHFO</v>
      </c>
      <c r="H3" s="326" t="str">
        <f>Commodities!$D57</f>
        <v>ELEGASNAT</v>
      </c>
      <c r="I3" s="326" t="str">
        <f>Commodities!$D58</f>
        <v>ELEBIOLOG</v>
      </c>
      <c r="J3" s="326" t="str">
        <f>Commodities!$D59</f>
        <v>ELEBIOWMU</v>
      </c>
      <c r="K3" s="326" t="str">
        <f>Commodities!$D60</f>
        <v>ELEBIOWID</v>
      </c>
      <c r="L3" s="326" t="str">
        <f>Commodities!$D61</f>
        <v>ELEBIOBGS</v>
      </c>
      <c r="M3" s="326" t="s">
        <v>655</v>
      </c>
      <c r="N3" s="326" t="s">
        <v>646</v>
      </c>
      <c r="O3" s="326" t="s">
        <v>634</v>
      </c>
      <c r="P3" s="326" t="s">
        <v>742</v>
      </c>
      <c r="Q3" s="326" t="s">
        <v>740</v>
      </c>
      <c r="R3" s="326" t="s">
        <v>635</v>
      </c>
    </row>
    <row r="4" spans="1:23" ht="12.75" customHeight="1" thickBot="1" x14ac:dyDescent="0.3">
      <c r="B4" s="327" t="s">
        <v>90</v>
      </c>
      <c r="C4" s="328" t="s">
        <v>105</v>
      </c>
      <c r="D4" s="328" t="s">
        <v>105</v>
      </c>
      <c r="E4" s="328" t="s">
        <v>105</v>
      </c>
      <c r="F4" s="328" t="s">
        <v>105</v>
      </c>
      <c r="G4" s="328" t="s">
        <v>105</v>
      </c>
      <c r="H4" s="328" t="s">
        <v>105</v>
      </c>
      <c r="I4" s="328" t="s">
        <v>105</v>
      </c>
      <c r="J4" s="328" t="s">
        <v>105</v>
      </c>
      <c r="K4" s="328" t="s">
        <v>105</v>
      </c>
      <c r="L4" s="328" t="s">
        <v>105</v>
      </c>
      <c r="M4" s="328" t="s">
        <v>105</v>
      </c>
      <c r="N4" s="328" t="s">
        <v>105</v>
      </c>
      <c r="O4" s="328" t="s">
        <v>105</v>
      </c>
      <c r="P4" s="328" t="s">
        <v>105</v>
      </c>
      <c r="Q4" s="328" t="s">
        <v>105</v>
      </c>
      <c r="R4" s="328" t="s">
        <v>105</v>
      </c>
    </row>
    <row r="5" spans="1:23" ht="15.75" customHeight="1" x14ac:dyDescent="0.3">
      <c r="B5" s="77" t="str">
        <f>Commodities!O7</f>
        <v>ELECO2</v>
      </c>
      <c r="C5" s="329">
        <v>97</v>
      </c>
      <c r="D5" s="329">
        <v>97</v>
      </c>
      <c r="E5" s="329">
        <v>101</v>
      </c>
      <c r="F5" s="329">
        <v>74.099999999999994</v>
      </c>
      <c r="G5" s="329">
        <f>77.4</f>
        <v>77.400000000000006</v>
      </c>
      <c r="H5" s="329">
        <v>56.1</v>
      </c>
      <c r="I5" s="329">
        <v>0</v>
      </c>
      <c r="J5" s="330">
        <v>91.7</v>
      </c>
      <c r="K5" s="330">
        <v>143</v>
      </c>
      <c r="L5" s="330">
        <v>54.6</v>
      </c>
      <c r="M5" s="329">
        <f>77.4</f>
        <v>77.400000000000006</v>
      </c>
      <c r="N5" s="329">
        <v>63.1</v>
      </c>
      <c r="O5" s="329">
        <v>56.1</v>
      </c>
      <c r="P5" s="329">
        <v>97</v>
      </c>
      <c r="Q5" s="330">
        <v>101</v>
      </c>
      <c r="R5" s="329">
        <v>0</v>
      </c>
    </row>
    <row r="6" spans="1:23" ht="15.6" x14ac:dyDescent="0.3">
      <c r="B6" s="77" t="str">
        <f>Commodities!O8</f>
        <v>ELECH4</v>
      </c>
      <c r="C6" s="329">
        <f>(1/1000)*28</f>
        <v>2.8000000000000001E-2</v>
      </c>
      <c r="D6" s="329">
        <f>(1/1000)*28</f>
        <v>2.8000000000000001E-2</v>
      </c>
      <c r="E6" s="329">
        <f>(1/1000)*28</f>
        <v>2.8000000000000001E-2</v>
      </c>
      <c r="F6" s="329">
        <f>(3/1000)*28</f>
        <v>8.4000000000000005E-2</v>
      </c>
      <c r="G6" s="329">
        <f>(3/1000)*28</f>
        <v>8.4000000000000005E-2</v>
      </c>
      <c r="H6" s="329">
        <f>(1/1000)*28</f>
        <v>2.8000000000000001E-2</v>
      </c>
      <c r="I6" s="329">
        <f>(30/1000)*28</f>
        <v>0.84</v>
      </c>
      <c r="J6" s="330">
        <f>(30/1000)*28</f>
        <v>0.84</v>
      </c>
      <c r="K6" s="330">
        <f>(30/1000)*28</f>
        <v>0.84</v>
      </c>
      <c r="L6" s="330">
        <f>(1/1000)*28</f>
        <v>2.8000000000000001E-2</v>
      </c>
      <c r="M6" s="329">
        <f>(3/1000)*28</f>
        <v>8.4000000000000005E-2</v>
      </c>
      <c r="N6" s="329">
        <f>(1/1000)*28</f>
        <v>2.8000000000000001E-2</v>
      </c>
      <c r="O6" s="329">
        <f>(1/1000)*28</f>
        <v>2.8000000000000001E-2</v>
      </c>
      <c r="P6" s="329">
        <f>(1/1000)*28</f>
        <v>2.8000000000000001E-2</v>
      </c>
      <c r="Q6" s="330">
        <v>2.8000000000000001E-2</v>
      </c>
      <c r="R6" s="329">
        <f>(30/1000)*28</f>
        <v>0.84</v>
      </c>
      <c r="W6" s="11">
        <v>28</v>
      </c>
    </row>
    <row r="7" spans="1:23" ht="15.6" x14ac:dyDescent="0.3">
      <c r="B7" s="77" t="str">
        <f>Commodities!O9</f>
        <v>ELEN2O</v>
      </c>
      <c r="C7" s="329">
        <f>(1.5/1000)*265</f>
        <v>0.39750000000000002</v>
      </c>
      <c r="D7" s="329">
        <f>(1.5/1000)*265</f>
        <v>0.39750000000000002</v>
      </c>
      <c r="E7" s="329">
        <f>(1.5/1000)*265</f>
        <v>0.39750000000000002</v>
      </c>
      <c r="F7" s="329">
        <f>(0.6/1000)*265</f>
        <v>0.15899999999999997</v>
      </c>
      <c r="G7" s="329">
        <f>(0.6/1000)*265</f>
        <v>0.15899999999999997</v>
      </c>
      <c r="H7" s="329">
        <f>(0.1/1000)*265</f>
        <v>2.6500000000000003E-2</v>
      </c>
      <c r="I7" s="329">
        <f>(4/1000)*265</f>
        <v>1.06</v>
      </c>
      <c r="J7" s="330">
        <f>(4/1000)*265</f>
        <v>1.06</v>
      </c>
      <c r="K7" s="330">
        <f>(4/1000)*265</f>
        <v>1.06</v>
      </c>
      <c r="L7" s="330">
        <f>(0.1/1000)*265</f>
        <v>2.6500000000000003E-2</v>
      </c>
      <c r="M7" s="329">
        <f>(0.6/1000)*265</f>
        <v>0.15899999999999997</v>
      </c>
      <c r="N7" s="329">
        <f>(0.1/1000)*265</f>
        <v>2.6500000000000003E-2</v>
      </c>
      <c r="O7" s="329">
        <f>(0.1/1000)*265</f>
        <v>2.6500000000000003E-2</v>
      </c>
      <c r="P7" s="329">
        <f>(1.5/1000)*265</f>
        <v>0.39750000000000002</v>
      </c>
      <c r="Q7" s="330">
        <v>0.39750000000000002</v>
      </c>
      <c r="R7" s="329">
        <f>(4/1000)*265</f>
        <v>1.06</v>
      </c>
      <c r="W7" s="11">
        <v>265</v>
      </c>
    </row>
    <row r="9" spans="1:23" ht="12.75" customHeight="1" x14ac:dyDescent="0.25"/>
    <row r="10" spans="1:23" ht="19.5" customHeight="1" x14ac:dyDescent="0.25">
      <c r="A10" s="105"/>
      <c r="B10" s="332"/>
      <c r="C10" s="105"/>
    </row>
    <row r="11" spans="1:23" x14ac:dyDescent="0.25">
      <c r="A11" s="105"/>
      <c r="D11" s="105"/>
    </row>
    <row r="12" spans="1:23" x14ac:dyDescent="0.25">
      <c r="A12" s="105"/>
      <c r="B12" s="105"/>
      <c r="C12" s="105"/>
      <c r="D12" s="105"/>
    </row>
    <row r="13" spans="1:23" ht="20.25" customHeight="1" x14ac:dyDescent="0.25">
      <c r="A13" s="105"/>
      <c r="B13" s="105"/>
      <c r="C13" s="105"/>
      <c r="D13" s="105"/>
    </row>
    <row r="14" spans="1:23" x14ac:dyDescent="0.25">
      <c r="A14" s="105"/>
      <c r="B14" s="105"/>
      <c r="C14" s="105"/>
      <c r="D14" s="105"/>
    </row>
    <row r="15" spans="1:23" x14ac:dyDescent="0.25">
      <c r="A15" s="105"/>
      <c r="B15" s="105"/>
      <c r="C15" s="105"/>
      <c r="D15" s="105"/>
    </row>
    <row r="16" spans="1:23" ht="13.8" x14ac:dyDescent="0.25">
      <c r="A16" s="105"/>
      <c r="B16" s="105"/>
      <c r="C16" s="105"/>
      <c r="D16" s="105"/>
      <c r="N16" s="11"/>
    </row>
    <row r="17" spans="1:14" ht="13.8" x14ac:dyDescent="0.25">
      <c r="A17" s="105"/>
      <c r="B17" s="105"/>
      <c r="C17" s="105"/>
      <c r="D17" s="105"/>
      <c r="N17" s="11"/>
    </row>
    <row r="18" spans="1:14" x14ac:dyDescent="0.25">
      <c r="A18" s="105"/>
      <c r="B18" s="105"/>
      <c r="C18" s="105"/>
      <c r="D18" s="105"/>
    </row>
    <row r="20" spans="1:14" x14ac:dyDescent="0.25">
      <c r="C20" s="58"/>
    </row>
    <row r="21" spans="1:14" x14ac:dyDescent="0.25">
      <c r="C21" s="58"/>
    </row>
    <row r="22" spans="1:14" x14ac:dyDescent="0.25">
      <c r="C22" s="58"/>
    </row>
    <row r="23" spans="1:14" x14ac:dyDescent="0.25">
      <c r="C23" s="58"/>
    </row>
    <row r="24" spans="1:14" x14ac:dyDescent="0.25">
      <c r="C24" s="58"/>
    </row>
    <row r="25" spans="1:14" x14ac:dyDescent="0.25">
      <c r="C25" s="58"/>
    </row>
    <row r="26" spans="1:14" x14ac:dyDescent="0.25">
      <c r="C26" s="58"/>
    </row>
    <row r="27" spans="1:14" x14ac:dyDescent="0.25">
      <c r="C27" s="58"/>
    </row>
    <row r="28" spans="1:14" x14ac:dyDescent="0.25">
      <c r="C28" s="58"/>
    </row>
    <row r="29" spans="1:14" x14ac:dyDescent="0.25">
      <c r="C29" s="58"/>
    </row>
    <row r="30" spans="1:14" x14ac:dyDescent="0.25">
      <c r="C30" s="58"/>
    </row>
    <row r="31" spans="1:14" x14ac:dyDescent="0.25">
      <c r="C31" s="58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IMP_EXP</vt:lpstr>
      <vt:lpstr>HET_Plants</vt:lpstr>
      <vt:lpstr>ELE_PPs</vt:lpstr>
      <vt:lpstr>ELE_Data</vt:lpstr>
      <vt:lpstr>En.Bal-Primary-Transf.</vt:lpstr>
      <vt:lpstr>Commodities</vt:lpstr>
      <vt:lpstr>ELE_Fuel</vt:lpstr>
      <vt:lpstr>HET_Fuel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2018-11-12T10:12:08Z</cp:lastPrinted>
  <dcterms:created xsi:type="dcterms:W3CDTF">2000-12-13T15:53:11Z</dcterms:created>
  <dcterms:modified xsi:type="dcterms:W3CDTF">2022-09-23T15:59:06Z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949032008647918</vt:r8>
  </property>
</Properties>
</file>